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58"/>
  </bookViews>
  <sheets>
    <sheet name="Инструкция" sheetId="1" state="visible" r:id="rId2"/>
    <sheet name="Титульный" sheetId="2" state="visible"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visible" r:id="rId42"/>
    <sheet name="ИП. Детализация" sheetId="42" state="visible" r:id="rId43"/>
    <sheet name="ИП. Финансовый план" sheetId="43" state="hidden" r:id="rId44"/>
    <sheet name="ИП. КНЭ" sheetId="44" state="visible"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Детализация'!$A$226:$A$226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Детализация'!$F$226</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Детализация'!$AH$226</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REESTR_IP!$A$2:$I$4</definedName>
    <definedName name="IP_MAIN_ip_5">ИП!$13:$14</definedName>
    <definedName name="IP_QRE_ip_5">'ИП. КНЭ'!$21:$23</definedName>
    <definedName name="IP_DETAILED_ip_5">'ИП. Детализация'!$14:$225</definedName>
    <definedName name="IP_FIN_PLAN_ip_5">'ИП. Финансовый план'!$K$11:$R$11</definedName>
    <definedName name="REESTR_INFR_RANGE">REESTR_OBJ_INFR!$A$2:$AL$3</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tc={00E10026-000A-4C35-AC1C-008B0070005C}</author>
  </authors>
  <commentList>
    <comment ref="E37" authorId="0" xr:uid="{00E10026-000A-4C35-AC1C-008B0070005C}">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tc={007700CD-0048-4184-ADA5-001700110026}</author>
    <author>tc={00700063-0005-414D-9448-000100330048}</author>
  </authors>
  <commentList>
    <comment ref="AZ1" authorId="0" xr:uid="{007700CD-0048-4184-ADA5-001700110026}">
      <text>
        <r>
          <rPr>
            <b/>
            <sz val="9"/>
            <rFont val="Tahoma"/>
          </rPr>
          <t>Author:</t>
        </r>
        <r>
          <rPr>
            <sz val="9"/>
            <rFont val="Tahoma"/>
          </rPr>
          <t xml:space="preserve">
Тип организации
</t>
        </r>
      </text>
    </comment>
    <comment ref="L6" authorId="1" xr:uid="{00700063-0005-414D-9448-000100330048}">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tc={00900051-000F-4534-901F-00CD00C80032}</author>
    <author>tc={000C0096-00B1-42E6-9E14-008B00DC007F}</author>
  </authors>
  <commentList>
    <comment ref="P2" authorId="0" xr:uid="{00900051-000F-4534-901F-00CD00C80032}">
      <text>
        <r>
          <rPr>
            <b/>
            <sz val="9"/>
            <rFont val="Tahoma"/>
          </rPr>
          <t>Author:</t>
        </r>
        <r>
          <rPr>
            <sz val="9"/>
            <rFont val="Tahoma"/>
          </rPr>
          <t xml:space="preserve">
сюда же для некоторых формул может входить:
- VOTV
- HOTVSNA
</t>
        </r>
      </text>
    </comment>
    <comment ref="U2" authorId="1" xr:uid="{000C0096-00B1-42E6-9E14-008B00DC007F}">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<sst xmlns="http://schemas.openxmlformats.org/spreadsheetml/2006/main" count="4157" uniqueCount="4157">
  <si>
    <t xml:space="preserve"> (требуется обновление)</t>
  </si>
  <si>
    <t xml:space="preserve">Код отчёта: PP110.OPEN.INFO.INVEST.HEAT.EIAS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</si>
  <si>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</si>
  <si>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</si>
  <si>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</si>
  <si>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</si>
  <si>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</si>
  <si>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</si>
  <si>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</si>
  <si>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</si>
  <si>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</si>
  <si>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</si>
  <si>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</si>
  <si>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</si>
  <si>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</si>
  <si>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 xml:space="preserve">Субъект РФ</t>
  </si>
  <si>
    <t xml:space="preserve">Еврейская автономная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</si>
  <si>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</si>
  <si>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</si>
  <si>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</si>
  <si>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</si>
  <si>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</si>
  <si>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</si>
  <si>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</si>
  <si>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</si>
  <si>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</si>
  <si>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</si>
  <si>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</si>
  <si>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</si>
  <si>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</si>
  <si>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</si>
  <si>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</si>
  <si>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</si>
  <si>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</si>
  <si>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</si>
  <si>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</si>
  <si>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</si>
  <si>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</si>
  <si>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</si>
  <si>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</si>
  <si>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</si>
  <si>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</si>
  <si>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</si>
  <si>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</si>
  <si>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</si>
  <si>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 СП "Биробиджанская ТЭЦ"</t>
  </si>
  <si>
    <t xml:space="preserve">Наименование (описание) обособленного подразделения</t>
  </si>
  <si>
    <t>ИНН</t>
  </si>
  <si>
    <t>1434031363</t>
  </si>
  <si>
    <t>КПП</t>
  </si>
  <si>
    <t>790145002</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</si>
  <si>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</si>
  <si>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</si>
  <si>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</si>
  <si>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</si>
  <si>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</si>
  <si>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</si>
  <si>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</si>
  <si>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</si>
  <si>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</si>
  <si>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</si>
  <si>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</si>
  <si>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</si>
  <si>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</si>
  <si>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</si>
  <si>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</si>
  <si>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</si>
  <si>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по мероприятиям и группам мероприятий</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</si>
  <si>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</si>
  <si>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</si>
  <si>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</si>
  <si>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</si>
  <si>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</si>
  <si>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</si>
  <si>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</si>
  <si>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Леонова Галина Александровна</t>
  </si>
  <si>
    <t>Должность</t>
  </si>
  <si>
    <t xml:space="preserve">Главный специалист</t>
  </si>
  <si>
    <t xml:space="preserve">Контактный телефон</t>
  </si>
  <si>
    <t>(4212)26-41-99</t>
  </si>
  <si>
    <t>E-mail</t>
  </si>
  <si>
    <t>leonova-ga@dgk.ru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</si>
  <si>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</si>
  <si>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</si>
  <si>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</si>
  <si>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</si>
  <si>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</si>
  <si>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</si>
  <si>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</si>
  <si>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</si>
  <si>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</si>
  <si>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</si>
  <si>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</si>
  <si>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</si>
  <si>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</si>
  <si>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</si>
  <si>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</si>
  <si>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</si>
  <si>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</si>
  <si>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</si>
  <si>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</si>
  <si>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</si>
  <si>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</si>
  <si>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</si>
  <si>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</si>
  <si>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</si>
  <si>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</si>
  <si>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</si>
  <si>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</si>
  <si>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</si>
  <si>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</si>
  <si>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</si>
  <si>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</si>
  <si>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</si>
  <si>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</si>
  <si>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</si>
  <si>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</si>
  <si>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</si>
  <si>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</si>
  <si>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</si>
  <si>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</si>
  <si>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</si>
  <si>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</si>
  <si>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</si>
  <si>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</si>
  <si>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</si>
  <si>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</si>
  <si>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</si>
  <si>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</si>
  <si>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</si>
  <si>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</si>
  <si>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</si>
  <si>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</si>
  <si>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</si>
  <si>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</si>
  <si>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</si>
  <si>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</si>
  <si>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</si>
  <si>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</si>
  <si>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</si>
  <si>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</si>
  <si>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</si>
  <si>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</si>
  <si>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</si>
  <si>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</si>
  <si>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</si>
  <si>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</si>
  <si>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</si>
  <si>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</si>
  <si>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</si>
  <si>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</si>
  <si>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</si>
  <si>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</si>
  <si>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</si>
  <si>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</si>
  <si>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</si>
  <si>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</si>
  <si>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</si>
  <si>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</si>
  <si>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</si>
  <si>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</si>
  <si>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</si>
  <si>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</si>
  <si>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</si>
  <si>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</si>
  <si>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</si>
  <si>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</si>
  <si>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</si>
  <si>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</si>
  <si>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</si>
  <si>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</si>
  <si>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</si>
  <si>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</si>
  <si>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</si>
  <si>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</si>
  <si>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</si>
  <si>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</si>
  <si>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</si>
  <si>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</si>
  <si>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</si>
  <si>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</si>
  <si>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</si>
  <si>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</si>
  <si>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</si>
  <si>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</si>
  <si>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</si>
  <si>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</si>
  <si>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</si>
  <si>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</si>
  <si>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</si>
  <si>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</si>
  <si>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</si>
  <si>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</si>
  <si>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</si>
  <si>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</si>
  <si>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</si>
  <si>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</si>
  <si>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</si>
  <si>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</si>
  <si>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</si>
  <si>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</si>
  <si>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</si>
  <si>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</si>
  <si>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</si>
  <si>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</si>
  <si>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</si>
  <si>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</si>
  <si>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</si>
  <si>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</si>
  <si>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</si>
  <si>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</si>
  <si>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</si>
  <si>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</si>
  <si>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</si>
  <si>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</si>
  <si>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</si>
  <si>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</si>
  <si>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</si>
  <si>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</si>
  <si>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</si>
  <si>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</si>
  <si>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</si>
  <si>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</si>
  <si>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</si>
  <si>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</si>
  <si>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</si>
  <si>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</si>
  <si>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</si>
  <si>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</si>
  <si>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</si>
  <si>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</si>
  <si>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</si>
  <si>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</si>
  <si>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</si>
  <si>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</si>
  <si>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</si>
  <si>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</si>
  <si>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</si>
  <si>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</si>
  <si>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</si>
  <si>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</si>
  <si>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</si>
  <si>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</si>
  <si>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</si>
  <si>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</si>
  <si>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</si>
  <si>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</si>
  <si>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</si>
  <si>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</si>
  <si>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</si>
  <si>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</si>
  <si>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</si>
  <si>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</si>
  <si>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</si>
  <si>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</si>
  <si>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</si>
  <si>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</si>
  <si>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</si>
  <si>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</si>
  <si>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</si>
  <si>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</si>
  <si>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</si>
  <si>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</si>
  <si>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</si>
  <si>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</si>
  <si>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</si>
  <si>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</si>
  <si>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</si>
  <si>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</si>
  <si>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</si>
  <si>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</si>
  <si>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</si>
  <si>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</si>
  <si>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</si>
  <si>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</si>
  <si>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</si>
  <si>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</si>
  <si>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</si>
  <si>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</si>
  <si>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</si>
  <si>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</si>
  <si>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</si>
  <si>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</si>
  <si>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</si>
  <si>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</si>
  <si>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</si>
  <si>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</si>
  <si>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</si>
  <si>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</si>
  <si>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</si>
  <si>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</si>
  <si>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</si>
  <si>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</si>
  <si>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</si>
  <si>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</si>
  <si>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</si>
  <si>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</si>
  <si>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</si>
  <si>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</si>
  <si>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</si>
  <si>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</si>
  <si>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</si>
  <si>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</si>
  <si>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</si>
  <si>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</si>
  <si>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</si>
  <si>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</si>
  <si>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</si>
  <si>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</si>
  <si>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</si>
  <si>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</si>
  <si>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</si>
  <si>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</si>
  <si>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</si>
  <si>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</si>
  <si>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</si>
  <si>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</si>
  <si>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</si>
  <si>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</si>
  <si>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</si>
  <si>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</si>
  <si>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</si>
  <si>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</si>
  <si>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</si>
  <si>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</si>
  <si>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</si>
  <si>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</si>
  <si>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</si>
  <si>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</si>
  <si>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</si>
  <si>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</si>
  <si>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</si>
  <si>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</si>
  <si>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</si>
  <si>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</si>
  <si>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</si>
  <si>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</si>
  <si>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</si>
  <si>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</si>
  <si>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</si>
  <si>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</si>
  <si>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</si>
  <si>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</si>
  <si>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</si>
  <si>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</si>
  <si>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</si>
  <si>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</si>
  <si>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</si>
  <si>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</si>
  <si>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</si>
  <si>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</si>
  <si>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</si>
  <si>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</si>
  <si>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</si>
  <si>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</si>
  <si>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</si>
  <si>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</si>
  <si>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</si>
  <si>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</si>
  <si>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</si>
  <si>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</si>
  <si>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</si>
  <si>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</si>
  <si>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</si>
  <si>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</si>
  <si>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</si>
  <si>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</si>
  <si>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</si>
  <si>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</si>
  <si>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</si>
  <si>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</si>
  <si>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</si>
  <si>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</si>
  <si>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</si>
  <si>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</si>
  <si>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</si>
  <si>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</si>
  <si>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</si>
  <si>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</si>
  <si>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</si>
  <si>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</si>
  <si>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</si>
  <si>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</si>
  <si>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</si>
  <si>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</si>
  <si>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</si>
  <si>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</si>
  <si>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</si>
  <si>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</si>
  <si>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</si>
  <si>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</si>
  <si>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</si>
  <si>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</si>
  <si>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</si>
  <si>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</si>
  <si>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</si>
  <si>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</si>
  <si>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</si>
  <si>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</si>
  <si>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</si>
  <si>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</si>
  <si>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</si>
  <si>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</si>
  <si>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</si>
  <si>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</si>
  <si>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</si>
  <si>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</si>
  <si>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</si>
  <si>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</si>
  <si>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</si>
  <si>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</si>
  <si>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</si>
  <si>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</si>
  <si>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</si>
  <si>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</si>
  <si>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</si>
  <si>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</si>
  <si>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</si>
  <si>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</si>
  <si>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</si>
  <si>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</si>
  <si>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</si>
  <si>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</si>
  <si>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</si>
  <si>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</si>
  <si>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</si>
  <si>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</si>
  <si>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</si>
  <si>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</si>
  <si>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</si>
  <si>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</si>
  <si>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</si>
  <si>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</si>
  <si>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</si>
  <si>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</si>
  <si>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</si>
  <si>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</si>
  <si>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</si>
  <si>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</si>
  <si>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</si>
  <si>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</si>
  <si>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</si>
  <si>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</si>
  <si>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</si>
  <si>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</si>
  <si>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</si>
  <si>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</si>
  <si>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</si>
  <si>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</si>
  <si>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</si>
  <si>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</si>
  <si>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</si>
  <si>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</si>
  <si>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</si>
  <si>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</si>
  <si>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</si>
  <si>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</si>
  <si>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</si>
  <si>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</si>
  <si>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</si>
  <si>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</si>
  <si>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</si>
  <si>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</si>
  <si>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</si>
  <si>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</si>
  <si>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</si>
  <si>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</si>
  <si>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</si>
  <si>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</si>
  <si>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</si>
  <si>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</si>
  <si>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</si>
  <si>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</si>
  <si>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</si>
  <si>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</si>
  <si>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</si>
  <si>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</si>
  <si>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</si>
  <si>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</si>
  <si>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</si>
  <si>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</si>
  <si>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</si>
  <si>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</si>
  <si>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</si>
  <si>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</si>
  <si>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</si>
  <si>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</si>
  <si>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</si>
  <si>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</si>
  <si>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</si>
  <si>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</si>
  <si>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</si>
  <si>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</si>
  <si>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</si>
  <si>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</si>
  <si>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</si>
  <si>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</si>
  <si>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</si>
  <si>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</si>
  <si>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</si>
  <si>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</si>
  <si>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</si>
  <si>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</si>
  <si>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</si>
  <si>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</si>
  <si>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</si>
  <si>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</si>
  <si>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</si>
  <si>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</si>
  <si>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</si>
  <si>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</si>
  <si>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</si>
  <si>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</si>
  <si>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</si>
  <si>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</si>
  <si>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</si>
  <si>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</si>
  <si>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</si>
  <si>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</si>
  <si>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</si>
  <si>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</si>
  <si>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</si>
  <si>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</si>
  <si>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</si>
  <si>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</si>
  <si>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</si>
  <si>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</si>
  <si>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</si>
  <si>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</si>
  <si>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</si>
  <si>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</si>
  <si>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</si>
  <si>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</si>
  <si>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</si>
  <si>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</si>
  <si>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</si>
  <si>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</si>
  <si>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</si>
  <si>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</si>
  <si>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</si>
  <si>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</si>
  <si>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</si>
  <si>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</si>
  <si>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</si>
  <si>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</si>
  <si>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</si>
  <si>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</si>
  <si>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</si>
  <si>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</si>
  <si>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</si>
  <si>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</si>
  <si>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</si>
  <si>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</si>
  <si>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</si>
  <si>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</si>
  <si>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</si>
  <si>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</si>
  <si>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</si>
  <si>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</si>
  <si>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</si>
  <si>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</si>
  <si>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</si>
  <si>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</si>
  <si>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</si>
  <si>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</si>
  <si>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</si>
  <si>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</si>
  <si>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</si>
  <si>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</si>
  <si>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</si>
  <si>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</si>
  <si>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</si>
  <si>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</si>
  <si>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</si>
  <si>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</si>
  <si>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</si>
  <si>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</si>
  <si>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</si>
  <si>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</si>
  <si>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</si>
  <si>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</si>
  <si>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</si>
  <si>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</si>
  <si>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</si>
  <si>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</si>
  <si>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</si>
  <si>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</si>
  <si>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</si>
  <si>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</si>
  <si>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</si>
  <si>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</si>
  <si>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</si>
  <si>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</si>
  <si>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</si>
  <si>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</si>
  <si>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</si>
  <si>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</si>
  <si>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</si>
  <si>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</si>
  <si>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</si>
  <si>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</si>
  <si>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</si>
  <si>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</si>
  <si>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</si>
  <si>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</si>
  <si>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</si>
  <si>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</si>
  <si>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</si>
  <si>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</si>
  <si>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</si>
  <si>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</si>
  <si>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</si>
  <si>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</si>
  <si>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</si>
  <si>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</si>
  <si>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</si>
  <si>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</si>
  <si>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</si>
  <si>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</si>
  <si>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</si>
  <si>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</si>
  <si>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</si>
  <si>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</si>
  <si>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</si>
  <si>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</si>
  <si>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</si>
  <si>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</si>
  <si>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</si>
  <si>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</si>
  <si>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</si>
  <si>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</si>
  <si>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</si>
  <si>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</si>
  <si>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</si>
  <si>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</si>
  <si>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</si>
  <si>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</si>
  <si>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</si>
  <si>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</si>
  <si>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</si>
  <si>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</si>
  <si>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</si>
  <si>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</si>
  <si>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</si>
  <si>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</si>
  <si>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</si>
  <si>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</si>
  <si>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</si>
  <si>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</si>
  <si>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</si>
  <si>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</si>
  <si>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</si>
  <si>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</si>
  <si>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</si>
  <si>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</si>
  <si>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</si>
  <si>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</si>
  <si>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</si>
  <si>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</si>
  <si>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</si>
  <si>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</si>
  <si>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</si>
  <si>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</si>
  <si>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</si>
  <si>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</si>
  <si>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</si>
  <si>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</si>
  <si>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</si>
  <si>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</si>
  <si>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</si>
  <si>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</si>
  <si>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</si>
  <si>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</si>
  <si>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</si>
  <si>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</si>
  <si>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</si>
  <si>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</si>
  <si>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</si>
  <si>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</si>
  <si>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</si>
  <si>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</si>
  <si>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</si>
  <si>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</si>
  <si>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</si>
  <si>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</si>
  <si>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</si>
  <si>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</si>
  <si>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</si>
  <si>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</si>
  <si>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</si>
  <si>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</si>
  <si>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</si>
  <si>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</si>
  <si>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</si>
  <si>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</si>
  <si>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</si>
  <si>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</si>
  <si>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</si>
  <si>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</si>
  <si>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</si>
  <si>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</si>
  <si>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</si>
  <si>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</si>
  <si>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</si>
  <si>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</si>
  <si>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</si>
  <si>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</si>
  <si>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</si>
  <si>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</si>
  <si>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</si>
  <si>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</si>
  <si>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</si>
  <si>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</si>
  <si>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</si>
  <si>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</si>
  <si>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</si>
  <si>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</si>
  <si>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</si>
  <si>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</si>
  <si>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</si>
  <si>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</si>
  <si>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</si>
  <si>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</si>
  <si>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</si>
  <si>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</si>
  <si>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</si>
  <si>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</si>
  <si>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</si>
  <si>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</si>
  <si>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</si>
  <si>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</si>
  <si>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</si>
  <si>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</si>
  <si>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</si>
  <si>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</si>
  <si>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</si>
  <si>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</si>
  <si>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</si>
  <si>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</si>
  <si>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</si>
  <si>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</si>
  <si>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</si>
  <si>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</si>
  <si>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</si>
  <si>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</si>
  <si>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</si>
  <si>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</si>
  <si>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</si>
  <si>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</si>
  <si>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</si>
  <si>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</si>
  <si>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</si>
  <si>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</si>
  <si>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</si>
  <si>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</si>
  <si>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</si>
  <si>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</si>
  <si>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</si>
  <si>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</si>
  <si>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</si>
  <si>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</si>
  <si>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</si>
  <si>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</si>
  <si>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</si>
  <si>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</si>
  <si>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</si>
  <si>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</si>
  <si>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</si>
  <si>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</si>
  <si>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</si>
  <si>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</si>
  <si>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</si>
  <si>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</si>
  <si>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</si>
  <si>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</si>
  <si>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</si>
  <si>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</si>
  <si>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</si>
  <si>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</si>
  <si>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</si>
  <si>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</si>
  <si>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</si>
  <si>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</si>
  <si>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</si>
  <si>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</si>
  <si>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</si>
  <si>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</si>
  <si>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</si>
  <si>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</si>
  <si>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</si>
  <si>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</si>
  <si>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</si>
  <si>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</si>
  <si>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</si>
  <si>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</si>
  <si>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</si>
  <si>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</si>
  <si>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</si>
  <si>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</si>
  <si>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</si>
  <si>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</si>
  <si>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</si>
  <si>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</si>
  <si>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</si>
  <si>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</si>
  <si>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</si>
  <si>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</si>
  <si>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</si>
  <si>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</si>
  <si>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</si>
  <si>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</si>
  <si>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</si>
  <si>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</si>
  <si>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</si>
  <si>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</si>
  <si>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</si>
  <si>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</si>
  <si>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</si>
  <si>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</si>
  <si>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</si>
  <si>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</si>
  <si>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</si>
  <si>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</si>
  <si>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</si>
  <si>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</si>
  <si>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</si>
  <si>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</si>
  <si>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</si>
  <si>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</si>
  <si>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</si>
  <si>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</si>
  <si>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</si>
  <si>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</si>
  <si>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</si>
  <si>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</si>
  <si>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</si>
  <si>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</si>
  <si>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</si>
  <si>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</si>
  <si>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</si>
  <si>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</si>
  <si>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</si>
  <si>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</si>
  <si>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</si>
  <si>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</si>
  <si>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</si>
  <si>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</si>
  <si>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</si>
  <si>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</si>
  <si>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</si>
  <si>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</si>
  <si>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</si>
  <si>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</si>
  <si>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</si>
  <si>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</si>
  <si>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</si>
  <si>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</si>
  <si>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</si>
  <si>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</si>
  <si>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</si>
  <si>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</si>
  <si>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</si>
  <si>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</si>
  <si>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</si>
  <si>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</si>
  <si>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</si>
  <si>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</si>
  <si>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</si>
  <si>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</si>
  <si>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</si>
  <si>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</si>
  <si>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</si>
  <si>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</si>
  <si>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</si>
  <si>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</si>
  <si>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</si>
  <si>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</si>
  <si>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</si>
  <si>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</si>
  <si>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</si>
  <si>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</si>
  <si>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</si>
  <si>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</si>
  <si>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</si>
  <si>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</si>
  <si>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</si>
  <si>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</si>
  <si>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</si>
  <si>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</si>
  <si>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</si>
  <si>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</si>
  <si>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</si>
  <si>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</si>
  <si>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</si>
  <si>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</si>
  <si>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</si>
  <si>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</si>
  <si>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</si>
  <si>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</si>
  <si>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</si>
  <si>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</si>
  <si>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</si>
  <si>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</si>
  <si>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</si>
  <si>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</si>
  <si>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</si>
  <si>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</si>
  <si>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</si>
  <si>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</si>
  <si>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</si>
  <si>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</si>
  <si>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</si>
  <si>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</si>
  <si>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</si>
  <si>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</si>
  <si>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</si>
  <si>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</si>
  <si>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</si>
  <si>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</si>
  <si>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</si>
  <si>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</si>
  <si>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</si>
  <si>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</si>
  <si>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</si>
  <si>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</si>
  <si>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</si>
  <si>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</si>
  <si>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</si>
  <si>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</si>
  <si>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</si>
  <si>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</si>
  <si>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</si>
  <si>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</si>
  <si>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</si>
  <si>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</si>
  <si>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</si>
  <si>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</si>
  <si>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</si>
  <si>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</si>
  <si>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</si>
  <si>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</si>
  <si>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</si>
  <si>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</si>
  <si>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</si>
  <si>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</si>
  <si>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</si>
  <si>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</si>
  <si>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</si>
  <si>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</si>
  <si>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</si>
  <si>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</si>
  <si>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</si>
  <si>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</si>
  <si>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</si>
  <si>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</si>
  <si>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</si>
  <si>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</si>
  <si>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</si>
  <si>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</si>
  <si>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</si>
  <si>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</si>
  <si>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</si>
  <si>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</si>
  <si>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</si>
  <si>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</si>
  <si>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</si>
  <si>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</si>
  <si>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</si>
  <si>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</si>
  <si>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</si>
  <si>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</si>
  <si>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</si>
  <si>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</si>
  <si>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</si>
  <si>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</si>
  <si>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</si>
  <si>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</si>
  <si>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</si>
  <si>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</si>
  <si>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</si>
  <si>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</si>
  <si>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 xml:space="preserve">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</si>
  <si>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Департамент строительства и жилищно-коммунального хозяйства правительства Еврейской автономной области</t>
  </si>
  <si>
    <t xml:space="preserve">                  - </t>
  </si>
  <si>
    <t>07.07.2025</t>
  </si>
  <si>
    <t>31.12.2030</t>
  </si>
  <si>
    <t xml:space="preserve">"Об утверждении инвестиционной программы АО "ДГК" в сфере теплоснабжения на территории Еврейской автономной области на 2025-2030 годы"</t>
  </si>
  <si>
    <t>приказ</t>
  </si>
  <si>
    <t>103/25</t>
  </si>
  <si>
    <t>ip_5</t>
  </si>
  <si>
    <t xml:space="preserve">Добавить реквизиты</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</si>
  <si>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</si>
  <si>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</si>
  <si>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</si>
  <si>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</si>
  <si>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</si>
  <si>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</si>
  <si>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</si>
  <si>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</si>
  <si>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</si>
  <si>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</si>
  <si>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</si>
  <si>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</si>
  <si>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</si>
  <si>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</si>
  <si>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</si>
  <si>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</si>
  <si>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</si>
  <si>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</si>
  <si>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</si>
  <si>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</si>
  <si>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</si>
  <si>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</si>
  <si>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</si>
  <si>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</si>
  <si>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</si>
  <si>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</si>
  <si>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</si>
  <si>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</si>
  <si>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</si>
  <si>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</si>
  <si>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</si>
  <si>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Техперевооружение комплекса инженерно-технических средств физической защиты Биробиджанской ТЭЦ F_505-ХТСКб-1
</t>
  </si>
  <si>
    <t>Декабрь</t>
  </si>
  <si>
    <t>2030</t>
  </si>
  <si>
    <t xml:space="preserve">СП "Биробиджанская ТЭЦ"</t>
  </si>
  <si>
    <t xml:space="preserve">ТИ с сетями</t>
  </si>
  <si>
    <t xml:space="preserve">Город Биробиджан</t>
  </si>
  <si>
    <t>99701000</t>
  </si>
  <si>
    <t xml:space="preserve">г Биробиджан</t>
  </si>
  <si>
    <t>99701000001</t>
  </si>
  <si>
    <t xml:space="preserve">ул. Шолом-Алейхема</t>
  </si>
  <si>
    <t>60</t>
  </si>
  <si>
    <t xml:space="preserve">      Амортизационные отчисления с выделением результатов переоценки основных средств и нематериальных активов</t>
  </si>
  <si>
    <t xml:space="preserve">Добавить источник финансирования</t>
  </si>
  <si>
    <t xml:space="preserve">Добавить объект инфраструктуры</t>
  </si>
  <si>
    <t>HEAT_IP_EVENT_SUBGROUP_3_LIST</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</si>
  <si>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</si>
  <si>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теплоснабжения, за исключением тепловых сетей</t>
  </si>
  <si>
    <t xml:space="preserve">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t>
  </si>
  <si>
    <t>2028</t>
  </si>
  <si>
    <t xml:space="preserve">  Прочие собственные средства</t>
  </si>
  <si>
    <t xml:space="preserve">Модернизация системы безопасности мазутонасосной котельного цеха (58 м3/ч).  (СП "БТЭЦ") I_505-ХТСКб-16
</t>
  </si>
  <si>
    <t>2029</t>
  </si>
  <si>
    <t xml:space="preserve">Техническое перевооружение РОУ (редукционно-охладительная установка) (СП БТЭЦ) F_505-ХТСКб-2
</t>
  </si>
  <si>
    <t xml:space="preserve">реконструкция или модернизация существующих тепловых сетей</t>
  </si>
  <si>
    <t xml:space="preserve">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
</t>
  </si>
  <si>
    <t>Октябрь</t>
  </si>
  <si>
    <t xml:space="preserve">  За счет платы за технологическое присоединение</t>
  </si>
  <si>
    <t xml:space="preserve">Покупка оборудования, не входящего в сметы строек</t>
  </si>
  <si>
    <t xml:space="preserve">Покупка объектов интеллектуальной собственности (НМА) </t>
  </si>
  <si>
    <t xml:space="preserve">Добавить мероприятие</t>
  </si>
  <si>
    <t xml:space="preserve">Покупка оборудования, не входящего в сметы строек
</t>
  </si>
  <si>
    <t xml:space="preserve">Покупка объектов интеллектуальной собственности (НМА)
</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</si>
  <si>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</si>
  <si>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третьей очереди золоотвала БТЭЦ (емкость - 0,8 млн. м3) H_505-ХТСКб-13
</t>
  </si>
  <si>
    <t xml:space="preserve">Покупка объектов интеллектуальной собственности (НМА) 
</t>
  </si>
  <si>
    <t xml:space="preserve">Установка автоматизированной системы мониторинга аккумуляторных батарей, СП Биробиджанская ТЭЦ P_505-БирТЭЦ-7
</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</si>
  <si>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</si>
  <si>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</si>
  <si>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</si>
  <si>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</si>
  <si>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</si>
  <si>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</si>
  <si>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</si>
  <si>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</si>
  <si>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</si>
  <si>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</si>
  <si>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</si>
  <si>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</si>
  <si>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</si>
  <si>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</si>
  <si>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</si>
  <si>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</si>
  <si>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</si>
  <si>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</si>
  <si>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</si>
  <si>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</si>
  <si>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</si>
  <si>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</si>
  <si>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</si>
  <si>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</si>
  <si>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</si>
  <si>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</si>
  <si>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</si>
  <si>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</si>
  <si>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</si>
  <si>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</si>
  <si>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</si>
  <si>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</si>
  <si>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</si>
  <si>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</si>
  <si>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</si>
  <si>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</si>
  <si>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</si>
  <si>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</si>
  <si>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</si>
  <si>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</si>
  <si>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</si>
  <si>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</si>
  <si>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</si>
  <si>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</si>
  <si>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</si>
  <si>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</si>
  <si>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</si>
  <si>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</si>
  <si>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</si>
  <si>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</si>
  <si>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</si>
  <si>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</si>
  <si>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</si>
  <si>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</si>
  <si>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</si>
  <si>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</si>
  <si>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</si>
  <si>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</si>
  <si>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</si>
  <si>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</si>
  <si>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</si>
  <si>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</si>
  <si>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</si>
  <si>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</si>
  <si>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</si>
  <si>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</si>
  <si>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</si>
  <si>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</si>
  <si>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</si>
  <si>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</si>
  <si>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</si>
  <si>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</si>
  <si>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</si>
  <si>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</si>
  <si>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</si>
  <si>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</si>
  <si>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</si>
  <si>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</si>
  <si>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</si>
  <si>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</si>
  <si>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</si>
  <si>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</si>
  <si>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</si>
  <si>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</si>
  <si>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</si>
  <si>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</si>
  <si>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</si>
  <si>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</si>
  <si>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</si>
  <si>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</si>
  <si>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</si>
  <si>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</si>
  <si>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</si>
  <si>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</si>
  <si>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</si>
  <si>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</si>
  <si>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</si>
  <si>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</si>
  <si>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</si>
  <si>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</si>
  <si>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 xml:space="preserve">в целом на инвестиционную программу</t>
  </si>
  <si>
    <t xml:space="preserve">Бизнес-план АО "ДГК" на 2025-2029 г.г.</t>
  </si>
  <si>
    <t xml:space="preserve">Добавить цель</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</si>
  <si>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</si>
  <si>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</si>
  <si>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</si>
  <si>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</si>
  <si>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</si>
  <si>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</si>
  <si>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</si>
  <si>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</si>
  <si>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</si>
  <si>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</si>
  <si>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</si>
  <si>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</si>
  <si>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</si>
  <si>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</si>
  <si>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</si>
  <si>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</si>
  <si>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</si>
  <si>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</si>
  <si>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</si>
  <si>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</si>
  <si>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</si>
  <si>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</si>
  <si>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</si>
  <si>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</si>
  <si>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</si>
  <si>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</si>
  <si>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</si>
  <si>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</si>
  <si>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</si>
  <si>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</si>
  <si>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</si>
  <si>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</si>
  <si>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</si>
  <si>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</si>
  <si>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</si>
  <si>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</si>
  <si>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</si>
  <si>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</si>
  <si>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</si>
  <si>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</si>
  <si>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</si>
  <si>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</si>
  <si>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</si>
  <si>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</si>
  <si>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</si>
  <si>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</si>
  <si>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</si>
  <si>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</si>
  <si>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</si>
  <si>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</si>
  <si>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</si>
  <si>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</si>
  <si>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</si>
  <si>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</si>
  <si>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</si>
  <si>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</si>
  <si>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</si>
  <si>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</si>
  <si>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</si>
  <si>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</si>
  <si>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</si>
  <si>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</si>
  <si>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</si>
  <si>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</si>
  <si>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</si>
  <si>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</si>
  <si>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</si>
  <si>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</si>
  <si>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</si>
  <si>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</si>
  <si>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</si>
  <si>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</si>
  <si>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</si>
  <si>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</si>
  <si>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</si>
  <si>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</si>
  <si>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</si>
  <si>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</si>
  <si>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</si>
  <si>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</si>
  <si>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</si>
  <si>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</si>
  <si>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</si>
  <si>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</si>
  <si>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</si>
  <si>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</si>
  <si>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</si>
  <si>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</si>
  <si>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</si>
  <si>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</si>
  <si>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</si>
  <si>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</si>
  <si>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</si>
  <si>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</si>
  <si>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</si>
  <si>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</si>
  <si>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</si>
  <si>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</si>
  <si>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</si>
  <si>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</si>
  <si>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</si>
  <si>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</si>
  <si>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</si>
  <si>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</si>
  <si>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</si>
  <si>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</si>
  <si>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</si>
  <si>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</si>
  <si>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</si>
  <si>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</si>
  <si>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</si>
  <si>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</si>
  <si>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</si>
  <si>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</si>
  <si>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</si>
  <si>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</si>
  <si>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</si>
  <si>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</si>
  <si>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</si>
  <si>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</si>
  <si>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</si>
  <si>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</si>
  <si>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</si>
  <si>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</si>
  <si>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</si>
  <si>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</si>
  <si>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</si>
  <si>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</si>
  <si>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</si>
  <si>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</si>
  <si>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</si>
  <si>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</si>
  <si>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</si>
  <si>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</si>
  <si>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</si>
  <si>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</si>
  <si>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</si>
  <si>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</si>
  <si>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</si>
  <si>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</si>
  <si>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</si>
  <si>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</si>
  <si>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</si>
  <si>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</si>
  <si>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</si>
  <si>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</si>
  <si>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</si>
  <si>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</si>
  <si>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</si>
  <si>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</si>
  <si>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</si>
  <si>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</si>
  <si>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</si>
  <si>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</si>
  <si>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</si>
  <si>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</si>
  <si>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</si>
  <si>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</si>
  <si>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</si>
  <si>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</si>
  <si>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</si>
  <si>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</si>
  <si>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</si>
  <si>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</si>
  <si>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</si>
  <si>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</si>
  <si>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</si>
  <si>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</si>
  <si>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</si>
  <si>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</si>
  <si>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</si>
  <si>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</si>
  <si>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</si>
  <si>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</si>
  <si>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</si>
  <si>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</si>
  <si>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</si>
  <si>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</si>
  <si>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</si>
  <si>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</si>
  <si>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</si>
  <si>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</si>
  <si>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</si>
  <si>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</si>
  <si>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</si>
  <si>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</si>
  <si>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</si>
  <si>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</si>
  <si>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</si>
  <si>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</si>
  <si>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</si>
  <si>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</si>
  <si>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</si>
  <si>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</si>
  <si>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</si>
  <si>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</si>
  <si>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</si>
  <si>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</si>
  <si>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</si>
  <si>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</si>
  <si>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</si>
  <si>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</si>
  <si>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</si>
  <si>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</si>
  <si>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</si>
  <si>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</si>
  <si>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</si>
  <si>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</si>
  <si>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</si>
  <si>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</si>
  <si>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</si>
  <si>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</si>
  <si>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</si>
  <si>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</si>
  <si>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</si>
  <si>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</si>
  <si>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</si>
  <si>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</si>
  <si>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</si>
  <si>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</si>
  <si>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</si>
  <si>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</si>
  <si>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</si>
  <si>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</si>
  <si>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</si>
  <si>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</si>
  <si>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</si>
  <si>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</si>
  <si>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</si>
  <si>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</si>
  <si>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</si>
  <si>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</si>
  <si>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</si>
  <si>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</si>
  <si>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</si>
  <si>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</si>
  <si>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</si>
  <si>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</si>
  <si>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</si>
  <si>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</si>
  <si>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</si>
  <si>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</si>
  <si>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</si>
  <si>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</si>
  <si>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</si>
  <si>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</si>
  <si>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</si>
  <si>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</si>
  <si>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</si>
  <si>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</si>
  <si>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</si>
  <si>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</si>
  <si>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</si>
  <si>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</si>
  <si>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</si>
  <si>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</si>
  <si>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</si>
  <si>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</si>
  <si>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</si>
  <si>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</si>
  <si>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</si>
  <si>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</si>
  <si>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</si>
  <si>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</si>
  <si>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</si>
  <si>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</si>
  <si>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</si>
  <si>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</si>
  <si>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</si>
  <si>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</si>
  <si>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</si>
  <si>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</si>
  <si>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</si>
  <si>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</si>
  <si>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</si>
  <si>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</si>
  <si>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</si>
  <si>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</si>
  <si>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</si>
  <si>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</si>
  <si>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</si>
  <si>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</si>
  <si>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</si>
  <si>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</si>
  <si>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</si>
  <si>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</si>
  <si>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</si>
  <si>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</si>
  <si>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уголь бурый</t>
  </si>
  <si>
    <t>Сентябрь</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</si>
  <si>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</si>
  <si>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</si>
  <si>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</si>
  <si>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</si>
  <si>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</si>
  <si>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</si>
  <si>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</si>
  <si>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</si>
  <si>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</si>
  <si>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</si>
  <si>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</si>
  <si>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</si>
  <si>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</si>
  <si>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</si>
  <si>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</si>
  <si>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</si>
  <si>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</si>
  <si>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</si>
  <si>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</si>
  <si>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</si>
  <si>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</si>
  <si>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</si>
  <si>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</si>
  <si>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</si>
  <si>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</si>
  <si>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</si>
  <si>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</si>
  <si>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</si>
  <si>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</si>
  <si>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</si>
  <si>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</si>
  <si>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</si>
  <si>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</si>
  <si>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</si>
  <si>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</si>
  <si>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</si>
  <si>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</si>
  <si>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</si>
  <si>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</si>
  <si>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</si>
  <si>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</si>
  <si>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</si>
  <si>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</si>
  <si>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</si>
  <si>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</si>
  <si>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</si>
  <si>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</si>
  <si>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</si>
  <si>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</si>
  <si>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</si>
  <si>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</si>
  <si>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</si>
  <si>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</si>
  <si>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</si>
  <si>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</si>
  <si>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</si>
  <si>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</si>
  <si>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</si>
  <si>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</si>
  <si>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</si>
  <si>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</si>
  <si>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</si>
  <si>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</si>
  <si>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</si>
  <si>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</si>
  <si>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</si>
  <si>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</si>
  <si>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</si>
  <si>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</si>
  <si>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</si>
  <si>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</si>
  <si>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</si>
  <si>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</si>
  <si>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</si>
  <si>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</si>
  <si>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</si>
  <si>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</si>
  <si>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</si>
  <si>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</si>
  <si>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</si>
  <si>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</si>
  <si>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</si>
  <si>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</si>
  <si>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</si>
  <si>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</si>
  <si>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</si>
  <si>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</si>
  <si>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</si>
  <si>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</si>
  <si>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</si>
  <si>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</si>
  <si>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</si>
  <si>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</si>
  <si>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</si>
  <si>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</si>
  <si>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</si>
  <si>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</si>
  <si>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</si>
  <si>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</si>
  <si>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</si>
  <si>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</si>
  <si>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</si>
  <si>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</si>
  <si>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</si>
  <si>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</si>
  <si>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</si>
  <si>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</si>
  <si>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</si>
  <si>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</si>
  <si>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</si>
  <si>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</si>
  <si>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</si>
  <si>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</si>
  <si>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</si>
  <si>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</si>
  <si>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</si>
  <si>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</si>
  <si>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</si>
  <si>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</si>
  <si>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</si>
  <si>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</si>
  <si>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</si>
  <si>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</si>
  <si>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</si>
  <si>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</si>
  <si>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</si>
  <si>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</si>
  <si>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</si>
  <si>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</si>
  <si>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</si>
  <si>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</si>
  <si>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</si>
  <si>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</si>
  <si>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</si>
  <si>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</si>
  <si>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</si>
  <si>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</si>
  <si>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</si>
  <si>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</si>
  <si>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</si>
  <si>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</si>
  <si>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</si>
  <si>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</si>
  <si>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</si>
  <si>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</si>
  <si>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</si>
  <si>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</si>
  <si>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</si>
  <si>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</si>
  <si>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</si>
  <si>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</si>
  <si>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</si>
  <si>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</si>
  <si>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</si>
  <si>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</si>
  <si>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</si>
  <si>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</si>
  <si>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</si>
  <si>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</si>
  <si>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</si>
  <si>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</si>
  <si>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</si>
  <si>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</si>
  <si>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</si>
  <si>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</si>
  <si>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</si>
  <si>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</si>
  <si>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</si>
  <si>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</si>
  <si>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</si>
  <si>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</si>
  <si>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</si>
  <si>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</si>
  <si>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</si>
  <si>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</si>
  <si>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</si>
  <si>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</si>
  <si>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</si>
  <si>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</si>
  <si>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</si>
  <si>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</si>
  <si>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</si>
  <si>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</si>
  <si>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</si>
  <si>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</si>
  <si>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</si>
  <si>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</si>
  <si>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</si>
  <si>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</si>
  <si>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</si>
  <si>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</si>
  <si>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</si>
  <si>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</si>
  <si>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</si>
  <si>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</si>
  <si>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</si>
  <si>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</si>
  <si>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</si>
  <si>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</si>
  <si>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</si>
  <si>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</si>
  <si>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</si>
  <si>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</si>
  <si>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</si>
  <si>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</si>
  <si>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</si>
  <si>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</si>
  <si>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</si>
  <si>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</si>
  <si>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</si>
  <si>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</si>
  <si>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</si>
  <si>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</si>
  <si>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</si>
  <si>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</si>
  <si>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</si>
  <si>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</si>
  <si>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</si>
  <si>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</si>
  <si>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</si>
  <si>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</si>
  <si>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</si>
  <si>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</si>
  <si>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</si>
  <si>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</si>
  <si>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</si>
  <si>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</si>
  <si>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</si>
  <si>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</si>
  <si>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</si>
  <si>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</si>
  <si>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</si>
  <si>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</si>
  <si>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</si>
  <si>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</si>
  <si>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</si>
  <si>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</si>
  <si>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</si>
  <si>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</si>
  <si>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</si>
  <si>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</si>
  <si>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</si>
  <si>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</si>
  <si>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</si>
  <si>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</si>
  <si>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</si>
  <si>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</si>
  <si>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</si>
  <si>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</si>
  <si>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</si>
  <si>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</si>
  <si>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</si>
  <si>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</si>
  <si>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</si>
  <si>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</si>
  <si>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</si>
  <si>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</si>
  <si>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</si>
  <si>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</si>
  <si>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</si>
  <si>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</si>
  <si>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</si>
  <si>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</si>
  <si>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</si>
  <si>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</si>
  <si>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</si>
  <si>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</si>
  <si>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</si>
  <si>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</si>
  <si>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</si>
  <si>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</si>
  <si>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</si>
  <si>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</si>
  <si>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</si>
  <si>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</si>
  <si>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</si>
  <si>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</si>
  <si>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</si>
  <si>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</si>
  <si>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</si>
  <si>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</si>
  <si>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</si>
  <si>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</si>
  <si>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</si>
  <si>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</si>
  <si>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</si>
  <si>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</si>
  <si>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</si>
  <si>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</si>
  <si>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</si>
  <si>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</si>
  <si>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</si>
  <si>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</si>
  <si>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</si>
  <si>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</si>
  <si>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</si>
  <si>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</si>
  <si>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</si>
  <si>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</si>
  <si>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</si>
  <si>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</si>
  <si>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</si>
  <si>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</si>
  <si>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</si>
  <si>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</si>
  <si>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</si>
  <si>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</si>
  <si>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</si>
  <si>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</si>
  <si>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</si>
  <si>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</si>
  <si>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</si>
  <si>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</si>
  <si>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</si>
  <si>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</si>
  <si>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</si>
  <si>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</si>
  <si>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</si>
  <si>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</si>
  <si>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</si>
  <si>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</si>
  <si>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</si>
  <si>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</si>
  <si>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</si>
  <si>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</si>
  <si>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</si>
  <si>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</si>
  <si>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</si>
  <si>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</si>
  <si>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</si>
  <si>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</si>
  <si>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</si>
  <si>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</si>
  <si>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</si>
  <si>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</si>
  <si>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</si>
  <si>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</si>
  <si>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</si>
  <si>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</si>
  <si>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</si>
  <si>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</si>
  <si>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</si>
  <si>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</si>
  <si>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</si>
  <si>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</si>
  <si>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</si>
  <si>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</si>
  <si>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</si>
  <si>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</si>
  <si>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</si>
  <si>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</si>
  <si>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</si>
  <si>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</si>
  <si>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</si>
  <si>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</si>
  <si>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</si>
  <si>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</si>
  <si>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</si>
  <si>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</si>
  <si>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</si>
  <si>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</si>
  <si>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</si>
  <si>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</si>
  <si>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</si>
  <si>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</si>
  <si>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</si>
  <si>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</si>
  <si>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</si>
  <si>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</si>
  <si>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</si>
  <si>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</si>
  <si>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</si>
  <si>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</si>
  <si>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</si>
  <si>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</si>
  <si>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</si>
  <si>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</si>
  <si>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</si>
  <si>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</si>
  <si>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</si>
  <si>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</si>
  <si>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</si>
  <si>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</si>
  <si>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</si>
  <si>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</si>
  <si>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</si>
  <si>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</si>
  <si>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</si>
  <si>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</si>
  <si>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</si>
  <si>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</si>
  <si>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</si>
  <si>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</si>
  <si>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</si>
  <si>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</si>
  <si>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</si>
  <si>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</si>
  <si>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</si>
  <si>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</si>
  <si>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</si>
  <si>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</si>
  <si>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</si>
  <si>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</si>
  <si>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</si>
  <si>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</si>
  <si>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</si>
  <si>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</si>
  <si>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</si>
  <si>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</si>
  <si>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</si>
  <si>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</si>
  <si>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</si>
  <si>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</si>
  <si>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</si>
  <si>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</si>
  <si>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</si>
  <si>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</si>
  <si>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</si>
  <si>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</si>
  <si>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</si>
  <si>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</si>
  <si>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</si>
  <si>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</si>
  <si>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</si>
  <si>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</si>
  <si>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</si>
  <si>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</si>
  <si>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</si>
  <si>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</si>
  <si>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</si>
  <si>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</si>
  <si>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</si>
  <si>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</si>
  <si>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</si>
  <si>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</si>
  <si>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</si>
  <si>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</si>
  <si>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</si>
  <si>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</si>
  <si>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</si>
  <si>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</si>
  <si>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</si>
  <si>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</si>
  <si>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</si>
  <si>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</si>
  <si>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</si>
  <si>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</si>
  <si>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</si>
  <si>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</si>
  <si>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</si>
  <si>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</si>
  <si>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</si>
  <si>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</si>
  <si>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</si>
  <si>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</si>
  <si>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</si>
  <si>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</si>
  <si>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</si>
  <si>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</si>
  <si>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</si>
  <si>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</si>
  <si>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</si>
  <si>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</si>
  <si>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</si>
  <si>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</si>
  <si>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</si>
  <si>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</si>
  <si>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</si>
  <si>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</si>
  <si>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</si>
  <si>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</si>
  <si>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</si>
  <si>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</si>
  <si>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</si>
  <si>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</si>
  <si>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</si>
  <si>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</si>
  <si>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</si>
  <si>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</si>
  <si>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</si>
  <si>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</si>
  <si>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В листе "ИП. Детализация" Источник финансирования "прочие собственные средства" по проекту 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 повышающий коэффициент; по проекту "Покупка объектов интеллектуальной собственности (НМА)" - выручка по себестоимости</t>
  </si>
  <si>
    <t xml:space="preserve">В Инвестиционную программу АО "ДГК" включено мероприятие, размер финансирования которого сформирован с отрицательными значениями. По техническим причинам в листе "ИП. Детализация" в графе "Размер финансирования" не допускается ввод отрицательных чисел. В целях корректного заполнения шаблона в отчетной форме исключен проект Реконструкция системы ТВС (технического водоснабжения) СП БТЭЦ F_505-ХТСКб-10 так как имеет отрицательные плановые показатели.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</si>
  <si>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</si>
  <si>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</si>
  <si>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</si>
  <si>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</si>
  <si>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</si>
  <si>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</si>
  <si>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</si>
  <si>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</si>
  <si>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</si>
  <si>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</si>
  <si>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</si>
  <si>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</si>
  <si>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</si>
  <si>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</si>
  <si>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</si>
  <si>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</si>
  <si>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</si>
  <si>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</si>
  <si>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</si>
  <si>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</si>
  <si>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</si>
  <si>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</si>
  <si>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</si>
  <si>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</si>
  <si>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</si>
  <si>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</si>
  <si>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</si>
  <si>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</si>
  <si>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</si>
  <si>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</si>
  <si>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</si>
  <si>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</si>
  <si>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</si>
  <si>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</si>
  <si>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</si>
  <si>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</si>
  <si>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</si>
  <si>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</si>
  <si>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</si>
  <si>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</si>
  <si>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</si>
  <si>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</si>
  <si>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</si>
  <si>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</si>
  <si>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</si>
  <si>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</si>
  <si>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</si>
  <si>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</si>
  <si>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</si>
  <si>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</si>
  <si>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</si>
  <si>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</si>
  <si>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</si>
  <si>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</si>
  <si>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</si>
  <si>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</si>
  <si>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</si>
  <si>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</si>
  <si>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</si>
  <si>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</si>
  <si>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</si>
  <si>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</si>
  <si>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</si>
  <si>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</si>
  <si>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</si>
  <si>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</si>
  <si>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</si>
  <si>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</si>
  <si>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</si>
  <si>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</si>
  <si>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</si>
  <si>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</si>
  <si>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</si>
  <si>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</si>
  <si>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</si>
  <si>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</si>
  <si>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</si>
  <si>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</si>
  <si>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</si>
  <si>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</si>
  <si>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</si>
  <si>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</si>
  <si>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</si>
  <si>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</si>
  <si>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</si>
  <si>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</si>
  <si>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</si>
  <si>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</si>
  <si>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</si>
  <si>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</si>
  <si>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</si>
  <si>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</si>
  <si>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</si>
  <si>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</si>
  <si>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</si>
  <si>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</si>
  <si>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</si>
  <si>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</si>
  <si>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</si>
  <si>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</si>
  <si>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</si>
  <si>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</si>
  <si>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</si>
  <si>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</si>
  <si>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</si>
  <si>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</si>
  <si>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</si>
  <si>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</si>
  <si>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</si>
  <si>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</si>
  <si>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</si>
  <si>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</si>
  <si>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</si>
  <si>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</si>
  <si>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</si>
  <si>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</si>
  <si>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</si>
  <si>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</si>
  <si>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</si>
  <si>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</si>
  <si>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</si>
  <si>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</si>
  <si>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</si>
  <si>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</si>
  <si>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</si>
  <si>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</si>
  <si>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</si>
  <si>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</si>
  <si>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</si>
  <si>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</si>
  <si>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</si>
  <si>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</si>
  <si>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</si>
  <si>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</si>
  <si>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</si>
  <si>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</si>
  <si>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</si>
  <si>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</si>
  <si>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</si>
  <si>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</si>
  <si>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</si>
  <si>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</si>
  <si>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</si>
  <si>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</si>
  <si>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</si>
  <si>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</si>
  <si>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</si>
  <si>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</si>
  <si>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</si>
  <si>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</si>
  <si>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</si>
  <si>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</si>
  <si>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</si>
  <si>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</si>
  <si>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</si>
  <si>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</si>
  <si>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</si>
  <si>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</si>
  <si>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</si>
  <si>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</si>
  <si>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</si>
  <si>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</si>
  <si>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</si>
  <si>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</si>
  <si>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</si>
  <si>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</si>
  <si>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</si>
  <si>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</si>
  <si>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</si>
  <si>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</si>
  <si>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</si>
  <si>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</si>
  <si>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</si>
  <si>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</si>
  <si>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</si>
  <si>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</si>
  <si>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</si>
  <si>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</si>
  <si>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</si>
  <si>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</si>
  <si>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</si>
  <si>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</si>
  <si>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</si>
  <si>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</si>
  <si>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</si>
  <si>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</si>
  <si>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</si>
  <si>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</si>
  <si>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</si>
  <si>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</si>
  <si>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</si>
  <si>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</si>
  <si>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</si>
  <si>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</si>
  <si>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</si>
  <si>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</si>
  <si>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</si>
  <si>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</si>
  <si>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</si>
  <si>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</si>
  <si>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</si>
  <si>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</si>
  <si>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</si>
  <si>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</si>
  <si>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</si>
  <si>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</si>
  <si>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</si>
  <si>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</si>
  <si>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</si>
  <si>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</si>
  <si>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</si>
  <si>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</si>
  <si>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</si>
  <si>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</si>
  <si>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</si>
  <si>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</si>
  <si>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</si>
  <si>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</si>
  <si>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</si>
  <si>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</si>
  <si>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</si>
  <si>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</si>
  <si>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</si>
  <si>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</si>
  <si>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</si>
  <si>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</si>
  <si>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</si>
  <si>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</si>
  <si>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</si>
  <si>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</si>
  <si>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</si>
  <si>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</si>
  <si>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</si>
  <si>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</si>
  <si>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</si>
  <si>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</si>
  <si>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</si>
  <si>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</si>
  <si>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</si>
  <si>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</si>
  <si>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</si>
  <si>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</si>
  <si>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</si>
  <si>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</si>
  <si>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</si>
  <si>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</si>
  <si>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</si>
  <si>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</si>
  <si>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</si>
  <si>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</si>
  <si>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</si>
  <si>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</si>
  <si>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</si>
  <si>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</si>
  <si>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</si>
  <si>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</si>
  <si>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</si>
  <si>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</si>
  <si>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</si>
  <si>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</si>
  <si>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</si>
  <si>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</si>
  <si>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</si>
  <si>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</si>
  <si>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</si>
  <si>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</si>
  <si>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</si>
  <si>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</si>
  <si>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</si>
  <si>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</si>
  <si>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</si>
  <si>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</si>
  <si>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</si>
  <si>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</si>
  <si>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</si>
  <si>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</si>
  <si>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</si>
  <si>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</si>
  <si>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</si>
  <si>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</si>
  <si>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</si>
  <si>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</si>
  <si>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</si>
  <si>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</si>
  <si>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</si>
  <si>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</si>
  <si>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</si>
  <si>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</si>
  <si>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</si>
  <si>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</si>
  <si>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</si>
  <si>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</si>
  <si>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</si>
  <si>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</si>
  <si>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</si>
  <si>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</si>
  <si>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</si>
  <si>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</si>
  <si>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</si>
  <si>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</si>
  <si>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</si>
  <si>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</si>
  <si>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</si>
  <si>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</si>
  <si>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</si>
  <si>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</si>
  <si>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</si>
  <si>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</si>
  <si>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</si>
  <si>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</si>
  <si>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</si>
  <si>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</si>
  <si>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</si>
  <si>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</si>
  <si>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</si>
  <si>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</si>
  <si>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</si>
  <si>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</si>
  <si>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</si>
  <si>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</si>
  <si>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</si>
  <si>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</si>
  <si>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</si>
  <si>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</si>
  <si>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</si>
  <si>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</si>
  <si>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</si>
  <si>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</si>
  <si>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</si>
  <si>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</si>
  <si>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</si>
  <si>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</si>
  <si>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</si>
  <si>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</si>
  <si>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</si>
  <si>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</si>
  <si>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</si>
  <si>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</si>
  <si>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</si>
  <si>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</si>
  <si>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</si>
  <si>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</si>
  <si>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</si>
  <si>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</si>
  <si>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 xml:space="preserve">АО "ГУ ЖКХ"</t>
  </si>
  <si>
    <t>5116000922</t>
  </si>
  <si>
    <t>511601001</t>
  </si>
  <si>
    <t xml:space="preserve">13-05-2009 00:00:00</t>
  </si>
  <si>
    <t>28445259</t>
  </si>
  <si>
    <t xml:space="preserve">АО "РАО ЭС Востока"</t>
  </si>
  <si>
    <t>2801133630</t>
  </si>
  <si>
    <t>272401001</t>
  </si>
  <si>
    <t xml:space="preserve">01-07-2008 00:00:00</t>
  </si>
  <si>
    <t>26361152</t>
  </si>
  <si>
    <t xml:space="preserve">АО "Санаторий Кульдур"</t>
  </si>
  <si>
    <t>7902004951</t>
  </si>
  <si>
    <t>790201001</t>
  </si>
  <si>
    <t xml:space="preserve">25-12-2003 00:00:00</t>
  </si>
  <si>
    <t>30847021</t>
  </si>
  <si>
    <t xml:space="preserve">ГП ЕАО "ОБЛЭНЕРГОРЕМОНТ ПЛЮС"</t>
  </si>
  <si>
    <t>7901547930</t>
  </si>
  <si>
    <t>790101001</t>
  </si>
  <si>
    <t xml:space="preserve">03-10-2016 00:00:00</t>
  </si>
  <si>
    <t>26361143</t>
  </si>
  <si>
    <t xml:space="preserve">ГП ЕАО "Облэнергоремонт"</t>
  </si>
  <si>
    <t>7901014080</t>
  </si>
  <si>
    <t xml:space="preserve">26-10-2010 00:00:00</t>
  </si>
  <si>
    <t xml:space="preserve">21-05-2025 00:00:00</t>
  </si>
  <si>
    <t>30350291</t>
  </si>
  <si>
    <t xml:space="preserve">ГП ЕАО "Ресурс"</t>
  </si>
  <si>
    <t>7904505914</t>
  </si>
  <si>
    <t>790401001</t>
  </si>
  <si>
    <t xml:space="preserve">25-09-2015 00:00:00</t>
  </si>
  <si>
    <t xml:space="preserve">ДЕПАРТАМЕНТ ТАРИФОВ И ЦЕН ПРАВИТЕЛЬСТВА ЕВРЕЙСКОЙ АВТОНОМНОЙ ОБЛАСТИ</t>
  </si>
  <si>
    <t>7901101462</t>
  </si>
  <si>
    <t>31438353</t>
  </si>
  <si>
    <t xml:space="preserve">МУП "Кульдур"</t>
  </si>
  <si>
    <t>7902537170</t>
  </si>
  <si>
    <t xml:space="preserve">21-08-2020 00:00:00</t>
  </si>
  <si>
    <t>31465899</t>
  </si>
  <si>
    <t xml:space="preserve">МУП "Прогресс"</t>
  </si>
  <si>
    <t>7900000084</t>
  </si>
  <si>
    <t>790001001</t>
  </si>
  <si>
    <t xml:space="preserve">17-12-2020 00:00:00</t>
  </si>
  <si>
    <t>31443542</t>
  </si>
  <si>
    <t xml:space="preserve">МУП "Тепловодоканал"</t>
  </si>
  <si>
    <t>7902537205</t>
  </si>
  <si>
    <t xml:space="preserve">12-08-2020 00:00:00</t>
  </si>
  <si>
    <t>26412999</t>
  </si>
  <si>
    <t xml:space="preserve">МУП "Теплотехник"</t>
  </si>
  <si>
    <t>7904504364</t>
  </si>
  <si>
    <t xml:space="preserve">11-09-2006 00:00:00</t>
  </si>
  <si>
    <t>28878853</t>
  </si>
  <si>
    <t xml:space="preserve">МУП "Теплоэнерго"</t>
  </si>
  <si>
    <t>7905001370</t>
  </si>
  <si>
    <t>790501001</t>
  </si>
  <si>
    <t xml:space="preserve">01-01-2015 00:00:00</t>
  </si>
  <si>
    <t>27570232</t>
  </si>
  <si>
    <t xml:space="preserve">ОАО "РЖД"</t>
  </si>
  <si>
    <t>7708503727</t>
  </si>
  <si>
    <t>272102001</t>
  </si>
  <si>
    <t>26415206</t>
  </si>
  <si>
    <t xml:space="preserve">ОАО "РЖД" (ДТВ)</t>
  </si>
  <si>
    <t>790145003</t>
  </si>
  <si>
    <t xml:space="preserve">15-09-2009 00:00:00</t>
  </si>
  <si>
    <t>28129965</t>
  </si>
  <si>
    <t xml:space="preserve">ОГПОБУ "Сельскохозяйственный техникум"</t>
  </si>
  <si>
    <t>7904505390</t>
  </si>
  <si>
    <t xml:space="preserve">15-01-2013 00:00:00</t>
  </si>
  <si>
    <t>27908257</t>
  </si>
  <si>
    <t xml:space="preserve">ООО "Дубовое ЖКХ"</t>
  </si>
  <si>
    <t>7906505116</t>
  </si>
  <si>
    <t>790601001</t>
  </si>
  <si>
    <t xml:space="preserve">20-08-2012 00:00:00</t>
  </si>
  <si>
    <t>28823401</t>
  </si>
  <si>
    <t xml:space="preserve">ООО "Источник"</t>
  </si>
  <si>
    <t>7906504874</t>
  </si>
  <si>
    <t xml:space="preserve">16-04-2014 00:00:00</t>
  </si>
  <si>
    <t>26617241</t>
  </si>
  <si>
    <t xml:space="preserve">ООО "Комфорт"</t>
  </si>
  <si>
    <t>7903526975</t>
  </si>
  <si>
    <t>790301001</t>
  </si>
  <si>
    <t xml:space="preserve">25-12-2007 00:00:00</t>
  </si>
  <si>
    <t>26361141</t>
  </si>
  <si>
    <t xml:space="preserve">ООО "Ремстройработ"</t>
  </si>
  <si>
    <t>7901001517</t>
  </si>
  <si>
    <t xml:space="preserve">13-12-1992 00:00:00</t>
  </si>
  <si>
    <t>30385070</t>
  </si>
  <si>
    <t xml:space="preserve">ООО "Сапсан плюс"</t>
  </si>
  <si>
    <t>7902528306</t>
  </si>
  <si>
    <t xml:space="preserve">02-09-2014 00:00:00</t>
  </si>
  <si>
    <t>26361168</t>
  </si>
  <si>
    <t xml:space="preserve">ООО "ТеплоВодоКаналРемонт"</t>
  </si>
  <si>
    <t>7903528041</t>
  </si>
  <si>
    <t xml:space="preserve">19-06-2007 00:00:00</t>
  </si>
  <si>
    <t>26652727</t>
  </si>
  <si>
    <t xml:space="preserve">ООО "Универсал"</t>
  </si>
  <si>
    <t>7904505008</t>
  </si>
  <si>
    <t xml:space="preserve">27-09-2010 00:00:00</t>
  </si>
  <si>
    <t>31338606</t>
  </si>
  <si>
    <t xml:space="preserve">ООО "Экспресс Смидович"</t>
  </si>
  <si>
    <t>7903529800</t>
  </si>
  <si>
    <t>30874066</t>
  </si>
  <si>
    <t xml:space="preserve">ООО "Экспресс"</t>
  </si>
  <si>
    <t>2721228284</t>
  </si>
  <si>
    <t>272101001</t>
  </si>
  <si>
    <t xml:space="preserve">12-12-2016 00:00:00</t>
  </si>
  <si>
    <t>30810601</t>
  </si>
  <si>
    <t xml:space="preserve">ООО "Энергоресурс"</t>
  </si>
  <si>
    <t>7904506026</t>
  </si>
  <si>
    <t xml:space="preserve">01-05-2016 00:00:00</t>
  </si>
  <si>
    <t>26361162</t>
  </si>
  <si>
    <t xml:space="preserve">ООО "Южное ЖКХ"</t>
  </si>
  <si>
    <t>7903503784</t>
  </si>
  <si>
    <t xml:space="preserve">17-12-2004 00:00:00</t>
  </si>
  <si>
    <t>28435468</t>
  </si>
  <si>
    <t xml:space="preserve">ООО Комтехсервис</t>
  </si>
  <si>
    <t>7902528017</t>
  </si>
  <si>
    <t xml:space="preserve">29-11-2013 00:00:00</t>
  </si>
  <si>
    <t>26360994</t>
  </si>
  <si>
    <t xml:space="preserve">Путевая машинная станция № 219 Дальневосточной дирекции по ремонту пути - структурное подразделение ДВОСТ ж.д. - филиал ОАО "РЖД"</t>
  </si>
  <si>
    <t>272231005</t>
  </si>
  <si>
    <t>31408099</t>
  </si>
  <si>
    <t xml:space="preserve">ФГБПОУ "КАРГАТСКОЕ СУВУ"</t>
  </si>
  <si>
    <t>5423101288</t>
  </si>
  <si>
    <t>542301001</t>
  </si>
  <si>
    <t>30903763</t>
  </si>
  <si>
    <t xml:space="preserve">ФГБУ "ЦЖКУ" МИНОБОРОНЫ РОССИИ</t>
  </si>
  <si>
    <t>7729314745</t>
  </si>
  <si>
    <t>770101001</t>
  </si>
  <si>
    <t>30926365</t>
  </si>
  <si>
    <t xml:space="preserve">ФГБУ «ЦЖКУ» МО РФ (Филиал ФГБУ «ЦЖКУ» МО РФ по ВВО)</t>
  </si>
  <si>
    <t>272443001</t>
  </si>
  <si>
    <t xml:space="preserve">20-03-2017 00:00:00</t>
  </si>
  <si>
    <t>31310642</t>
  </si>
  <si>
    <t xml:space="preserve">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</si>
  <si>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</si>
  <si>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</si>
  <si>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</si>
  <si>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 xml:space="preserve">ФКУ "Биробиджанская воспитательная колония"  УФСИН России по ЕАО</t>
  </si>
  <si>
    <t>7901013872</t>
  </si>
  <si>
    <t xml:space="preserve">29-07-1999 00:00:00</t>
  </si>
  <si>
    <t>26361161</t>
  </si>
  <si>
    <t xml:space="preserve">ФКУ Колония-поселение № 4 УФСИН России по ЕАО</t>
  </si>
  <si>
    <t>7903003407</t>
  </si>
  <si>
    <t xml:space="preserve">20-07-2001 00:00:00</t>
  </si>
  <si>
    <t>26761819</t>
  </si>
  <si>
    <t xml:space="preserve">Филиал ОАО "РЭУ "Хабаровский"</t>
  </si>
  <si>
    <t>7714783092</t>
  </si>
  <si>
    <t>272343002</t>
  </si>
  <si>
    <t>28159257</t>
  </si>
  <si>
    <t xml:space="preserve">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</si>
  <si>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</si>
  <si>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 xml:space="preserve">01-04-2013 00:00:00</t>
  </si>
  <si>
    <t>31310779</t>
  </si>
  <si>
    <t xml:space="preserve">ИП Лермонтов Александр Сергеевич</t>
  </si>
  <si>
    <t>790203128980</t>
  </si>
  <si>
    <t>26375648</t>
  </si>
  <si>
    <t xml:space="preserve">МУП "Водоканал"</t>
  </si>
  <si>
    <t>7901003190</t>
  </si>
  <si>
    <t xml:space="preserve">24-10-2002 00:00:00</t>
  </si>
  <si>
    <t xml:space="preserve">03-03-2025 00:00:00</t>
  </si>
  <si>
    <t>31500234</t>
  </si>
  <si>
    <t xml:space="preserve">МУП "РК"</t>
  </si>
  <si>
    <t>7900001680</t>
  </si>
  <si>
    <t xml:space="preserve">19-03-2025 00:00:00</t>
  </si>
  <si>
    <t>31543177</t>
  </si>
  <si>
    <t xml:space="preserve">ООО "Акварель"</t>
  </si>
  <si>
    <t>2723215178</t>
  </si>
  <si>
    <t>272301001</t>
  </si>
  <si>
    <t>28139980</t>
  </si>
  <si>
    <t xml:space="preserve">ООО "Горное"</t>
  </si>
  <si>
    <t>7902525707</t>
  </si>
  <si>
    <t xml:space="preserve">28-01-2013 00:00:00</t>
  </si>
  <si>
    <t>31352540</t>
  </si>
  <si>
    <t xml:space="preserve">ООО "Источник ДВ"</t>
  </si>
  <si>
    <t>2721243765</t>
  </si>
  <si>
    <t>272124376</t>
  </si>
  <si>
    <t>30933881</t>
  </si>
  <si>
    <t xml:space="preserve">ООО "Прометей"</t>
  </si>
  <si>
    <t>7903528595</t>
  </si>
  <si>
    <t xml:space="preserve">07-02-2013 00:00:00</t>
  </si>
  <si>
    <t>28129787</t>
  </si>
  <si>
    <t xml:space="preserve">ООО "СВЕТОЧ"</t>
  </si>
  <si>
    <t>2721190640</t>
  </si>
  <si>
    <t xml:space="preserve">13-03-2013 00:00:00</t>
  </si>
  <si>
    <t>31454466</t>
  </si>
  <si>
    <t xml:space="preserve">ООО "Сервис Строй"</t>
  </si>
  <si>
    <t>2723207843</t>
  </si>
  <si>
    <t xml:space="preserve">14-11-2019 00:00:00</t>
  </si>
  <si>
    <t>31319417</t>
  </si>
  <si>
    <t xml:space="preserve">ООО "УК Луч"</t>
  </si>
  <si>
    <t>7901549092</t>
  </si>
  <si>
    <t>28872748</t>
  </si>
  <si>
    <t xml:space="preserve">ФКУ "ЛИУ № 2 УФСИН России по ЕАО"</t>
  </si>
  <si>
    <t>7902004479</t>
  </si>
  <si>
    <t xml:space="preserve">21-11-2014 00:00:00</t>
  </si>
  <si>
    <t xml:space="preserve">28-04-2025 00:00:00</t>
  </si>
  <si>
    <t>28797758</t>
  </si>
  <si>
    <t xml:space="preserve">АУ "Чистое село" Еврейской автономной области</t>
  </si>
  <si>
    <t>7904504903</t>
  </si>
  <si>
    <t>31481922</t>
  </si>
  <si>
    <t xml:space="preserve">ООО "Дом-Строй"</t>
  </si>
  <si>
    <t>7901530310</t>
  </si>
  <si>
    <t>30856622</t>
  </si>
  <si>
    <t xml:space="preserve">ООО "Полигон"</t>
  </si>
  <si>
    <t>2723155602</t>
  </si>
  <si>
    <t xml:space="preserve">10-10-2016 00:00:00</t>
  </si>
  <si>
    <t>31481596</t>
  </si>
  <si>
    <t>7906505469</t>
  </si>
  <si>
    <t>31223091</t>
  </si>
  <si>
    <t>NSRF</t>
  </si>
  <si>
    <t>MR_NAME</t>
  </si>
  <si>
    <t>OKTMO_MR_NAME</t>
  </si>
  <si>
    <t>MO_NAME</t>
  </si>
  <si>
    <t>OKTMO_NAME</t>
  </si>
  <si>
    <t>TYPE</t>
  </si>
  <si>
    <t>MR_ID</t>
  </si>
  <si>
    <t xml:space="preserve">Биробиджанский муниципальный район</t>
  </si>
  <si>
    <t>99605000</t>
  </si>
  <si>
    <t xml:space="preserve">муниципальный район</t>
  </si>
  <si>
    <t>Бирофельдское</t>
  </si>
  <si>
    <t>99605405</t>
  </si>
  <si>
    <t xml:space="preserve">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</si>
  <si>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</si>
  <si>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</si>
  <si>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</si>
  <si>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</si>
  <si>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</si>
  <si>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</si>
  <si>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</si>
  <si>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</si>
  <si>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</si>
  <si>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</si>
  <si>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 xml:space="preserve">городской округ</t>
  </si>
  <si>
    <t xml:space="preserve">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</si>
  <si>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</si>
  <si>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</si>
  <si>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</si>
  <si>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</si>
  <si>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</si>
  <si>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</si>
  <si>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</si>
  <si>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</si>
  <si>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</si>
  <si>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</si>
  <si>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</si>
  <si>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 xml:space="preserve">Облученский муниципальный район</t>
  </si>
  <si>
    <t>99620000</t>
  </si>
  <si>
    <t>Бираканское</t>
  </si>
  <si>
    <t>99620156</t>
  </si>
  <si>
    <t xml:space="preserve">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</si>
  <si>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</si>
  <si>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</si>
  <si>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</si>
  <si>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</si>
  <si>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</si>
  <si>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</si>
  <si>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</si>
  <si>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</si>
  <si>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 xml:space="preserve">городское поселение, в состав которого входит город</t>
  </si>
  <si>
    <t>Пашковское</t>
  </si>
  <si>
    <t>99620440</t>
  </si>
  <si>
    <t>Теплоозерское</t>
  </si>
  <si>
    <t>99620170</t>
  </si>
  <si>
    <t xml:space="preserve">Октябрьский муниципальный район</t>
  </si>
  <si>
    <t>99625000</t>
  </si>
  <si>
    <t>Амурзетское</t>
  </si>
  <si>
    <t>99625405</t>
  </si>
  <si>
    <t>Нагибовское</t>
  </si>
  <si>
    <t>99625435</t>
  </si>
  <si>
    <t>Полевское</t>
  </si>
  <si>
    <t>99625440</t>
  </si>
  <si>
    <t xml:space="preserve">Смидовичский муниципальный район</t>
  </si>
  <si>
    <t>99630000</t>
  </si>
  <si>
    <t>Волочаевское</t>
  </si>
  <si>
    <t>99630155</t>
  </si>
  <si>
    <t xml:space="preserve">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</si>
  <si>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</si>
  <si>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</si>
  <si>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</si>
  <si>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</si>
  <si>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</si>
  <si>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</si>
  <si>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</si>
  <si>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</si>
  <si>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</si>
  <si>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</si>
  <si>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</si>
  <si>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</si>
  <si>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</si>
  <si>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</si>
  <si>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</si>
  <si>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</si>
  <si>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</si>
  <si>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</si>
  <si>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8677187347</t>
  </si>
  <si>
    <t xml:space="preserve">Инвестиционная программа "Об утверждении инвестиционной программы АО "ДГК" в сфере теплоснабжения на территории Еврейской автономной области на 2025-2030 годы"</t>
  </si>
  <si>
    <t xml:space="preserve">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</si>
  <si>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7650755279</t>
  </si>
  <si>
    <t>01.01.2023</t>
  </si>
  <si>
    <t>31.12.2027</t>
  </si>
  <si>
    <t xml:space="preserve">Корректировка инвестиционной программы № 38@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</si>
  <si>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38@</t>
  </si>
  <si>
    <t>12.12.2019</t>
  </si>
  <si>
    <t xml:space="preserve">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</si>
  <si>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7814990585</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</si>
  <si>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</si>
  <si>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</si>
  <si>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</si>
  <si>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</si>
  <si>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</si>
  <si>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</si>
  <si>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</si>
  <si>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</si>
  <si>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</si>
  <si>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</si>
  <si>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</si>
  <si>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</si>
  <si>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</si>
  <si>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</si>
  <si>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</si>
  <si>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</si>
  <si>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</si>
  <si>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</si>
  <si>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</si>
  <si>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</si>
  <si>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</si>
  <si>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</si>
  <si>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</si>
  <si>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</si>
  <si>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</si>
  <si>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</si>
  <si>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</si>
  <si>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</si>
  <si>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</si>
  <si>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</si>
  <si>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</si>
  <si>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</si>
  <si>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 xml:space="preserve">частная собственность</t>
  </si>
  <si>
    <t xml:space="preserve">без торгов - исключение по статье 17.1 Федерального закона от 26.07.2006 N 135-ФЗ "О защите конкуренции"</t>
  </si>
  <si>
    <t>https://portal.eias.ru/Portal/DownloadPage.aspx?type=12&amp;guid=ff94d1d3-3f33-4602-a2e5-cc00fd3a95b4</t>
  </si>
  <si>
    <t>эксплуатируется</t>
  </si>
  <si>
    <t>свидетельство</t>
  </si>
  <si>
    <t>собственность</t>
  </si>
  <si>
    <t xml:space="preserve">27 АВ000420</t>
  </si>
  <si>
    <t>31.12.2006</t>
  </si>
  <si>
    <t>338</t>
  </si>
  <si>
    <t>258.973</t>
  </si>
  <si>
    <t>257.210335</t>
  </si>
  <si>
    <t xml:space="preserve">[Уголь бурый] :: [Уголь длиннопламенный] :: [Уголь газовый] :: [Мазут М-100]</t>
  </si>
  <si>
    <t>259.008034</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</si>
  <si>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</si>
  <si>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</si>
  <si>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</si>
  <si>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</si>
  <si>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</si>
  <si>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</si>
  <si>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</si>
  <si>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</si>
  <si>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</si>
  <si>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</si>
  <si>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</si>
  <si>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</si>
  <si>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</si>
  <si>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</si>
  <si>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</si>
  <si>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 xml:space="preserve">Алейский муниципальный район</t>
  </si>
  <si>
    <t>01601000</t>
  </si>
  <si>
    <t xml:space="preserve">Алейский сельсовет</t>
  </si>
  <si>
    <t>01601402</t>
  </si>
  <si>
    <t xml:space="preserve">Безголосовский сельсовет</t>
  </si>
  <si>
    <t>01601408</t>
  </si>
  <si>
    <t xml:space="preserve">Большепанюшевский сельсовет</t>
  </si>
  <si>
    <t>01601413</t>
  </si>
  <si>
    <t xml:space="preserve">Боровской сельсовет</t>
  </si>
  <si>
    <t>01601417</t>
  </si>
  <si>
    <t xml:space="preserve">Дружбинский сельсовет</t>
  </si>
  <si>
    <t>01601420</t>
  </si>
  <si>
    <t xml:space="preserve">Дубровский сельсовет</t>
  </si>
  <si>
    <t>01601423</t>
  </si>
  <si>
    <t xml:space="preserve">Заветильичевский сельсовет</t>
  </si>
  <si>
    <t>01601426</t>
  </si>
  <si>
    <t xml:space="preserve">Кашинский сельсовет</t>
  </si>
  <si>
    <t>01601432</t>
  </si>
  <si>
    <t xml:space="preserve">Кировский сельсовет</t>
  </si>
  <si>
    <t>01601438</t>
  </si>
  <si>
    <t xml:space="preserve">Краснопартизанский сельсовет</t>
  </si>
  <si>
    <t>01601440</t>
  </si>
  <si>
    <t xml:space="preserve">Моховской сельсовет</t>
  </si>
  <si>
    <t>01601464</t>
  </si>
  <si>
    <t xml:space="preserve">Осколковский сельсовет</t>
  </si>
  <si>
    <t>01601468</t>
  </si>
  <si>
    <t xml:space="preserve">Плотавский сельсовет</t>
  </si>
  <si>
    <t>01601473</t>
  </si>
  <si>
    <t xml:space="preserve">Савинский сельсовет</t>
  </si>
  <si>
    <t>01601475</t>
  </si>
  <si>
    <t xml:space="preserve">Совхозный сельсовет</t>
  </si>
  <si>
    <t>01601477</t>
  </si>
  <si>
    <t xml:space="preserve">Урюпинский сельсовет</t>
  </si>
  <si>
    <t>01601485</t>
  </si>
  <si>
    <t xml:space="preserve">Фрунзенский сельсовет</t>
  </si>
  <si>
    <t>01601496</t>
  </si>
  <si>
    <t xml:space="preserve">Чапаевский сельсовет</t>
  </si>
  <si>
    <t>01601498</t>
  </si>
  <si>
    <t xml:space="preserve">Алтайский муниципальный район</t>
  </si>
  <si>
    <t xml:space="preserve">Айский сельсовет</t>
  </si>
  <si>
    <t>01602405</t>
  </si>
  <si>
    <t>01602000</t>
  </si>
  <si>
    <t xml:space="preserve">Алтайский сельсовет</t>
  </si>
  <si>
    <t>01602407</t>
  </si>
  <si>
    <t xml:space="preserve">Беловский сельсовет</t>
  </si>
  <si>
    <t>01602412</t>
  </si>
  <si>
    <t xml:space="preserve">Куяганский сельсовет</t>
  </si>
  <si>
    <t>01602423</t>
  </si>
  <si>
    <t xml:space="preserve">Куячинский сельсовет</t>
  </si>
  <si>
    <t>01602427</t>
  </si>
  <si>
    <t xml:space="preserve">Макарьевский сельсовет</t>
  </si>
  <si>
    <t>01602435</t>
  </si>
  <si>
    <t xml:space="preserve">Нижнекаменский сельсовет</t>
  </si>
  <si>
    <t>01602446</t>
  </si>
  <si>
    <t xml:space="preserve">Пролетарский сельсовет</t>
  </si>
  <si>
    <t>01602457</t>
  </si>
  <si>
    <t xml:space="preserve">Россошинский сельсовет</t>
  </si>
  <si>
    <t>01602468</t>
  </si>
  <si>
    <t xml:space="preserve">Старобелокурихинский сельсовет</t>
  </si>
  <si>
    <t>01602479</t>
  </si>
  <si>
    <t xml:space="preserve">Баевский муниципальный район</t>
  </si>
  <si>
    <t>01603000</t>
  </si>
  <si>
    <t xml:space="preserve">Баевский сельсовет</t>
  </si>
  <si>
    <t>01603407</t>
  </si>
  <si>
    <t xml:space="preserve">Верх-Пайвинский сельсовет</t>
  </si>
  <si>
    <t>01603416</t>
  </si>
  <si>
    <t xml:space="preserve">Верх-Чуманский сельсовет</t>
  </si>
  <si>
    <t>01603419</t>
  </si>
  <si>
    <t xml:space="preserve">Нижнечуманский сельсовет</t>
  </si>
  <si>
    <t>01603437</t>
  </si>
  <si>
    <t xml:space="preserve">Паклинский сельсовет</t>
  </si>
  <si>
    <t>01603455</t>
  </si>
  <si>
    <t>01603458</t>
  </si>
  <si>
    <t xml:space="preserve">Прослаухинский сельсовет</t>
  </si>
  <si>
    <t>01603469</t>
  </si>
  <si>
    <t xml:space="preserve">Ситниковский сельсовет</t>
  </si>
  <si>
    <t>01603480</t>
  </si>
  <si>
    <t xml:space="preserve">Бийский муниципальный район</t>
  </si>
  <si>
    <t>01604000</t>
  </si>
  <si>
    <t xml:space="preserve">Большеугреневский сельсовет</t>
  </si>
  <si>
    <t>01604410</t>
  </si>
  <si>
    <t xml:space="preserve">Верх-Бехтемирский сельсовет</t>
  </si>
  <si>
    <t>01604415</t>
  </si>
  <si>
    <t xml:space="preserve">Верх-Катунский сельсовет</t>
  </si>
  <si>
    <t>01604417</t>
  </si>
  <si>
    <t xml:space="preserve">Енисейский сельсовет</t>
  </si>
  <si>
    <t>01604422</t>
  </si>
  <si>
    <t xml:space="preserve">Заринский сельсовет</t>
  </si>
  <si>
    <t>01604424</t>
  </si>
  <si>
    <t xml:space="preserve">Калининский сельсовет</t>
  </si>
  <si>
    <t>01604434</t>
  </si>
  <si>
    <t xml:space="preserve">Лесной сельсовет</t>
  </si>
  <si>
    <t>01604437</t>
  </si>
  <si>
    <t xml:space="preserve">Малоенисейский сельсовет</t>
  </si>
  <si>
    <t>01604455</t>
  </si>
  <si>
    <t xml:space="preserve">Малоугреневский сельсовет</t>
  </si>
  <si>
    <t>01604459</t>
  </si>
  <si>
    <t xml:space="preserve">Новиковский сельсовет</t>
  </si>
  <si>
    <t>01604464</t>
  </si>
  <si>
    <t xml:space="preserve">Первомайский сельсовет</t>
  </si>
  <si>
    <t>01604470</t>
  </si>
  <si>
    <t xml:space="preserve">Светлоозерский сельсовет</t>
  </si>
  <si>
    <t>01604480</t>
  </si>
  <si>
    <t xml:space="preserve">Сростинский сельсовет</t>
  </si>
  <si>
    <t>01604483</t>
  </si>
  <si>
    <t xml:space="preserve">Усятский сельсовет</t>
  </si>
  <si>
    <t>01604488</t>
  </si>
  <si>
    <t xml:space="preserve">Шебалинский сельсовет</t>
  </si>
  <si>
    <t>01604495</t>
  </si>
  <si>
    <t xml:space="preserve">Благовещенский муниципальный район</t>
  </si>
  <si>
    <t xml:space="preserve">Алексеевский сельсовет</t>
  </si>
  <si>
    <t>01605406</t>
  </si>
  <si>
    <t>01605000</t>
  </si>
  <si>
    <t xml:space="preserve">Благовещенский поссовет</t>
  </si>
  <si>
    <t>01605151</t>
  </si>
  <si>
    <t xml:space="preserve">Гляденьский сельсовет</t>
  </si>
  <si>
    <t>01605420</t>
  </si>
  <si>
    <t xml:space="preserve">Леньковский сельсовет</t>
  </si>
  <si>
    <t>01605436</t>
  </si>
  <si>
    <t xml:space="preserve">Нижнекучукский сельсовет</t>
  </si>
  <si>
    <t>01605447</t>
  </si>
  <si>
    <t xml:space="preserve">Николаевский сельсовет</t>
  </si>
  <si>
    <t>01605452</t>
  </si>
  <si>
    <t xml:space="preserve">Новокулундинский сельсовет</t>
  </si>
  <si>
    <t>01605456</t>
  </si>
  <si>
    <t xml:space="preserve">Орлеанский сельсовет</t>
  </si>
  <si>
    <t>01605458</t>
  </si>
  <si>
    <t xml:space="preserve">Степноозёрский поссовет</t>
  </si>
  <si>
    <t>01605157</t>
  </si>
  <si>
    <t xml:space="preserve">Суворовский сельсовет</t>
  </si>
  <si>
    <t>01605461</t>
  </si>
  <si>
    <t xml:space="preserve">Шимолинский сельсовет</t>
  </si>
  <si>
    <t>01605483</t>
  </si>
  <si>
    <t xml:space="preserve">Яготинский сельсовет</t>
  </si>
  <si>
    <t>01605494</t>
  </si>
  <si>
    <t xml:space="preserve">Бурлинский муниципальный район</t>
  </si>
  <si>
    <t>01606000</t>
  </si>
  <si>
    <t xml:space="preserve">Бурлинский сельсовет</t>
  </si>
  <si>
    <t>01606411</t>
  </si>
  <si>
    <t xml:space="preserve">Михайловский сельсовет</t>
  </si>
  <si>
    <t>01606422</t>
  </si>
  <si>
    <t xml:space="preserve">Новоандреевский сельсовет</t>
  </si>
  <si>
    <t>01606430</t>
  </si>
  <si>
    <t xml:space="preserve">Новопесчанский сельсовет</t>
  </si>
  <si>
    <t>01606433</t>
  </si>
  <si>
    <t xml:space="preserve">Новосельский сельсовет</t>
  </si>
  <si>
    <t>01606444</t>
  </si>
  <si>
    <t xml:space="preserve">Ореховский сельсовет</t>
  </si>
  <si>
    <t>01606455</t>
  </si>
  <si>
    <t xml:space="preserve">Партизанский сельсовет</t>
  </si>
  <si>
    <t>01606466</t>
  </si>
  <si>
    <t xml:space="preserve">Рожковский сельсовет</t>
  </si>
  <si>
    <t>01606470</t>
  </si>
  <si>
    <t xml:space="preserve">Устьянский сельсовет</t>
  </si>
  <si>
    <t>01606477</t>
  </si>
  <si>
    <t xml:space="preserve">Быстроистокский муниципальный район</t>
  </si>
  <si>
    <t xml:space="preserve">Акутихинский сельсовет</t>
  </si>
  <si>
    <t>01607403</t>
  </si>
  <si>
    <t>01607000</t>
  </si>
  <si>
    <t xml:space="preserve">Быстроистокский сельсовет</t>
  </si>
  <si>
    <t>01607405</t>
  </si>
  <si>
    <t xml:space="preserve">Верх-Ануйский сельсовет</t>
  </si>
  <si>
    <t>01607411</t>
  </si>
  <si>
    <t xml:space="preserve">Верх-Озернинский сельсовет</t>
  </si>
  <si>
    <t>01607422</t>
  </si>
  <si>
    <t xml:space="preserve">Новопокровский сельсовет</t>
  </si>
  <si>
    <t>01607433</t>
  </si>
  <si>
    <t xml:space="preserve">Приобский сельсовет</t>
  </si>
  <si>
    <t>01607437</t>
  </si>
  <si>
    <t xml:space="preserve">Усть-Ануйский сельсовет</t>
  </si>
  <si>
    <t>01607444</t>
  </si>
  <si>
    <t xml:space="preserve">Хлеборобный сельсовет</t>
  </si>
  <si>
    <t>01607455</t>
  </si>
  <si>
    <t xml:space="preserve">Волчихинский муниципальный район</t>
  </si>
  <si>
    <t xml:space="preserve">Березовский сельсовет</t>
  </si>
  <si>
    <t>01608410</t>
  </si>
  <si>
    <t xml:space="preserve">Бор-Форпостовский сельсовет</t>
  </si>
  <si>
    <t>01608414</t>
  </si>
  <si>
    <t>01608000</t>
  </si>
  <si>
    <t xml:space="preserve">Волчихинский сельсовет</t>
  </si>
  <si>
    <t>01608421</t>
  </si>
  <si>
    <t xml:space="preserve">Востровский сельсовет</t>
  </si>
  <si>
    <t>01608423</t>
  </si>
  <si>
    <t xml:space="preserve">Коминтерновский сельсовет</t>
  </si>
  <si>
    <t>01608430</t>
  </si>
  <si>
    <t xml:space="preserve">Малышево-Логовской сельсовет</t>
  </si>
  <si>
    <t>01608434</t>
  </si>
  <si>
    <t xml:space="preserve">Новокормихинский сельсовет</t>
  </si>
  <si>
    <t>01608445</t>
  </si>
  <si>
    <t xml:space="preserve">Пятковологовской сельсовет</t>
  </si>
  <si>
    <t>01608456</t>
  </si>
  <si>
    <t xml:space="preserve">Селиверстовский сельсовет</t>
  </si>
  <si>
    <t>01608467</t>
  </si>
  <si>
    <t xml:space="preserve">Солоновский сельсовет</t>
  </si>
  <si>
    <t>01608478</t>
  </si>
  <si>
    <t xml:space="preserve">Усть-Волчихинский сельсовет</t>
  </si>
  <si>
    <t>01608489</t>
  </si>
  <si>
    <t xml:space="preserve">Город Алейск</t>
  </si>
  <si>
    <t>01703000</t>
  </si>
  <si>
    <t xml:space="preserve">Город Барнаул</t>
  </si>
  <si>
    <t>01701000</t>
  </si>
  <si>
    <t xml:space="preserve">Город Белокуриха</t>
  </si>
  <si>
    <t>01704000</t>
  </si>
  <si>
    <t xml:space="preserve">Город Бийск</t>
  </si>
  <si>
    <t>01705000</t>
  </si>
  <si>
    <t xml:space="preserve">Город Заринск</t>
  </si>
  <si>
    <t>01706000</t>
  </si>
  <si>
    <t xml:space="preserve">Город Новоалтайск</t>
  </si>
  <si>
    <t>01713000</t>
  </si>
  <si>
    <t xml:space="preserve">Город Рубцовск</t>
  </si>
  <si>
    <t>01716000</t>
  </si>
  <si>
    <t xml:space="preserve">Город Славгород</t>
  </si>
  <si>
    <t>01719000</t>
  </si>
  <si>
    <t xml:space="preserve">Город Яровое</t>
  </si>
  <si>
    <t>01730000</t>
  </si>
  <si>
    <t xml:space="preserve">Егорьевский муниципальный район</t>
  </si>
  <si>
    <t>01609000</t>
  </si>
  <si>
    <t xml:space="preserve">Кругло-Семенцовский сельсовет</t>
  </si>
  <si>
    <t>01609411</t>
  </si>
  <si>
    <t xml:space="preserve">Лебяжинский сельсовет</t>
  </si>
  <si>
    <t>01609422</t>
  </si>
  <si>
    <t xml:space="preserve">Малошелковниковский сельсовет</t>
  </si>
  <si>
    <t>01609428</t>
  </si>
  <si>
    <t xml:space="preserve">Новоегорьевский сельсовет</t>
  </si>
  <si>
    <t>01609433</t>
  </si>
  <si>
    <t>01609444</t>
  </si>
  <si>
    <t>01609455</t>
  </si>
  <si>
    <t xml:space="preserve">Титовский сельсовет</t>
  </si>
  <si>
    <t>01609466</t>
  </si>
  <si>
    <t xml:space="preserve">Шубинский сельсовет</t>
  </si>
  <si>
    <t>01609490</t>
  </si>
  <si>
    <t xml:space="preserve">Ельцовский муниципальный район</t>
  </si>
  <si>
    <t xml:space="preserve">Верх-Ненинский сельсовет</t>
  </si>
  <si>
    <t>01610411</t>
  </si>
  <si>
    <t>01610000</t>
  </si>
  <si>
    <t xml:space="preserve">Ельцовский сельсовет</t>
  </si>
  <si>
    <t>01610422</t>
  </si>
  <si>
    <t xml:space="preserve">Мартыновский сельсовет</t>
  </si>
  <si>
    <t>01610433</t>
  </si>
  <si>
    <t xml:space="preserve">Новокаменский сельсовет</t>
  </si>
  <si>
    <t>01610444</t>
  </si>
  <si>
    <t xml:space="preserve">Пуштулимский сельсовет</t>
  </si>
  <si>
    <t>01610466</t>
  </si>
  <si>
    <t xml:space="preserve">Черемшанский сельсовет</t>
  </si>
  <si>
    <t>01610488</t>
  </si>
  <si>
    <t xml:space="preserve">ЗАТО Сибирский</t>
  </si>
  <si>
    <t>01755000</t>
  </si>
  <si>
    <t xml:space="preserve">Завьяловский муниципальный район</t>
  </si>
  <si>
    <t xml:space="preserve">Гилевский сельсовет</t>
  </si>
  <si>
    <t>01611411</t>
  </si>
  <si>
    <t xml:space="preserve">Глубоковский сельсовет</t>
  </si>
  <si>
    <t>01611416</t>
  </si>
  <si>
    <t xml:space="preserve">Гоноховский сельсовет</t>
  </si>
  <si>
    <t>01611423</t>
  </si>
  <si>
    <t>01611000</t>
  </si>
  <si>
    <t xml:space="preserve">Завьяловский сельсовет</t>
  </si>
  <si>
    <t>01611434</t>
  </si>
  <si>
    <t xml:space="preserve">Камышенский сельсовет</t>
  </si>
  <si>
    <t>01611445</t>
  </si>
  <si>
    <t xml:space="preserve">Малиновский сельсовет</t>
  </si>
  <si>
    <t>01611456</t>
  </si>
  <si>
    <t xml:space="preserve">Овечкинский сельсовет</t>
  </si>
  <si>
    <t>01611467</t>
  </si>
  <si>
    <t xml:space="preserve">Светловский сельсовет</t>
  </si>
  <si>
    <t>01611469</t>
  </si>
  <si>
    <t xml:space="preserve">Тумановский сельсовет</t>
  </si>
  <si>
    <t>01611470</t>
  </si>
  <si>
    <t xml:space="preserve">Харитоновский сельсовет</t>
  </si>
  <si>
    <t>01611478</t>
  </si>
  <si>
    <t xml:space="preserve">Чернавский сельсовет</t>
  </si>
  <si>
    <t>01611486</t>
  </si>
  <si>
    <t xml:space="preserve">Чистоозерский сельсовет</t>
  </si>
  <si>
    <t>01611489</t>
  </si>
  <si>
    <t xml:space="preserve">Залесовский муниципальный округ</t>
  </si>
  <si>
    <t>01512000</t>
  </si>
  <si>
    <t xml:space="preserve">Заринский муниципальный район</t>
  </si>
  <si>
    <t xml:space="preserve">Аламбайский сельсовет</t>
  </si>
  <si>
    <t>01613406</t>
  </si>
  <si>
    <t xml:space="preserve">Верх-Камышенский сельсовет</t>
  </si>
  <si>
    <t>01613420</t>
  </si>
  <si>
    <t xml:space="preserve">Воскресенский сельсовет</t>
  </si>
  <si>
    <t>01613425</t>
  </si>
  <si>
    <t xml:space="preserve">Голухинский сельсовет</t>
  </si>
  <si>
    <t>01613428</t>
  </si>
  <si>
    <t xml:space="preserve">Гоношихинский сельсовет</t>
  </si>
  <si>
    <t>01613430</t>
  </si>
  <si>
    <t xml:space="preserve">Гришинский сельсовет</t>
  </si>
  <si>
    <t>01613434</t>
  </si>
  <si>
    <t xml:space="preserve">Жуланихинский сельсовет</t>
  </si>
  <si>
    <t>01613436</t>
  </si>
  <si>
    <t>01613000</t>
  </si>
  <si>
    <t xml:space="preserve">Зыряновский сельсовет</t>
  </si>
  <si>
    <t>01613438</t>
  </si>
  <si>
    <t xml:space="preserve">Комарский сельсовет</t>
  </si>
  <si>
    <t>01613450</t>
  </si>
  <si>
    <t xml:space="preserve">Новодраченинский сельсовет</t>
  </si>
  <si>
    <t>01613460</t>
  </si>
  <si>
    <t xml:space="preserve">Новозыряновский сельсовет</t>
  </si>
  <si>
    <t>01613461</t>
  </si>
  <si>
    <t xml:space="preserve">Новокопыловский сельсовет</t>
  </si>
  <si>
    <t>01613464</t>
  </si>
  <si>
    <t xml:space="preserve">Новомоношкинский сельсовет</t>
  </si>
  <si>
    <t>01613468</t>
  </si>
  <si>
    <t xml:space="preserve">Смазневский сельсовет</t>
  </si>
  <si>
    <t>01613474</t>
  </si>
  <si>
    <t xml:space="preserve">Сосновский сельсовет</t>
  </si>
  <si>
    <t>01613478</t>
  </si>
  <si>
    <t xml:space="preserve">Стародраченинский сельсовет</t>
  </si>
  <si>
    <t>01613487</t>
  </si>
  <si>
    <t xml:space="preserve">Тягунский сельсовет</t>
  </si>
  <si>
    <t>01613488</t>
  </si>
  <si>
    <t xml:space="preserve">Хмелевский сельсовет</t>
  </si>
  <si>
    <t>01613492</t>
  </si>
  <si>
    <t xml:space="preserve">Шпагинский сельсовет</t>
  </si>
  <si>
    <t>01613494</t>
  </si>
  <si>
    <t xml:space="preserve">Яновский сельсовет</t>
  </si>
  <si>
    <t>01613496</t>
  </si>
  <si>
    <t xml:space="preserve">Змеиногорский муниципальный район</t>
  </si>
  <si>
    <t xml:space="preserve">Барановский сельсовет</t>
  </si>
  <si>
    <t>01614422</t>
  </si>
  <si>
    <t>01614000</t>
  </si>
  <si>
    <t xml:space="preserve">Карамышевский сельсовет</t>
  </si>
  <si>
    <t>01614433</t>
  </si>
  <si>
    <t xml:space="preserve">Кузьминский сельсовет</t>
  </si>
  <si>
    <t>01614444</t>
  </si>
  <si>
    <t xml:space="preserve">Октябрьский сельсовет</t>
  </si>
  <si>
    <t>01614455</t>
  </si>
  <si>
    <t xml:space="preserve">Саввушинский сельсовет</t>
  </si>
  <si>
    <t>01614466</t>
  </si>
  <si>
    <t xml:space="preserve">Таловский сельсовет</t>
  </si>
  <si>
    <t>01614477</t>
  </si>
  <si>
    <t xml:space="preserve">Черепановский сельсовет</t>
  </si>
  <si>
    <t>01614488</t>
  </si>
  <si>
    <t xml:space="preserve">город Змеиногорск</t>
  </si>
  <si>
    <t>01614101</t>
  </si>
  <si>
    <t xml:space="preserve">Зональный муниципальный район</t>
  </si>
  <si>
    <t xml:space="preserve">Буланихинский сельсовет</t>
  </si>
  <si>
    <t>01629412</t>
  </si>
  <si>
    <t>01629000</t>
  </si>
  <si>
    <t xml:space="preserve">Зональный сельсовет</t>
  </si>
  <si>
    <t>01629426</t>
  </si>
  <si>
    <t xml:space="preserve">Луговской сельсовет</t>
  </si>
  <si>
    <t>01629442</t>
  </si>
  <si>
    <t xml:space="preserve">Новочемровский сельсовет</t>
  </si>
  <si>
    <t>01629466</t>
  </si>
  <si>
    <t>01629470</t>
  </si>
  <si>
    <t xml:space="preserve">Плешковский сельсовет</t>
  </si>
  <si>
    <t>01629474</t>
  </si>
  <si>
    <t xml:space="preserve">Соколовский сельсовет</t>
  </si>
  <si>
    <t>01629480</t>
  </si>
  <si>
    <t xml:space="preserve">Чемровский сельсовет</t>
  </si>
  <si>
    <t>01629493</t>
  </si>
  <si>
    <t xml:space="preserve">Шубенский сельсовет</t>
  </si>
  <si>
    <t>01629496</t>
  </si>
  <si>
    <t xml:space="preserve">Калманский муниципальный район</t>
  </si>
  <si>
    <t xml:space="preserve">Бурановский сельсовет</t>
  </si>
  <si>
    <t>01615409</t>
  </si>
  <si>
    <t xml:space="preserve">Зимаревский сельсовет</t>
  </si>
  <si>
    <t>01615414</t>
  </si>
  <si>
    <t xml:space="preserve">Калистратихинский сельсовет</t>
  </si>
  <si>
    <t>01615425</t>
  </si>
  <si>
    <t>01615000</t>
  </si>
  <si>
    <t xml:space="preserve">Калманский сельсовет</t>
  </si>
  <si>
    <t>01615427</t>
  </si>
  <si>
    <t xml:space="preserve">Кубанский сельсовет</t>
  </si>
  <si>
    <t>01615435</t>
  </si>
  <si>
    <t xml:space="preserve">Новоромановский сельсовет</t>
  </si>
  <si>
    <t>01615457</t>
  </si>
  <si>
    <t xml:space="preserve">Обской сельсовет</t>
  </si>
  <si>
    <t>01615468</t>
  </si>
  <si>
    <t xml:space="preserve">Усть-Алейский сельсовет</t>
  </si>
  <si>
    <t>01615480</t>
  </si>
  <si>
    <t xml:space="preserve">Шадринский сельсовет</t>
  </si>
  <si>
    <t>01615485</t>
  </si>
  <si>
    <t xml:space="preserve">Шиловский сельсовет</t>
  </si>
  <si>
    <t>01615450</t>
  </si>
  <si>
    <t xml:space="preserve">Каменский муниципальный район</t>
  </si>
  <si>
    <t xml:space="preserve">Аллакский сельсовет</t>
  </si>
  <si>
    <t>01616404</t>
  </si>
  <si>
    <t xml:space="preserve">Верх-Аллакский сельсовет</t>
  </si>
  <si>
    <t>01616413</t>
  </si>
  <si>
    <t>01616417</t>
  </si>
  <si>
    <t>01616000</t>
  </si>
  <si>
    <t xml:space="preserve">Корниловский сельсовет</t>
  </si>
  <si>
    <t>01616437</t>
  </si>
  <si>
    <t xml:space="preserve">Новоярковский сельсовет</t>
  </si>
  <si>
    <t>01616461</t>
  </si>
  <si>
    <t xml:space="preserve">Плотниковский сельсовет</t>
  </si>
  <si>
    <t>01616468</t>
  </si>
  <si>
    <t xml:space="preserve">Попереченский сельсовет</t>
  </si>
  <si>
    <t>01616473</t>
  </si>
  <si>
    <t xml:space="preserve">Пригородный сельсовет</t>
  </si>
  <si>
    <t>01616475</t>
  </si>
  <si>
    <t xml:space="preserve">Рыбинский сельсовет</t>
  </si>
  <si>
    <t>01616482</t>
  </si>
  <si>
    <t xml:space="preserve">Столбовский сельсовет</t>
  </si>
  <si>
    <t>01616486</t>
  </si>
  <si>
    <t xml:space="preserve">Телеутский сельсовет</t>
  </si>
  <si>
    <t>01616490</t>
  </si>
  <si>
    <t xml:space="preserve">Толстовский сельсовет</t>
  </si>
  <si>
    <t>01616494</t>
  </si>
  <si>
    <t xml:space="preserve">Филипповский сельсовет</t>
  </si>
  <si>
    <t>01616497</t>
  </si>
  <si>
    <t xml:space="preserve">город Камень-на-Оби</t>
  </si>
  <si>
    <t>01616101</t>
  </si>
  <si>
    <t xml:space="preserve">Ключевский муниципальный район</t>
  </si>
  <si>
    <t xml:space="preserve">Васильчуковский сельсовет</t>
  </si>
  <si>
    <t>01617406</t>
  </si>
  <si>
    <t xml:space="preserve">Зеленополянский сельсовет</t>
  </si>
  <si>
    <t>01617412</t>
  </si>
  <si>
    <t xml:space="preserve">Истимисский сельсовет</t>
  </si>
  <si>
    <t>01617415</t>
  </si>
  <si>
    <t xml:space="preserve">Каипский сельсовет</t>
  </si>
  <si>
    <t>01617420</t>
  </si>
  <si>
    <t>01617000</t>
  </si>
  <si>
    <t xml:space="preserve">Ключевский сельсовет</t>
  </si>
  <si>
    <t>01617424</t>
  </si>
  <si>
    <t xml:space="preserve">Новополтавский сельсовет</t>
  </si>
  <si>
    <t>01617435</t>
  </si>
  <si>
    <t xml:space="preserve">Новоцелинный сельсовет</t>
  </si>
  <si>
    <t>01617437</t>
  </si>
  <si>
    <t xml:space="preserve">Петуховский сельсовет</t>
  </si>
  <si>
    <t>01617446</t>
  </si>
  <si>
    <t xml:space="preserve">Покровский сельсовет</t>
  </si>
  <si>
    <t>01617468</t>
  </si>
  <si>
    <t xml:space="preserve">Северский сельсовет</t>
  </si>
  <si>
    <t>01617479</t>
  </si>
  <si>
    <t xml:space="preserve">Косихинский муниципальный район</t>
  </si>
  <si>
    <t xml:space="preserve">Баюновский сельсовет</t>
  </si>
  <si>
    <t>01618406</t>
  </si>
  <si>
    <t xml:space="preserve">Верх-Жилинский сельсовет</t>
  </si>
  <si>
    <t>01618414</t>
  </si>
  <si>
    <t xml:space="preserve">Глушинский сельсовет</t>
  </si>
  <si>
    <t>01618420</t>
  </si>
  <si>
    <t xml:space="preserve">Каркавинский сельсовет</t>
  </si>
  <si>
    <t>01618425</t>
  </si>
  <si>
    <t xml:space="preserve">Контошинский сельсовет</t>
  </si>
  <si>
    <t>01618430</t>
  </si>
  <si>
    <t>01618000</t>
  </si>
  <si>
    <t xml:space="preserve">Косихинский сельсовет</t>
  </si>
  <si>
    <t>01618434</t>
  </si>
  <si>
    <t xml:space="preserve">Лосихинский сельсовет</t>
  </si>
  <si>
    <t>01618440</t>
  </si>
  <si>
    <t xml:space="preserve">Малаховский сельсовет</t>
  </si>
  <si>
    <t>01618449</t>
  </si>
  <si>
    <t xml:space="preserve">Налобихинский сельсовет</t>
  </si>
  <si>
    <t>01618460</t>
  </si>
  <si>
    <t>01618466</t>
  </si>
  <si>
    <t xml:space="preserve">Полковниковский сельсовет</t>
  </si>
  <si>
    <t>01618468</t>
  </si>
  <si>
    <t xml:space="preserve">Красногорский муниципальный район</t>
  </si>
  <si>
    <t>01619405</t>
  </si>
  <si>
    <t xml:space="preserve">Быстрянский сельсовет</t>
  </si>
  <si>
    <t>01619407</t>
  </si>
  <si>
    <t>01619000</t>
  </si>
  <si>
    <t xml:space="preserve">Красногорский сельсовет</t>
  </si>
  <si>
    <t>01619423</t>
  </si>
  <si>
    <t xml:space="preserve">Новозыковский сельсовет</t>
  </si>
  <si>
    <t>01619445</t>
  </si>
  <si>
    <t xml:space="preserve">Новоталовский сельсовет</t>
  </si>
  <si>
    <t>01619447</t>
  </si>
  <si>
    <t xml:space="preserve">Соусканихинский сельсовет</t>
  </si>
  <si>
    <t>01619456</t>
  </si>
  <si>
    <t xml:space="preserve">Усть-Ишинский сельсовет</t>
  </si>
  <si>
    <t>01619478</t>
  </si>
  <si>
    <t xml:space="preserve">Усть-Кажинский сельсовет</t>
  </si>
  <si>
    <t>01619489</t>
  </si>
  <si>
    <t xml:space="preserve">Краснощёковский муниципальный район</t>
  </si>
  <si>
    <t xml:space="preserve">Акимовский сельсовет</t>
  </si>
  <si>
    <t>01620406</t>
  </si>
  <si>
    <t>01620412</t>
  </si>
  <si>
    <t>01620417</t>
  </si>
  <si>
    <t xml:space="preserve">Карповский сельсовет</t>
  </si>
  <si>
    <t>01620424</t>
  </si>
  <si>
    <t>01620000</t>
  </si>
  <si>
    <t xml:space="preserve">Краснощековский сельсовет</t>
  </si>
  <si>
    <t>01620430</t>
  </si>
  <si>
    <t xml:space="preserve">Маралихинский сельсовет</t>
  </si>
  <si>
    <t>01620442</t>
  </si>
  <si>
    <t xml:space="preserve">Новошипуновский сельсовет</t>
  </si>
  <si>
    <t>01620448</t>
  </si>
  <si>
    <t xml:space="preserve">Суетский сельсовет</t>
  </si>
  <si>
    <t>01620459</t>
  </si>
  <si>
    <t xml:space="preserve">Усть-Беловский сельсовет</t>
  </si>
  <si>
    <t>01620468</t>
  </si>
  <si>
    <t xml:space="preserve">Усть-Козлухинский сельсовет</t>
  </si>
  <si>
    <t>01620470</t>
  </si>
  <si>
    <t xml:space="preserve">Усть-Пустынский сельсовет</t>
  </si>
  <si>
    <t>01620472</t>
  </si>
  <si>
    <t xml:space="preserve">Харловский сельсовет</t>
  </si>
  <si>
    <t>01620481</t>
  </si>
  <si>
    <t xml:space="preserve">Чинетинский сельсовет</t>
  </si>
  <si>
    <t>01620492</t>
  </si>
  <si>
    <t xml:space="preserve">Крутихинский муниципальный район</t>
  </si>
  <si>
    <t>01621406</t>
  </si>
  <si>
    <t xml:space="preserve">Волчно-Бурлинский сельсовет</t>
  </si>
  <si>
    <t>01621412</t>
  </si>
  <si>
    <t xml:space="preserve">Долганский сельсовет</t>
  </si>
  <si>
    <t>01621418</t>
  </si>
  <si>
    <t xml:space="preserve">Заковряшинский сельсовет</t>
  </si>
  <si>
    <t>01621424</t>
  </si>
  <si>
    <t>01621000</t>
  </si>
  <si>
    <t xml:space="preserve">Крутихинский сельсовет</t>
  </si>
  <si>
    <t>01621430</t>
  </si>
  <si>
    <t xml:space="preserve">Маловолчанский сельсовет</t>
  </si>
  <si>
    <t>01621436</t>
  </si>
  <si>
    <t xml:space="preserve">Новодубровский сельсовет</t>
  </si>
  <si>
    <t>01621442</t>
  </si>
  <si>
    <t xml:space="preserve">Подборный сельсовет</t>
  </si>
  <si>
    <t>01621446</t>
  </si>
  <si>
    <t xml:space="preserve">Прыганский сельсовет</t>
  </si>
  <si>
    <t>01621448</t>
  </si>
  <si>
    <t xml:space="preserve">Кулундинский муниципальный район</t>
  </si>
  <si>
    <t xml:space="preserve">Ананьевский сельсовет</t>
  </si>
  <si>
    <t>01622411</t>
  </si>
  <si>
    <t xml:space="preserve">Воздвиженский сельсовет</t>
  </si>
  <si>
    <t>01622433</t>
  </si>
  <si>
    <t xml:space="preserve">Златополинский сельсовет</t>
  </si>
  <si>
    <t>01622444</t>
  </si>
  <si>
    <t xml:space="preserve">Константиновский сельсовет</t>
  </si>
  <si>
    <t>01622455</t>
  </si>
  <si>
    <t>01622000</t>
  </si>
  <si>
    <t xml:space="preserve">Кулундинский сельсовет</t>
  </si>
  <si>
    <t>01622460</t>
  </si>
  <si>
    <t xml:space="preserve">Курский сельсовет</t>
  </si>
  <si>
    <t>01622466</t>
  </si>
  <si>
    <t xml:space="preserve">Мирабилитский сельсовет</t>
  </si>
  <si>
    <t>01622472</t>
  </si>
  <si>
    <t>01622477</t>
  </si>
  <si>
    <t xml:space="preserve">Семеновский сельсовет</t>
  </si>
  <si>
    <t>01622488</t>
  </si>
  <si>
    <t xml:space="preserve">Курьинский муниципальный район</t>
  </si>
  <si>
    <t xml:space="preserve">Бугрышихинский сельсовет</t>
  </si>
  <si>
    <t>01623411</t>
  </si>
  <si>
    <t xml:space="preserve">Ивановский сельсовет</t>
  </si>
  <si>
    <t>01623422</t>
  </si>
  <si>
    <t xml:space="preserve">Казанцевский сельсовет</t>
  </si>
  <si>
    <t>01623433</t>
  </si>
  <si>
    <t xml:space="preserve">Колыванский сельсовет</t>
  </si>
  <si>
    <t>01623438</t>
  </si>
  <si>
    <t xml:space="preserve">Краснознаменский сельсовет</t>
  </si>
  <si>
    <t>01623444</t>
  </si>
  <si>
    <t xml:space="preserve">Кузнецовский сельсовет</t>
  </si>
  <si>
    <t>01623455</t>
  </si>
  <si>
    <t>01623000</t>
  </si>
  <si>
    <t xml:space="preserve">Курьинский сельсовет</t>
  </si>
  <si>
    <t>01623466</t>
  </si>
  <si>
    <t xml:space="preserve">Новофирсовский сельсовет</t>
  </si>
  <si>
    <t>01623468</t>
  </si>
  <si>
    <t xml:space="preserve">Трусовский сельсовет</t>
  </si>
  <si>
    <t>01623477</t>
  </si>
  <si>
    <t xml:space="preserve">Усть-Таловский сельсовет</t>
  </si>
  <si>
    <t>01623488</t>
  </si>
  <si>
    <t xml:space="preserve">Кытмановский муниципальный район</t>
  </si>
  <si>
    <t xml:space="preserve">Дмитро-Титовский сельсовет</t>
  </si>
  <si>
    <t>01624407</t>
  </si>
  <si>
    <t>01624000</t>
  </si>
  <si>
    <t xml:space="preserve">Кытмановский сельсовет</t>
  </si>
  <si>
    <t>01624423</t>
  </si>
  <si>
    <t xml:space="preserve">Новотарабинский сельсовет</t>
  </si>
  <si>
    <t>01624446</t>
  </si>
  <si>
    <t>01624457</t>
  </si>
  <si>
    <t xml:space="preserve">Порошинский сельсовет</t>
  </si>
  <si>
    <t>01624469</t>
  </si>
  <si>
    <t xml:space="preserve">Семено-Красиловский сельсовет</t>
  </si>
  <si>
    <t>01624480</t>
  </si>
  <si>
    <t xml:space="preserve">Сунгайский сельсовет</t>
  </si>
  <si>
    <t>01624491</t>
  </si>
  <si>
    <t>01624493</t>
  </si>
  <si>
    <t xml:space="preserve">Тяхтинский сельсовет</t>
  </si>
  <si>
    <t>01624494</t>
  </si>
  <si>
    <t xml:space="preserve">Червовский сельсовет</t>
  </si>
  <si>
    <t>01624434</t>
  </si>
  <si>
    <t xml:space="preserve">Локтевский муниципальный район</t>
  </si>
  <si>
    <t xml:space="preserve">Александровский сельсовет</t>
  </si>
  <si>
    <t>01625404</t>
  </si>
  <si>
    <t xml:space="preserve">Второкаменский сельсовет</t>
  </si>
  <si>
    <t>01625409</t>
  </si>
  <si>
    <t xml:space="preserve">Георгиевский сельсовет</t>
  </si>
  <si>
    <t>01625413</t>
  </si>
  <si>
    <t>01625417</t>
  </si>
  <si>
    <t xml:space="preserve">Город Горняк</t>
  </si>
  <si>
    <t>01625101</t>
  </si>
  <si>
    <t xml:space="preserve">Ермошихинский сельсовет</t>
  </si>
  <si>
    <t>01625419</t>
  </si>
  <si>
    <t xml:space="preserve">Золотухинский сельсовет</t>
  </si>
  <si>
    <t>01625421</t>
  </si>
  <si>
    <t>01625426</t>
  </si>
  <si>
    <t>01625000</t>
  </si>
  <si>
    <t xml:space="preserve">Локтевский сельсовет</t>
  </si>
  <si>
    <t>01625434</t>
  </si>
  <si>
    <t xml:space="preserve">Масальский сельсовет</t>
  </si>
  <si>
    <t>01625440</t>
  </si>
  <si>
    <t>01625449</t>
  </si>
  <si>
    <t xml:space="preserve">Новенский сельсовет</t>
  </si>
  <si>
    <t>01625456</t>
  </si>
  <si>
    <t xml:space="preserve">Новомихайловский сельсовет</t>
  </si>
  <si>
    <t>01625459</t>
  </si>
  <si>
    <t>01625466</t>
  </si>
  <si>
    <t xml:space="preserve">Ремовский сельсовет</t>
  </si>
  <si>
    <t>01625473</t>
  </si>
  <si>
    <t xml:space="preserve">Самарский сельсовет</t>
  </si>
  <si>
    <t>01625476</t>
  </si>
  <si>
    <t xml:space="preserve">Успенский сельсовет</t>
  </si>
  <si>
    <t>01625484</t>
  </si>
  <si>
    <t>01625495</t>
  </si>
  <si>
    <t xml:space="preserve">Мамонтовский муниципальный район</t>
  </si>
  <si>
    <t xml:space="preserve">Буканский сельсовет</t>
  </si>
  <si>
    <t>01626406</t>
  </si>
  <si>
    <t xml:space="preserve">Гришенский сельсовет</t>
  </si>
  <si>
    <t>01626412</t>
  </si>
  <si>
    <t xml:space="preserve">Кадниковский сельсовет</t>
  </si>
  <si>
    <t>01626424</t>
  </si>
  <si>
    <t xml:space="preserve">Комсомольский сельсовет</t>
  </si>
  <si>
    <t>01626429</t>
  </si>
  <si>
    <t xml:space="preserve">Корчинский сельсовет</t>
  </si>
  <si>
    <t>01626434</t>
  </si>
  <si>
    <t xml:space="preserve">Костино-Логовской сельсовет</t>
  </si>
  <si>
    <t>01626437</t>
  </si>
  <si>
    <t xml:space="preserve">Крестьянский сельсовет</t>
  </si>
  <si>
    <t>01626442</t>
  </si>
  <si>
    <t>01626000</t>
  </si>
  <si>
    <t xml:space="preserve">Мамонтовский сельсовет</t>
  </si>
  <si>
    <t>01626449</t>
  </si>
  <si>
    <t xml:space="preserve">Островновский сельсовет</t>
  </si>
  <si>
    <t>01626460</t>
  </si>
  <si>
    <t>01626468</t>
  </si>
  <si>
    <t xml:space="preserve">Сусловский сельсовет</t>
  </si>
  <si>
    <t>01626473</t>
  </si>
  <si>
    <t xml:space="preserve">Тимирязевский сельсовет</t>
  </si>
  <si>
    <t>01626478</t>
  </si>
  <si>
    <t xml:space="preserve">Чернокурьинский сельсовет</t>
  </si>
  <si>
    <t>01626492</t>
  </si>
  <si>
    <t xml:space="preserve">Михайловский муниципальный район</t>
  </si>
  <si>
    <t xml:space="preserve">Ащегульский сельсовет</t>
  </si>
  <si>
    <t>01627405</t>
  </si>
  <si>
    <t xml:space="preserve">Бастанский сельсовет</t>
  </si>
  <si>
    <t>01627411</t>
  </si>
  <si>
    <t xml:space="preserve">Малиновоозёрский поссовет</t>
  </si>
  <si>
    <t>01627154</t>
  </si>
  <si>
    <t>01627000</t>
  </si>
  <si>
    <t>01627416</t>
  </si>
  <si>
    <t xml:space="preserve">Назаровский сельсовет</t>
  </si>
  <si>
    <t>01627420</t>
  </si>
  <si>
    <t>01627422</t>
  </si>
  <si>
    <t xml:space="preserve">Полуямский сельсовет</t>
  </si>
  <si>
    <t>01627433</t>
  </si>
  <si>
    <t xml:space="preserve">Ракитовский сельсовет</t>
  </si>
  <si>
    <t>01627444</t>
  </si>
  <si>
    <t xml:space="preserve">Немецкий Национальный муниципальный район</t>
  </si>
  <si>
    <t xml:space="preserve">Гальбштадтский сельсовет</t>
  </si>
  <si>
    <t>01660420</t>
  </si>
  <si>
    <t xml:space="preserve">Гришковский сельсовет</t>
  </si>
  <si>
    <t>01660405</t>
  </si>
  <si>
    <t xml:space="preserve">Дегтярский сельсовет</t>
  </si>
  <si>
    <t>01660410</t>
  </si>
  <si>
    <t xml:space="preserve">Камышинский сельсовет</t>
  </si>
  <si>
    <t>01660415</t>
  </si>
  <si>
    <t xml:space="preserve">Кусакский сельсовет</t>
  </si>
  <si>
    <t>01660470</t>
  </si>
  <si>
    <t>01660000</t>
  </si>
  <si>
    <t>01660425</t>
  </si>
  <si>
    <t xml:space="preserve">Орловский сельсовет</t>
  </si>
  <si>
    <t>01660430</t>
  </si>
  <si>
    <t xml:space="preserve">Подсосновский сельсовет</t>
  </si>
  <si>
    <t>01660435</t>
  </si>
  <si>
    <t xml:space="preserve">Полевской сельсовет</t>
  </si>
  <si>
    <t>01660440</t>
  </si>
  <si>
    <t xml:space="preserve">Протасовский сельсовет</t>
  </si>
  <si>
    <t>01660445</t>
  </si>
  <si>
    <t xml:space="preserve">Редкодубравский сельсовет</t>
  </si>
  <si>
    <t>01660450</t>
  </si>
  <si>
    <t xml:space="preserve">Шумановский сельсовет</t>
  </si>
  <si>
    <t>01660460</t>
  </si>
  <si>
    <t xml:space="preserve">Новичихинский муниципальный район</t>
  </si>
  <si>
    <t xml:space="preserve">Долговский сельсовет</t>
  </si>
  <si>
    <t>01628411</t>
  </si>
  <si>
    <t xml:space="preserve">Лобанихинский сельсовет</t>
  </si>
  <si>
    <t>01628422</t>
  </si>
  <si>
    <t xml:space="preserve">Мельниковский сельсовет</t>
  </si>
  <si>
    <t>01628433</t>
  </si>
  <si>
    <t>01628000</t>
  </si>
  <si>
    <t xml:space="preserve">Новичихинский сельсовет</t>
  </si>
  <si>
    <t>01628444</t>
  </si>
  <si>
    <t xml:space="preserve">Поломошенский сельсовет</t>
  </si>
  <si>
    <t>01628455</t>
  </si>
  <si>
    <t>01628466</t>
  </si>
  <si>
    <t xml:space="preserve">Токаревский сельсовет</t>
  </si>
  <si>
    <t>01628477</t>
  </si>
  <si>
    <t xml:space="preserve">Павловский муниципальный район</t>
  </si>
  <si>
    <t xml:space="preserve">Арбузовский сельсовет</t>
  </si>
  <si>
    <t>01630401</t>
  </si>
  <si>
    <t>01630403</t>
  </si>
  <si>
    <t xml:space="preserve">Елунинский сельсовет</t>
  </si>
  <si>
    <t>01630412</t>
  </si>
  <si>
    <t>01630432</t>
  </si>
  <si>
    <t>01630437</t>
  </si>
  <si>
    <t>01630449</t>
  </si>
  <si>
    <t xml:space="preserve">Новозоринский сельсовет</t>
  </si>
  <si>
    <t>01630455</t>
  </si>
  <si>
    <t>01630000</t>
  </si>
  <si>
    <t xml:space="preserve">Павловский сельсовет</t>
  </si>
  <si>
    <t>01630460</t>
  </si>
  <si>
    <t xml:space="preserve">Павлозаводской сельсовет</t>
  </si>
  <si>
    <t>01630462</t>
  </si>
  <si>
    <t xml:space="preserve">Прутской сельсовет</t>
  </si>
  <si>
    <t>01630464</t>
  </si>
  <si>
    <t xml:space="preserve">Рогозихинский сельсовет</t>
  </si>
  <si>
    <t>01630466</t>
  </si>
  <si>
    <t xml:space="preserve">Стуковский сельсовет</t>
  </si>
  <si>
    <t>01630473</t>
  </si>
  <si>
    <t xml:space="preserve">Черемновский сельсовет</t>
  </si>
  <si>
    <t>01630482</t>
  </si>
  <si>
    <t xml:space="preserve">Чернопятовский сельсовет</t>
  </si>
  <si>
    <t>01630485</t>
  </si>
  <si>
    <t xml:space="preserve">Шаховский сельсовет</t>
  </si>
  <si>
    <t>01630490</t>
  </si>
  <si>
    <t xml:space="preserve">Панкрушихинский муниципальный район</t>
  </si>
  <si>
    <t xml:space="preserve">Велижанский сельсовет</t>
  </si>
  <si>
    <t>01631411</t>
  </si>
  <si>
    <t xml:space="preserve">Железнодорожный сельсовет</t>
  </si>
  <si>
    <t>01631417</t>
  </si>
  <si>
    <t xml:space="preserve">Зятьковский сельсовет</t>
  </si>
  <si>
    <t>01631422</t>
  </si>
  <si>
    <t xml:space="preserve">Кривинский сельсовет</t>
  </si>
  <si>
    <t>01631433</t>
  </si>
  <si>
    <t xml:space="preserve">Луковский сельсовет</t>
  </si>
  <si>
    <t>01631444</t>
  </si>
  <si>
    <t>01631000</t>
  </si>
  <si>
    <t xml:space="preserve">Панкрушихинский сельсовет</t>
  </si>
  <si>
    <t>01631456</t>
  </si>
  <si>
    <t xml:space="preserve">Подойниковский сельсовет</t>
  </si>
  <si>
    <t>01631467</t>
  </si>
  <si>
    <t xml:space="preserve">Романовский сельсовет</t>
  </si>
  <si>
    <t>01631478</t>
  </si>
  <si>
    <t xml:space="preserve">Урываевский сельсовет</t>
  </si>
  <si>
    <t>01631489</t>
  </si>
  <si>
    <t xml:space="preserve">Первомайский муниципальный район</t>
  </si>
  <si>
    <t xml:space="preserve">Акуловский сельсовет</t>
  </si>
  <si>
    <t>01632406</t>
  </si>
  <si>
    <t xml:space="preserve">Баюновоключевский сельсовет</t>
  </si>
  <si>
    <t>01632412</t>
  </si>
  <si>
    <t>01632416</t>
  </si>
  <si>
    <t xml:space="preserve">Бобровский сельсовет</t>
  </si>
  <si>
    <t>01632420</t>
  </si>
  <si>
    <t xml:space="preserve">Боровихинский сельсовет</t>
  </si>
  <si>
    <t>01632422</t>
  </si>
  <si>
    <t xml:space="preserve">Жилинский сельсовет</t>
  </si>
  <si>
    <t>01632425</t>
  </si>
  <si>
    <t xml:space="preserve">Журавлихинский сельсовет</t>
  </si>
  <si>
    <t>01632430</t>
  </si>
  <si>
    <t xml:space="preserve">Зудиловский сельсовет</t>
  </si>
  <si>
    <t>01632434</t>
  </si>
  <si>
    <t xml:space="preserve">Логовской сельсовет</t>
  </si>
  <si>
    <t>01632442</t>
  </si>
  <si>
    <t xml:space="preserve">Новоберезовский сельсовет</t>
  </si>
  <si>
    <t>01632445</t>
  </si>
  <si>
    <t>01632000</t>
  </si>
  <si>
    <t>01632449</t>
  </si>
  <si>
    <t xml:space="preserve">Повалихинский сельсовет</t>
  </si>
  <si>
    <t>01632454</t>
  </si>
  <si>
    <t xml:space="preserve">Рассказихинский сельсовет</t>
  </si>
  <si>
    <t>01632461</t>
  </si>
  <si>
    <t xml:space="preserve">Санниковский сельсовет</t>
  </si>
  <si>
    <t>01632472</t>
  </si>
  <si>
    <t xml:space="preserve">Северный сельсовет</t>
  </si>
  <si>
    <t>01632483</t>
  </si>
  <si>
    <t xml:space="preserve">Сибирский сельсовет</t>
  </si>
  <si>
    <t>01632494</t>
  </si>
  <si>
    <t xml:space="preserve">Солнечный сельсовет</t>
  </si>
  <si>
    <t>01632496</t>
  </si>
  <si>
    <t xml:space="preserve">Сорочелоговской сельсовет</t>
  </si>
  <si>
    <t>01632497</t>
  </si>
  <si>
    <t xml:space="preserve">Петропавловский муниципальный район</t>
  </si>
  <si>
    <t>01633405</t>
  </si>
  <si>
    <t xml:space="preserve">Антоньевский сельсовет</t>
  </si>
  <si>
    <t>01633407</t>
  </si>
  <si>
    <t xml:space="preserve">Зеленодольский сельсовет</t>
  </si>
  <si>
    <t>01633414</t>
  </si>
  <si>
    <t>01633423</t>
  </si>
  <si>
    <t>01633434</t>
  </si>
  <si>
    <t xml:space="preserve">Новообинский сельсовет</t>
  </si>
  <si>
    <t>01633440</t>
  </si>
  <si>
    <t xml:space="preserve">Паутовский сельсовет</t>
  </si>
  <si>
    <t>01633446</t>
  </si>
  <si>
    <t>01633000</t>
  </si>
  <si>
    <t xml:space="preserve">Петропавловский сельсовет</t>
  </si>
  <si>
    <t>01633457</t>
  </si>
  <si>
    <t xml:space="preserve">Соловьихинский сельсовет</t>
  </si>
  <si>
    <t>01633479</t>
  </si>
  <si>
    <t xml:space="preserve">Поспелихинский муниципальный район</t>
  </si>
  <si>
    <t xml:space="preserve">12 лет Октября сельсовет</t>
  </si>
  <si>
    <t>01634422</t>
  </si>
  <si>
    <t xml:space="preserve">Борковский сельсовет</t>
  </si>
  <si>
    <t>01634408</t>
  </si>
  <si>
    <t xml:space="preserve">Калмыцко-Мысовской сельсовет</t>
  </si>
  <si>
    <t>01634433</t>
  </si>
  <si>
    <t xml:space="preserve">Клепечихинский сельсовет</t>
  </si>
  <si>
    <t>01634439</t>
  </si>
  <si>
    <t xml:space="preserve">Красноалтайский сельсовет</t>
  </si>
  <si>
    <t>01634445</t>
  </si>
  <si>
    <t xml:space="preserve">Красноярский сельсовет</t>
  </si>
  <si>
    <t>01634450</t>
  </si>
  <si>
    <t>01634467</t>
  </si>
  <si>
    <t>01634478</t>
  </si>
  <si>
    <t xml:space="preserve">Озимовский сельсовет</t>
  </si>
  <si>
    <t>01634482</t>
  </si>
  <si>
    <t xml:space="preserve">Поспелихинский Центральный сельсовет</t>
  </si>
  <si>
    <t>01634495</t>
  </si>
  <si>
    <t>01634000</t>
  </si>
  <si>
    <t xml:space="preserve">Поспелихинский сельсовет</t>
  </si>
  <si>
    <t>01634489</t>
  </si>
  <si>
    <t xml:space="preserve">Ребрихинский муниципальный район</t>
  </si>
  <si>
    <t>01635407</t>
  </si>
  <si>
    <t xml:space="preserve">Боровлянский сельсовет</t>
  </si>
  <si>
    <t>01635412</t>
  </si>
  <si>
    <t xml:space="preserve">Воронихинский сельсовет</t>
  </si>
  <si>
    <t>01635419</t>
  </si>
  <si>
    <t xml:space="preserve">Зеленорощинский сельсовет</t>
  </si>
  <si>
    <t>01635430</t>
  </si>
  <si>
    <t xml:space="preserve">Зиминский сельсовет</t>
  </si>
  <si>
    <t>01635436</t>
  </si>
  <si>
    <t xml:space="preserve">Клочковский сельсовет</t>
  </si>
  <si>
    <t>01635442</t>
  </si>
  <si>
    <t xml:space="preserve">Пановский сельсовет</t>
  </si>
  <si>
    <t>01635456</t>
  </si>
  <si>
    <t xml:space="preserve">Плоскосеминский сельсовет</t>
  </si>
  <si>
    <t>01635458</t>
  </si>
  <si>
    <t xml:space="preserve">Подстепновский сельсовет</t>
  </si>
  <si>
    <t>01635459</t>
  </si>
  <si>
    <t>01635000</t>
  </si>
  <si>
    <t xml:space="preserve">Ребрихинский сельсовет</t>
  </si>
  <si>
    <t>01635464</t>
  </si>
  <si>
    <t xml:space="preserve">Рожне-Логовской сельсовет</t>
  </si>
  <si>
    <t>01635470</t>
  </si>
  <si>
    <t xml:space="preserve">Станционно-Ребрихинский сельсовет</t>
  </si>
  <si>
    <t>01635476</t>
  </si>
  <si>
    <t xml:space="preserve">Усть-Мосихинский сельсовет</t>
  </si>
  <si>
    <t>01635479</t>
  </si>
  <si>
    <t xml:space="preserve">Родинский муниципальный район</t>
  </si>
  <si>
    <t xml:space="preserve">Зелёнолуговской сельсовет</t>
  </si>
  <si>
    <t>01636410</t>
  </si>
  <si>
    <t xml:space="preserve">Каяушинский сельсовет</t>
  </si>
  <si>
    <t>01636422</t>
  </si>
  <si>
    <t xml:space="preserve">Кочкинский сельсовет</t>
  </si>
  <si>
    <t>01636428</t>
  </si>
  <si>
    <t xml:space="preserve">Мирненский сельсовет</t>
  </si>
  <si>
    <t>01636434</t>
  </si>
  <si>
    <t>01636445</t>
  </si>
  <si>
    <t xml:space="preserve">Раздольненский сельсовет</t>
  </si>
  <si>
    <t>01636451</t>
  </si>
  <si>
    <t>01636000</t>
  </si>
  <si>
    <t xml:space="preserve">Родинский сельсовет</t>
  </si>
  <si>
    <t>01636456</t>
  </si>
  <si>
    <t xml:space="preserve">Степно-Кучукский сельсовет</t>
  </si>
  <si>
    <t>01636472</t>
  </si>
  <si>
    <t xml:space="preserve">Степновский сельсовет</t>
  </si>
  <si>
    <t>01636468</t>
  </si>
  <si>
    <t xml:space="preserve">Центральный сельсовет</t>
  </si>
  <si>
    <t>01636480</t>
  </si>
  <si>
    <t xml:space="preserve">Шаталовский сельсовет</t>
  </si>
  <si>
    <t>01636474</t>
  </si>
  <si>
    <t xml:space="preserve">Ярослав-Логовской сельсовет</t>
  </si>
  <si>
    <t>01636491</t>
  </si>
  <si>
    <t xml:space="preserve">Романовский муниципальный район</t>
  </si>
  <si>
    <t xml:space="preserve">Гилёв-Логовской сельсовет</t>
  </si>
  <si>
    <t>01637407</t>
  </si>
  <si>
    <t xml:space="preserve">Грано-Маяковский сельсовет</t>
  </si>
  <si>
    <t>01637412</t>
  </si>
  <si>
    <t xml:space="preserve">Гуселетовский сельсовет</t>
  </si>
  <si>
    <t>01637417</t>
  </si>
  <si>
    <t xml:space="preserve">Дубровинский сельсовет</t>
  </si>
  <si>
    <t>01637422</t>
  </si>
  <si>
    <t xml:space="preserve">Закладинский сельсовет</t>
  </si>
  <si>
    <t>01637435</t>
  </si>
  <si>
    <t>01637440</t>
  </si>
  <si>
    <t xml:space="preserve">Майский сельсовет</t>
  </si>
  <si>
    <t>01637446</t>
  </si>
  <si>
    <t xml:space="preserve">Мормышанский сельсовет</t>
  </si>
  <si>
    <t>01637457</t>
  </si>
  <si>
    <t xml:space="preserve">Рассветовский сельсовет</t>
  </si>
  <si>
    <t>01637466</t>
  </si>
  <si>
    <t>01637000</t>
  </si>
  <si>
    <t>01637468</t>
  </si>
  <si>
    <t xml:space="preserve">Сидоровский сельсовет</t>
  </si>
  <si>
    <t>01637479</t>
  </si>
  <si>
    <t xml:space="preserve">Тамбовский сельсовет</t>
  </si>
  <si>
    <t>01637482</t>
  </si>
  <si>
    <t xml:space="preserve">Рубцовский муниципальный район</t>
  </si>
  <si>
    <t xml:space="preserve">Безрукавский сельсовет</t>
  </si>
  <si>
    <t>01638406</t>
  </si>
  <si>
    <t xml:space="preserve">Бобковский сельсовет</t>
  </si>
  <si>
    <t>01638412</t>
  </si>
  <si>
    <t xml:space="preserve">Большешелковниковский сельсовет</t>
  </si>
  <si>
    <t>01638415</t>
  </si>
  <si>
    <t xml:space="preserve">Веселоярский сельсовет</t>
  </si>
  <si>
    <t>01638418</t>
  </si>
  <si>
    <t xml:space="preserve">Вишневский сельсовет</t>
  </si>
  <si>
    <t>01638420</t>
  </si>
  <si>
    <t xml:space="preserve">Дальний сельсовет</t>
  </si>
  <si>
    <t>01638422</t>
  </si>
  <si>
    <t xml:space="preserve">Куйбышевский сельсовет</t>
  </si>
  <si>
    <t>01638425</t>
  </si>
  <si>
    <t xml:space="preserve">Новоалександровский сельсовет</t>
  </si>
  <si>
    <t>01638437</t>
  </si>
  <si>
    <t xml:space="preserve">Новониколаевский сельсовет</t>
  </si>
  <si>
    <t>01638440</t>
  </si>
  <si>
    <t xml:space="preserve">Новороссийский сельсовет</t>
  </si>
  <si>
    <t>01638444</t>
  </si>
  <si>
    <t xml:space="preserve">Новосклюихинский сельсовет</t>
  </si>
  <si>
    <t>01638447</t>
  </si>
  <si>
    <t xml:space="preserve">Половинкинский сельсовет</t>
  </si>
  <si>
    <t>01638451</t>
  </si>
  <si>
    <t>01638460</t>
  </si>
  <si>
    <t>01638000</t>
  </si>
  <si>
    <t xml:space="preserve">Рубцовский сельсовет</t>
  </si>
  <si>
    <t>01638462</t>
  </si>
  <si>
    <t>01638465</t>
  </si>
  <si>
    <t xml:space="preserve">Саратовский сельсовет</t>
  </si>
  <si>
    <t>01638467</t>
  </si>
  <si>
    <t xml:space="preserve">Тишинский сельсовет</t>
  </si>
  <si>
    <t>01638471</t>
  </si>
  <si>
    <t xml:space="preserve">Смоленский муниципальный район</t>
  </si>
  <si>
    <t xml:space="preserve">Ануйский сельсовет</t>
  </si>
  <si>
    <t>01640405</t>
  </si>
  <si>
    <t xml:space="preserve">Верх-Обский сельсовет</t>
  </si>
  <si>
    <t>01640412</t>
  </si>
  <si>
    <t>01640423</t>
  </si>
  <si>
    <t xml:space="preserve">Линевский сельсовет</t>
  </si>
  <si>
    <t>01640434</t>
  </si>
  <si>
    <t xml:space="preserve">Новотырышкинский сельсовет</t>
  </si>
  <si>
    <t>01640445</t>
  </si>
  <si>
    <t>01640000</t>
  </si>
  <si>
    <t xml:space="preserve">Смоленский сельсовет</t>
  </si>
  <si>
    <t>01640456</t>
  </si>
  <si>
    <t>01640460</t>
  </si>
  <si>
    <t xml:space="preserve">Сычевский сельсовет</t>
  </si>
  <si>
    <t>01640466</t>
  </si>
  <si>
    <t xml:space="preserve">Точилинский сельсовет</t>
  </si>
  <si>
    <t>01640479</t>
  </si>
  <si>
    <t xml:space="preserve">Советский муниципальный район</t>
  </si>
  <si>
    <t xml:space="preserve">Кокшинский сельсовет</t>
  </si>
  <si>
    <t>01642411</t>
  </si>
  <si>
    <t xml:space="preserve">Коловский сельсовет</t>
  </si>
  <si>
    <t>01642415</t>
  </si>
  <si>
    <t>01642420</t>
  </si>
  <si>
    <t xml:space="preserve">Никольский сельсовет</t>
  </si>
  <si>
    <t>01642429</t>
  </si>
  <si>
    <t xml:space="preserve">Платовский сельсовет</t>
  </si>
  <si>
    <t>01642435</t>
  </si>
  <si>
    <t xml:space="preserve">Половинский сельсовет</t>
  </si>
  <si>
    <t>01642440</t>
  </si>
  <si>
    <t xml:space="preserve">Сетовский сельсовет</t>
  </si>
  <si>
    <t>01642447</t>
  </si>
  <si>
    <t>01642000</t>
  </si>
  <si>
    <t xml:space="preserve">Советский сельсовет</t>
  </si>
  <si>
    <t>01642452</t>
  </si>
  <si>
    <t xml:space="preserve">Талицкий сельсовет</t>
  </si>
  <si>
    <t>01642457</t>
  </si>
  <si>
    <t xml:space="preserve">Урожайный сельсовет</t>
  </si>
  <si>
    <t>01642466</t>
  </si>
  <si>
    <t xml:space="preserve">Шульгин-Логский сельсовет</t>
  </si>
  <si>
    <t>01642471</t>
  </si>
  <si>
    <t xml:space="preserve">Шульгинский сельсовет</t>
  </si>
  <si>
    <t>01642472</t>
  </si>
  <si>
    <t xml:space="preserve">Солонешенский муниципальный район</t>
  </si>
  <si>
    <t>01643407</t>
  </si>
  <si>
    <t>01643423</t>
  </si>
  <si>
    <t xml:space="preserve">Лютаевский сельсовет</t>
  </si>
  <si>
    <t>01643434</t>
  </si>
  <si>
    <t xml:space="preserve">Сибирячихинский сельсовет</t>
  </si>
  <si>
    <t>01643445</t>
  </si>
  <si>
    <t>01643000</t>
  </si>
  <si>
    <t xml:space="preserve">Солонешенский сельсовет</t>
  </si>
  <si>
    <t>01643450</t>
  </si>
  <si>
    <t xml:space="preserve">Степной сельсовет</t>
  </si>
  <si>
    <t>01643457</t>
  </si>
  <si>
    <t xml:space="preserve">Тополинский сельсовет</t>
  </si>
  <si>
    <t>01643470</t>
  </si>
  <si>
    <t>01643481</t>
  </si>
  <si>
    <t xml:space="preserve">Солтонский муниципальный район</t>
  </si>
  <si>
    <t xml:space="preserve">Карабинский сельсовет</t>
  </si>
  <si>
    <t>01644424</t>
  </si>
  <si>
    <t>01644436</t>
  </si>
  <si>
    <t xml:space="preserve">Ненинский сельсовет</t>
  </si>
  <si>
    <t>01644447</t>
  </si>
  <si>
    <t xml:space="preserve">Нижнененинский сельсовет</t>
  </si>
  <si>
    <t>01644450</t>
  </si>
  <si>
    <t>01644000</t>
  </si>
  <si>
    <t xml:space="preserve">Солтонский сельсовет</t>
  </si>
  <si>
    <t>01644481</t>
  </si>
  <si>
    <t xml:space="preserve">Сузопский сельсовет</t>
  </si>
  <si>
    <t>01644492</t>
  </si>
  <si>
    <t xml:space="preserve">Суетский муниципальный район</t>
  </si>
  <si>
    <t>01641404</t>
  </si>
  <si>
    <t xml:space="preserve">Боронский сельсовет</t>
  </si>
  <si>
    <t>01641410</t>
  </si>
  <si>
    <t xml:space="preserve">Верх-Суетский сельсовет</t>
  </si>
  <si>
    <t>01641413</t>
  </si>
  <si>
    <t xml:space="preserve">Нижнесуетский сельсовет</t>
  </si>
  <si>
    <t>01641425</t>
  </si>
  <si>
    <t>01641000</t>
  </si>
  <si>
    <t xml:space="preserve">Табунский муниципальный район</t>
  </si>
  <si>
    <t>01646407</t>
  </si>
  <si>
    <t xml:space="preserve">Большеромановский сельсовет</t>
  </si>
  <si>
    <t>01646422</t>
  </si>
  <si>
    <t xml:space="preserve">Лебединский сельсовет</t>
  </si>
  <si>
    <t>01646440</t>
  </si>
  <si>
    <t xml:space="preserve">Серебропольский сельсовет</t>
  </si>
  <si>
    <t>01646455</t>
  </si>
  <si>
    <t>01646000</t>
  </si>
  <si>
    <t xml:space="preserve">Табунский сельсовет</t>
  </si>
  <si>
    <t>01646466</t>
  </si>
  <si>
    <t xml:space="preserve">Тальменский муниципальный район</t>
  </si>
  <si>
    <t xml:space="preserve">Анисимовский сельсовет</t>
  </si>
  <si>
    <t>01647406</t>
  </si>
  <si>
    <t xml:space="preserve">Зайцевский сельсовет</t>
  </si>
  <si>
    <t>01647415</t>
  </si>
  <si>
    <t>01647424</t>
  </si>
  <si>
    <t xml:space="preserve">Кашкарагаихинский сельсовет</t>
  </si>
  <si>
    <t>01647430</t>
  </si>
  <si>
    <t xml:space="preserve">Курочкинский сельсовет</t>
  </si>
  <si>
    <t>01647436</t>
  </si>
  <si>
    <t xml:space="preserve">Ларичихинский сельсовет</t>
  </si>
  <si>
    <t>01647442</t>
  </si>
  <si>
    <t>01647448</t>
  </si>
  <si>
    <t xml:space="preserve">Лушниковский сельсовет</t>
  </si>
  <si>
    <t>01647451</t>
  </si>
  <si>
    <t xml:space="preserve">Новоозерский сельсовет</t>
  </si>
  <si>
    <t>01647456</t>
  </si>
  <si>
    <t xml:space="preserve">Новоперуновский сельсовет</t>
  </si>
  <si>
    <t>01647459</t>
  </si>
  <si>
    <t xml:space="preserve">Новотроицкий сельсовет</t>
  </si>
  <si>
    <t>01647462</t>
  </si>
  <si>
    <t xml:space="preserve">Озерский сельсовет</t>
  </si>
  <si>
    <t>01647466</t>
  </si>
  <si>
    <t xml:space="preserve">Речкуновский сельсовет</t>
  </si>
  <si>
    <t>01647470</t>
  </si>
  <si>
    <t xml:space="preserve">Среднесибирский сельсовет</t>
  </si>
  <si>
    <t>01647473</t>
  </si>
  <si>
    <t xml:space="preserve">Староперуновский сельсовет</t>
  </si>
  <si>
    <t>01647475</t>
  </si>
  <si>
    <t>01647000</t>
  </si>
  <si>
    <t xml:space="preserve">Тальменский поссовет</t>
  </si>
  <si>
    <t>01647151</t>
  </si>
  <si>
    <t xml:space="preserve">Шадринцевский сельсовет</t>
  </si>
  <si>
    <t>01647482</t>
  </si>
  <si>
    <t xml:space="preserve">Шишкинский сельсовет</t>
  </si>
  <si>
    <t>01647492</t>
  </si>
  <si>
    <t xml:space="preserve">Тогульский муниципальный район</t>
  </si>
  <si>
    <t xml:space="preserve">Антипинский сельсовет</t>
  </si>
  <si>
    <t>01648406</t>
  </si>
  <si>
    <t xml:space="preserve">Новоиушинский сельсовет</t>
  </si>
  <si>
    <t>01648430</t>
  </si>
  <si>
    <t xml:space="preserve">Старотогульский сельсовет</t>
  </si>
  <si>
    <t>01648436</t>
  </si>
  <si>
    <t>01648000</t>
  </si>
  <si>
    <t xml:space="preserve">Тогульский сельсовет</t>
  </si>
  <si>
    <t>01648446</t>
  </si>
  <si>
    <t xml:space="preserve">Топтушинский сельсовет</t>
  </si>
  <si>
    <t>01648457</t>
  </si>
  <si>
    <t xml:space="preserve">Топчихинский муниципальный район</t>
  </si>
  <si>
    <t xml:space="preserve">Белояровский сельсовет</t>
  </si>
  <si>
    <t>01649403</t>
  </si>
  <si>
    <t xml:space="preserve">Володарский сельсовет</t>
  </si>
  <si>
    <t>01649407</t>
  </si>
  <si>
    <t>01649409</t>
  </si>
  <si>
    <t>01649412</t>
  </si>
  <si>
    <t>01649420</t>
  </si>
  <si>
    <t>01649424</t>
  </si>
  <si>
    <t>01649436</t>
  </si>
  <si>
    <t xml:space="preserve">Парфеновский сельсовет</t>
  </si>
  <si>
    <t>01649447</t>
  </si>
  <si>
    <t xml:space="preserve">Переясловский сельсовет</t>
  </si>
  <si>
    <t>01649450</t>
  </si>
  <si>
    <t xml:space="preserve">Победимский сельсовет</t>
  </si>
  <si>
    <t>01649452</t>
  </si>
  <si>
    <t>01649454</t>
  </si>
  <si>
    <t>01649460</t>
  </si>
  <si>
    <t>01649000</t>
  </si>
  <si>
    <t xml:space="preserve">Топчихинский сельсовет</t>
  </si>
  <si>
    <t>01649462</t>
  </si>
  <si>
    <t xml:space="preserve">Фунтиковский сельсовет</t>
  </si>
  <si>
    <t>01649469</t>
  </si>
  <si>
    <t xml:space="preserve">Хабазинский сельсовет</t>
  </si>
  <si>
    <t>01649475</t>
  </si>
  <si>
    <t xml:space="preserve">Чаузовский сельсовет</t>
  </si>
  <si>
    <t>01649480</t>
  </si>
  <si>
    <t xml:space="preserve">Чистюньский сельсовет</t>
  </si>
  <si>
    <t>01649491</t>
  </si>
  <si>
    <t xml:space="preserve">Третьяковский муниципальный район</t>
  </si>
  <si>
    <t xml:space="preserve">Екатерининский сельсовет</t>
  </si>
  <si>
    <t>01650411</t>
  </si>
  <si>
    <t xml:space="preserve">Корболихинский сельсовет</t>
  </si>
  <si>
    <t>01650422</t>
  </si>
  <si>
    <t xml:space="preserve">Новоалейский сельсовет</t>
  </si>
  <si>
    <t>01650433</t>
  </si>
  <si>
    <t xml:space="preserve">Первокаменский сельсовет</t>
  </si>
  <si>
    <t>01650444</t>
  </si>
  <si>
    <t xml:space="preserve">Плосковский сельсовет</t>
  </si>
  <si>
    <t>01650455</t>
  </si>
  <si>
    <t xml:space="preserve">Садовый сельсовет</t>
  </si>
  <si>
    <t>01650460</t>
  </si>
  <si>
    <t xml:space="preserve">Староалейский сельсовет</t>
  </si>
  <si>
    <t>01650466</t>
  </si>
  <si>
    <t>01650000</t>
  </si>
  <si>
    <t xml:space="preserve">Третьяковский сельсовет</t>
  </si>
  <si>
    <t>01650477</t>
  </si>
  <si>
    <t xml:space="preserve">Шипунихинский сельсовет</t>
  </si>
  <si>
    <t>01650488</t>
  </si>
  <si>
    <t xml:space="preserve">Троицкий муниципальный район</t>
  </si>
  <si>
    <t>01651408</t>
  </si>
  <si>
    <t>01651410</t>
  </si>
  <si>
    <t xml:space="preserve">Гордеевский сельсовет</t>
  </si>
  <si>
    <t>01651414</t>
  </si>
  <si>
    <t xml:space="preserve">Ереминский сельсовет</t>
  </si>
  <si>
    <t>01651425</t>
  </si>
  <si>
    <t xml:space="preserve">Заводской сельсовет</t>
  </si>
  <si>
    <t>01651430</t>
  </si>
  <si>
    <t>01651434</t>
  </si>
  <si>
    <t xml:space="preserve">Кипешинский сельсовет</t>
  </si>
  <si>
    <t>01651440</t>
  </si>
  <si>
    <t xml:space="preserve">Петровский сельсовет</t>
  </si>
  <si>
    <t>01651454</t>
  </si>
  <si>
    <t>01651000</t>
  </si>
  <si>
    <t xml:space="preserve">Троицкий сельсовет</t>
  </si>
  <si>
    <t>01651457</t>
  </si>
  <si>
    <t xml:space="preserve">Хайрюзовский сельсовет</t>
  </si>
  <si>
    <t>01651470</t>
  </si>
  <si>
    <t xml:space="preserve">Южаковский сельсовет</t>
  </si>
  <si>
    <t>01651492</t>
  </si>
  <si>
    <t xml:space="preserve">Тюменцевский муниципальный район</t>
  </si>
  <si>
    <t xml:space="preserve">Андроновский сельсовет</t>
  </si>
  <si>
    <t>01652403</t>
  </si>
  <si>
    <t>01652407</t>
  </si>
  <si>
    <t xml:space="preserve">Вылковский сельсовет</t>
  </si>
  <si>
    <t>01652416</t>
  </si>
  <si>
    <t xml:space="preserve">Грязновский сельсовет</t>
  </si>
  <si>
    <t>01652420</t>
  </si>
  <si>
    <t>01652425</t>
  </si>
  <si>
    <t xml:space="preserve">Ключевской сельсовет</t>
  </si>
  <si>
    <t>01652432</t>
  </si>
  <si>
    <t xml:space="preserve">Королевский сельсовет</t>
  </si>
  <si>
    <t>01652436</t>
  </si>
  <si>
    <t xml:space="preserve">Мезенцевский сельсовет</t>
  </si>
  <si>
    <t>01652450</t>
  </si>
  <si>
    <t xml:space="preserve">Новокарповский сельсовет</t>
  </si>
  <si>
    <t>01652452</t>
  </si>
  <si>
    <t>01652000</t>
  </si>
  <si>
    <t xml:space="preserve">Тюменцевский сельсовет</t>
  </si>
  <si>
    <t>01652458</t>
  </si>
  <si>
    <t xml:space="preserve">Урывский сельсовет</t>
  </si>
  <si>
    <t>01652461</t>
  </si>
  <si>
    <t>01652469</t>
  </si>
  <si>
    <t xml:space="preserve">Шарчинский сельсовет</t>
  </si>
  <si>
    <t>01652480</t>
  </si>
  <si>
    <t xml:space="preserve">Юдихинский сельсовет</t>
  </si>
  <si>
    <t>01652485</t>
  </si>
  <si>
    <t xml:space="preserve">Угловский муниципальный район</t>
  </si>
  <si>
    <t xml:space="preserve">Круглянский сельсовет</t>
  </si>
  <si>
    <t>01653411</t>
  </si>
  <si>
    <t xml:space="preserve">Лаптевский сельсовет</t>
  </si>
  <si>
    <t>01653422</t>
  </si>
  <si>
    <t xml:space="preserve">Озерно-Кузнецовский сельсовет</t>
  </si>
  <si>
    <t>01653455</t>
  </si>
  <si>
    <t>01653466</t>
  </si>
  <si>
    <t xml:space="preserve">Симоновский сельсовет</t>
  </si>
  <si>
    <t>01653477</t>
  </si>
  <si>
    <t>01653480</t>
  </si>
  <si>
    <t>01653000</t>
  </si>
  <si>
    <t xml:space="preserve">Угловский сельсовет</t>
  </si>
  <si>
    <t>01653488</t>
  </si>
  <si>
    <t xml:space="preserve">Усть-Калманский муниципальный район</t>
  </si>
  <si>
    <t xml:space="preserve">Кабановский сельсовет</t>
  </si>
  <si>
    <t>01654408</t>
  </si>
  <si>
    <t>01654411</t>
  </si>
  <si>
    <t xml:space="preserve">Новобурановский сельсовет</t>
  </si>
  <si>
    <t>01654422</t>
  </si>
  <si>
    <t xml:space="preserve">Новокалманский сельсовет</t>
  </si>
  <si>
    <t>01654433</t>
  </si>
  <si>
    <t xml:space="preserve">Огневский сельсовет</t>
  </si>
  <si>
    <t>01654444</t>
  </si>
  <si>
    <t xml:space="preserve">Пономаревский сельсовет</t>
  </si>
  <si>
    <t>01654446</t>
  </si>
  <si>
    <t xml:space="preserve">Приозёрный сельсовет</t>
  </si>
  <si>
    <t>01654448</t>
  </si>
  <si>
    <t>01654000</t>
  </si>
  <si>
    <t xml:space="preserve">Усть-Калманский сельсовет</t>
  </si>
  <si>
    <t>01654455</t>
  </si>
  <si>
    <t xml:space="preserve">Чарышский сельсовет</t>
  </si>
  <si>
    <t>01654466</t>
  </si>
  <si>
    <t xml:space="preserve">Усть-Пристанский муниципальный район</t>
  </si>
  <si>
    <t>01655408</t>
  </si>
  <si>
    <t xml:space="preserve">Брусенцевский сельсовет</t>
  </si>
  <si>
    <t>01655411</t>
  </si>
  <si>
    <t xml:space="preserve">Вяткинский сельсовет</t>
  </si>
  <si>
    <t>01655419</t>
  </si>
  <si>
    <t xml:space="preserve">Елбанский сельсовет</t>
  </si>
  <si>
    <t>01655423</t>
  </si>
  <si>
    <t xml:space="preserve">Клепиковский сельсовет</t>
  </si>
  <si>
    <t>01655434</t>
  </si>
  <si>
    <t xml:space="preserve">Коробейниковский сельсовет</t>
  </si>
  <si>
    <t>01655440</t>
  </si>
  <si>
    <t xml:space="preserve">Краснодарский сельсовет</t>
  </si>
  <si>
    <t>01655443</t>
  </si>
  <si>
    <t>01655446</t>
  </si>
  <si>
    <t xml:space="preserve">Нижнегусихинский сельсовет</t>
  </si>
  <si>
    <t>01655457</t>
  </si>
  <si>
    <t xml:space="preserve">Нижнеозернинский сельсовет</t>
  </si>
  <si>
    <t>01655460</t>
  </si>
  <si>
    <t>01655470</t>
  </si>
  <si>
    <t>01655000</t>
  </si>
  <si>
    <t xml:space="preserve">Усть-Пристанский сельсовет</t>
  </si>
  <si>
    <t>01655480</t>
  </si>
  <si>
    <t xml:space="preserve">Чеканихинский сельсовет</t>
  </si>
  <si>
    <t>01655491</t>
  </si>
  <si>
    <t xml:space="preserve">Хабарский муниципальный район</t>
  </si>
  <si>
    <t xml:space="preserve">Зятьково-Реченский сельсовет</t>
  </si>
  <si>
    <t>01656412</t>
  </si>
  <si>
    <t xml:space="preserve">Коротоякский сельсовет</t>
  </si>
  <si>
    <t>01656420</t>
  </si>
  <si>
    <t xml:space="preserve">Мартовский сельсовет</t>
  </si>
  <si>
    <t>01656430</t>
  </si>
  <si>
    <t xml:space="preserve">Мичуринский сельсовет</t>
  </si>
  <si>
    <t>01656435</t>
  </si>
  <si>
    <t xml:space="preserve">Новоильинский сельсовет</t>
  </si>
  <si>
    <t>01656446</t>
  </si>
  <si>
    <t xml:space="preserve">Плесо-Курьинский сельсовет</t>
  </si>
  <si>
    <t>01656460</t>
  </si>
  <si>
    <t xml:space="preserve">Свердловский сельсовет</t>
  </si>
  <si>
    <t>01656480</t>
  </si>
  <si>
    <t>01656486</t>
  </si>
  <si>
    <t xml:space="preserve">Утянский сельсовет</t>
  </si>
  <si>
    <t>01656490</t>
  </si>
  <si>
    <t>01656000</t>
  </si>
  <si>
    <t xml:space="preserve">Хабарский сельсовет</t>
  </si>
  <si>
    <t>01656493</t>
  </si>
  <si>
    <t xml:space="preserve">Целинный муниципальный район</t>
  </si>
  <si>
    <t xml:space="preserve">Бочкаревский сельсовет</t>
  </si>
  <si>
    <t>01657407</t>
  </si>
  <si>
    <t xml:space="preserve">Воеводский сельсовет</t>
  </si>
  <si>
    <t>01657412</t>
  </si>
  <si>
    <t>01657415</t>
  </si>
  <si>
    <t xml:space="preserve">Еландинский сельсовет</t>
  </si>
  <si>
    <t>01657420</t>
  </si>
  <si>
    <t xml:space="preserve">Ложкинский сельсовет</t>
  </si>
  <si>
    <t>01657430</t>
  </si>
  <si>
    <t xml:space="preserve">Марушинский сельсовет</t>
  </si>
  <si>
    <t>01657434</t>
  </si>
  <si>
    <t xml:space="preserve">Овсянниковский сельсовет</t>
  </si>
  <si>
    <t>01657445</t>
  </si>
  <si>
    <t xml:space="preserve">Степно-Чумышский сельсовет</t>
  </si>
  <si>
    <t>01657464</t>
  </si>
  <si>
    <t xml:space="preserve">Сухо-Чемровский сельсовет</t>
  </si>
  <si>
    <t>01657468</t>
  </si>
  <si>
    <t xml:space="preserve">Хомутинский сельсовет</t>
  </si>
  <si>
    <t>01657473</t>
  </si>
  <si>
    <t>01657000</t>
  </si>
  <si>
    <t xml:space="preserve">Целинный сельсовет</t>
  </si>
  <si>
    <t>01657479</t>
  </si>
  <si>
    <t xml:space="preserve">Шалапский сельсовет</t>
  </si>
  <si>
    <t>01657490</t>
  </si>
  <si>
    <t xml:space="preserve">Чарышский муниципальный район</t>
  </si>
  <si>
    <t>01658455</t>
  </si>
  <si>
    <t>01658411</t>
  </si>
  <si>
    <t>01658420</t>
  </si>
  <si>
    <t xml:space="preserve">Малобащелакский сельсовет</t>
  </si>
  <si>
    <t>01658422</t>
  </si>
  <si>
    <t>01658433</t>
  </si>
  <si>
    <t xml:space="preserve">Маякский сельсовет</t>
  </si>
  <si>
    <t>01658444</t>
  </si>
  <si>
    <t xml:space="preserve">Сентелекский сельсовет</t>
  </si>
  <si>
    <t>01658466</t>
  </si>
  <si>
    <t xml:space="preserve">Тулатинский сельсовет</t>
  </si>
  <si>
    <t>01658477</t>
  </si>
  <si>
    <t>01658000</t>
  </si>
  <si>
    <t>01658488</t>
  </si>
  <si>
    <t xml:space="preserve">Шелаболихинский муниципальный район</t>
  </si>
  <si>
    <t xml:space="preserve">Верх-Кучукский сельсовет</t>
  </si>
  <si>
    <t>01645410</t>
  </si>
  <si>
    <t xml:space="preserve">Ильинский сельсовет</t>
  </si>
  <si>
    <t>01645420</t>
  </si>
  <si>
    <t xml:space="preserve">Инской сельсовет</t>
  </si>
  <si>
    <t>01645423</t>
  </si>
  <si>
    <t xml:space="preserve">Кипринский сельсовет</t>
  </si>
  <si>
    <t>01645428</t>
  </si>
  <si>
    <t xml:space="preserve">Крутишинский сельсовет</t>
  </si>
  <si>
    <t>01645430</t>
  </si>
  <si>
    <t xml:space="preserve">Кучукский сельсовет</t>
  </si>
  <si>
    <t>01645433</t>
  </si>
  <si>
    <t xml:space="preserve">Макаровский сельсовет</t>
  </si>
  <si>
    <t>01645438</t>
  </si>
  <si>
    <t xml:space="preserve">Новообинцевский сельсовет</t>
  </si>
  <si>
    <t>01645442</t>
  </si>
  <si>
    <t>01645000</t>
  </si>
  <si>
    <t xml:space="preserve">Шелаболихинский сельсовет</t>
  </si>
  <si>
    <t>01645460</t>
  </si>
  <si>
    <t xml:space="preserve">Шипуновский муниципальный район</t>
  </si>
  <si>
    <t xml:space="preserve">Белоглазовский сельсовет</t>
  </si>
  <si>
    <t>01659409</t>
  </si>
  <si>
    <t>01659413</t>
  </si>
  <si>
    <t xml:space="preserve">Войковский сельсовет</t>
  </si>
  <si>
    <t>01659420</t>
  </si>
  <si>
    <t xml:space="preserve">Горьковский сельсовет</t>
  </si>
  <si>
    <t>01659426</t>
  </si>
  <si>
    <t>01659430</t>
  </si>
  <si>
    <t xml:space="preserve">Зеркальский сельсовет</t>
  </si>
  <si>
    <t>01659435</t>
  </si>
  <si>
    <t>01659439</t>
  </si>
  <si>
    <t xml:space="preserve">Комарихинский сельсовет</t>
  </si>
  <si>
    <t>01659442</t>
  </si>
  <si>
    <t xml:space="preserve">Краснояровский сельсовет</t>
  </si>
  <si>
    <t>01659446</t>
  </si>
  <si>
    <t xml:space="preserve">Нечунаевский сельсовет</t>
  </si>
  <si>
    <t>01659452</t>
  </si>
  <si>
    <t>01659462</t>
  </si>
  <si>
    <t xml:space="preserve">Порожненский сельсовет</t>
  </si>
  <si>
    <t>01659465</t>
  </si>
  <si>
    <t>01659470</t>
  </si>
  <si>
    <t xml:space="preserve">Российский сельсовет</t>
  </si>
  <si>
    <t>01659474</t>
  </si>
  <si>
    <t xml:space="preserve">Самсоновский сельсовет</t>
  </si>
  <si>
    <t>01659478</t>
  </si>
  <si>
    <t xml:space="preserve">Тугозвоновский сельсовет</t>
  </si>
  <si>
    <t>01659480</t>
  </si>
  <si>
    <t xml:space="preserve">Урлаповский сельсовет</t>
  </si>
  <si>
    <t>01659485</t>
  </si>
  <si>
    <t xml:space="preserve">Хлопуновский сельсовет</t>
  </si>
  <si>
    <t>01659490</t>
  </si>
  <si>
    <t>01659000</t>
  </si>
  <si>
    <t xml:space="preserve">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</si>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</sst>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b/>
      <sz val="9.000000"/>
      <color indexed="64"/>
      <name val="Tahoma"/>
    </font>
    <font>
      <b/>
      <sz val="8.000000"/>
      <color theme="0"/>
      <name val="Wingdings 2"/>
    </font>
    <font>
      <sz val="8.000000"/>
      <color indexed="18"/>
      <name val="Tahoma"/>
    </font>
    <font>
      <b/>
      <sz val="8.000000"/>
      <color indexed="22"/>
      <name val="Wingdings 2"/>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lightDown">
        <fgColor rgb="FFB7E4FF"/>
        <bgColor indexed="65"/>
      </patternFill>
    </fill>
    <fill>
      <patternFill patternType="solid">
        <fgColor indexed="5"/>
        <bgColor indexed="5"/>
      </patternFill>
    </fill>
    <fill>
      <patternFill patternType="solid">
        <fgColor rgb="FFFFB7B7"/>
        <bgColor rgb="FFFFB7B7"/>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thin">
        <color rgb="FFBCBCBC"/>
      </top>
      <bottom style="thin">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1">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41" borderId="32" numFmtId="49" xfId="0" applyNumberFormat="1" applyFont="1" applyFill="1" applyBorder="1" applyAlignment="1">
      <alignment horizontal="center"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41" borderId="42" numFmtId="49" xfId="0" applyNumberFormat="1" applyFont="1" applyFill="1" applyBorder="1" applyAlignment="1">
      <alignment horizontal="center"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40" borderId="23" numFmtId="0" xfId="0" applyFill="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36" borderId="23" numFmtId="49" xfId="0" applyNumberFormat="1" applyFont="1" applyFill="1" applyBorder="1" applyAlignment="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40" borderId="32" numFmtId="49" xfId="0" applyNumberFormat="1" applyFont="1" applyFill="1" applyBorder="1" applyAlignment="1">
      <alignment horizontal="left" indent="1" vertical="center" wrapText="1"/>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113" fillId="0" borderId="56" numFmtId="0" xfId="0" applyFont="1" applyBorder="1" applyAlignment="1">
      <alignment horizontal="left" indent="1" vertical="center"/>
    </xf>
    <xf fontId="113" fillId="0" borderId="57" numFmtId="0" xfId="0" applyFont="1" applyBorder="1" applyAlignment="1">
      <alignment horizontal="left" indent="1" vertical="center"/>
    </xf>
    <xf fontId="0" fillId="0" borderId="57" numFmtId="0" xfId="0" applyBorder="1" applyAlignment="1">
      <alignment horizontal="left" vertical="center" wrapText="1"/>
    </xf>
    <xf fontId="22" fillId="0" borderId="57" numFmtId="0" xfId="0" applyFont="1" applyBorder="1" applyAlignment="1">
      <alignment vertical="center" wrapText="1"/>
    </xf>
    <xf fontId="22" fillId="0" borderId="58" numFmtId="0" xfId="0" applyFont="1" applyBorder="1" applyAlignment="1">
      <alignment vertical="center" wrapText="1"/>
    </xf>
    <xf fontId="22" fillId="0" borderId="59" numFmtId="0" xfId="0" applyFont="1" applyBorder="1" applyAlignment="1">
      <alignment vertical="center" wrapText="1"/>
    </xf>
    <xf fontId="22" fillId="0" borderId="28" numFmtId="0" xfId="0" applyFont="1" applyBorder="1" applyAlignment="1">
      <alignment vertical="center" wrapText="1"/>
    </xf>
    <xf fontId="22" fillId="38" borderId="23" numFmtId="49" xfId="0" applyNumberFormat="1" applyFont="1" applyFill="1" applyBorder="1" applyAlignment="1">
      <alignment horizontal="center" vertical="center" wrapText="1"/>
    </xf>
    <xf fontId="22" fillId="0" borderId="20" numFmtId="49" xfId="0" applyNumberFormat="1" applyFont="1" applyBorder="1" applyAlignment="1">
      <alignment horizontal="center"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14"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14"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0" numFmtId="49" xfId="0" applyNumberFormat="1" applyFont="1" applyBorder="1" applyAlignment="1">
      <alignment vertical="top" wrapText="1"/>
    </xf>
    <xf fontId="72" fillId="0" borderId="60" numFmtId="49" xfId="0" applyNumberFormat="1" applyFont="1" applyBorder="1" applyAlignment="1">
      <alignment horizontal="left" indent="1" vertical="center"/>
    </xf>
    <xf fontId="0" fillId="38" borderId="42" numFmtId="49" xfId="0" applyNumberFormat="1" applyFill="1" applyBorder="1" applyAlignment="1">
      <alignment vertical="top"/>
    </xf>
    <xf fontId="22" fillId="41" borderId="20" numFmtId="49" xfId="0" applyNumberFormat="1" applyFont="1" applyFill="1" applyBorder="1" applyAlignment="1">
      <alignment horizontal="left" vertical="center" wrapText="1"/>
    </xf>
    <xf fontId="22" fillId="40" borderId="23" numFmtId="49" xfId="0" applyNumberFormat="1" applyFont="1" applyFill="1" applyBorder="1" applyAlignment="1">
      <alignment horizontal="left" vertical="center" wrapText="1"/>
    </xf>
    <xf fontId="115"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15"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0" fillId="0" borderId="42" numFmtId="49" xfId="0" applyNumberFormat="1" applyBorder="1" applyAlignment="1">
      <alignment vertical="top"/>
    </xf>
    <xf fontId="116" fillId="0" borderId="23" numFmtId="49" xfId="0" applyNumberFormat="1" applyFont="1" applyBorder="1" applyAlignment="1">
      <alignment horizontal="center" vertical="center" wrapText="1"/>
    </xf>
    <xf fontId="71" fillId="0" borderId="20"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15" fillId="42" borderId="21" numFmtId="49" xfId="0" applyNumberFormat="1" applyFont="1" applyFill="1" applyBorder="1" applyAlignment="1">
      <alignment horizontal="left" indent="1" vertical="center"/>
    </xf>
    <xf fontId="115"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71" fillId="42" borderId="20" numFmtId="49" xfId="0" applyNumberFormat="1" applyFont="1" applyFill="1" applyBorder="1" applyAlignment="1">
      <alignment vertical="top" wrapText="1"/>
    </xf>
    <xf fontId="22" fillId="41" borderId="42" numFmtId="49" xfId="0" applyNumberFormat="1" applyFont="1" applyFill="1" applyBorder="1" applyAlignment="1">
      <alignment horizontal="left" indent="1" vertical="center" wrapText="1"/>
    </xf>
    <xf fontId="116" fillId="0" borderId="0" numFmtId="49" xfId="0" applyNumberFormat="1" applyFont="1" applyAlignment="1">
      <alignment horizontal="center" vertical="top" wrapText="1"/>
    </xf>
    <xf fontId="71" fillId="0" borderId="23" numFmtId="0" xfId="0" applyFont="1" applyBorder="1" applyAlignment="1">
      <alignment horizontal="center" vertical="center"/>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horizontal="left" indent="1" vertical="center" wrapText="1"/>
    </xf>
    <xf fontId="71" fillId="42" borderId="60" numFmtId="49" xfId="0" applyNumberFormat="1" applyFont="1" applyFill="1" applyBorder="1" applyAlignment="1">
      <alignment vertical="top" wrapText="1"/>
    </xf>
    <xf fontId="115" fillId="42" borderId="60" numFmtId="49" xfId="0" applyNumberFormat="1" applyFont="1" applyFill="1" applyBorder="1" applyAlignment="1">
      <alignment horizontal="left" indent="1" vertical="center"/>
    </xf>
    <xf fontId="0" fillId="41" borderId="42" numFmtId="49" xfId="0" applyNumberFormat="1" applyFill="1" applyBorder="1" applyAlignment="1">
      <alignment vertical="top"/>
    </xf>
    <xf fontId="0" fillId="39" borderId="4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38" borderId="61" numFmtId="49" xfId="0" applyNumberFormat="1" applyFont="1" applyFill="1" applyBorder="1" applyAlignment="1">
      <alignment horizontal="center" vertical="center" wrapText="1"/>
    </xf>
    <xf fontId="0" fillId="42" borderId="62" numFmtId="0" xfId="0" applyFill="1" applyBorder="1" applyAlignment="1">
      <alignment horizontal="left" vertical="center"/>
    </xf>
    <xf fontId="70" fillId="42" borderId="63" numFmtId="49" xfId="0" applyNumberFormat="1" applyFont="1" applyFill="1" applyBorder="1" applyAlignment="1">
      <alignment horizontal="left" indent="1" vertical="center"/>
    </xf>
    <xf fontId="22" fillId="42" borderId="62" numFmtId="0" xfId="0" applyFont="1" applyFill="1" applyBorder="1" applyAlignment="1">
      <alignment vertical="center" wrapText="1"/>
    </xf>
    <xf fontId="22" fillId="42" borderId="63" numFmtId="0" xfId="0" applyFont="1" applyFill="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64"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7" fillId="0" borderId="0" numFmtId="49" xfId="0" applyNumberFormat="1" applyFont="1" applyAlignment="1">
      <alignment vertical="center" wrapText="1"/>
    </xf>
    <xf fontId="71" fillId="0" borderId="0" numFmtId="49" xfId="0" applyNumberFormat="1" applyFont="1" applyAlignment="1">
      <alignment vertical="center"/>
    </xf>
    <xf fontId="117"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7"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113" fillId="0" borderId="65" numFmtId="0" xfId="0" applyFont="1" applyBorder="1" applyAlignment="1">
      <alignment horizontal="left" indent="1" vertical="center"/>
    </xf>
    <xf fontId="22" fillId="0" borderId="66" numFmtId="49" xfId="0" applyNumberFormat="1" applyFont="1" applyBorder="1" applyAlignment="1">
      <alignment horizontal="center" vertical="center"/>
    </xf>
    <xf fontId="22" fillId="0" borderId="66" numFmtId="0" xfId="0" applyFont="1" applyBorder="1" applyAlignment="1">
      <alignment horizontal="right" vertical="center"/>
    </xf>
    <xf fontId="22" fillId="0" borderId="66"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67" numFmtId="49" xfId="0" applyNumberFormat="1" applyFont="1" applyFill="1" applyBorder="1" applyAlignment="1">
      <alignment horizontal="left" indent="1" vertical="center"/>
    </xf>
    <xf fontId="70" fillId="52" borderId="20" numFmtId="49" xfId="0" applyNumberFormat="1" applyFont="1" applyFill="1" applyBorder="1" applyAlignment="1">
      <alignment horizontal="left" indent="1"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8"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68" numFmtId="49" xfId="0" applyNumberFormat="1" applyFont="1" applyBorder="1" applyAlignment="1">
      <alignment vertical="center"/>
    </xf>
    <xf fontId="22" fillId="0" borderId="69" numFmtId="49" xfId="0" applyNumberFormat="1" applyFont="1" applyBorder="1" applyAlignment="1">
      <alignment vertical="top"/>
    </xf>
    <xf fontId="22" fillId="0" borderId="70"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3" borderId="0" numFmtId="0" xfId="0" applyFill="1" applyAlignment="1">
      <alignment horizontal="right" vertical="center"/>
    </xf>
    <xf fontId="41" fillId="0" borderId="0" numFmtId="49" xfId="0" applyNumberFormat="1" applyFont="1" applyAlignment="1">
      <alignment horizontal="center" vertical="center"/>
    </xf>
    <xf fontId="0" fillId="53"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3"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3" borderId="0" numFmtId="0" xfId="0" applyFont="1" applyFill="1" applyAlignment="1">
      <alignment horizontal="left" vertical="center"/>
    </xf>
    <xf fontId="0" fillId="53" borderId="71" numFmtId="0" xfId="0" applyFill="1" applyBorder="1" applyAlignment="1">
      <alignment horizontal="center"/>
    </xf>
    <xf fontId="119" fillId="0" borderId="70" numFmtId="49" xfId="0" applyNumberFormat="1" applyFont="1" applyBorder="1" applyAlignment="1">
      <alignment vertical="top"/>
    </xf>
    <xf fontId="71" fillId="45" borderId="0" numFmtId="49" xfId="0" applyNumberFormat="1" applyFont="1" applyFill="1" applyAlignment="1">
      <alignment vertical="center" wrapText="1"/>
    </xf>
    <xf fontId="0" fillId="0" borderId="71" numFmtId="0" xfId="0" applyBorder="1" applyAlignment="1">
      <alignment horizontal="center"/>
    </xf>
    <xf fontId="41" fillId="48" borderId="0" numFmtId="49" xfId="0" applyNumberFormat="1" applyFont="1" applyFill="1" applyAlignment="1">
      <alignment horizontal="center" vertical="center" wrapText="1"/>
    </xf>
    <xf fontId="22" fillId="53"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72" numFmtId="0" xfId="0" applyFont="1" applyBorder="1" applyAlignment="1">
      <alignment horizontal="center" vertical="center"/>
    </xf>
    <xf fontId="0" fillId="0" borderId="72"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3"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20"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20"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21"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22"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61" fillId="40" borderId="0" numFmtId="0" xfId="0" applyFont="1" applyFill="1" applyAlignment="1">
      <alignment horizontal="center"/>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73" numFmtId="49" xfId="0" applyNumberFormat="1" applyBorder="1" applyAlignment="1">
      <alignment horizontal="center" vertical="center"/>
    </xf>
    <xf fontId="0" fillId="54" borderId="0" numFmtId="49" xfId="0" applyNumberFormat="1" applyFill="1" applyAlignment="1">
      <alignment vertical="top"/>
    </xf>
    <xf fontId="22" fillId="41" borderId="23" numFmtId="14" xfId="0" applyNumberFormat="1" applyFont="1" applyFill="1" applyBorder="1" applyAlignment="1">
      <alignment horizontal="left" indent="1" vertical="center" wrapText="1"/>
    </xf>
    <xf fontId="89" fillId="54"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23"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39" borderId="32" numFmtId="49" xfId="0" applyNumberFormat="1" applyFont="1" applyFill="1" applyBorder="1" applyAlignment="1">
      <alignment horizontal="left" indent="1" vertical="center" wrapText="1"/>
      <protection locked="0"/>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22" fillId="41" borderId="32" numFmtId="49" xfId="0" applyNumberFormat="1" applyFont="1" applyFill="1" applyBorder="1" applyAlignment="1">
      <alignment vertical="center" wrapText="1"/>
    </xf>
    <xf fontId="0" fillId="39" borderId="32" numFmtId="49" xfId="0" applyNumberFormat="1" applyFill="1" applyBorder="1" applyAlignment="1">
      <alignment vertical="top"/>
      <protection locked="0"/>
    </xf>
    <xf fontId="22" fillId="41" borderId="42" numFmtId="49" xfId="0" applyNumberFormat="1" applyFont="1" applyFill="1" applyBorder="1" applyAlignment="1">
      <alignment vertical="center" wrapText="1"/>
    </xf>
    <xf fontId="22" fillId="41" borderId="30" numFmtId="49" xfId="0" applyNumberFormat="1" applyFont="1" applyFill="1" applyBorder="1" applyAlignment="1">
      <alignment vertical="center" wrapText="1"/>
    </xf>
    <xf fontId="0" fillId="39" borderId="30" numFmtId="49" xfId="0" applyNumberFormat="1" applyFill="1" applyBorder="1" applyAlignment="1">
      <alignment vertical="top"/>
      <protection locked="0"/>
    </xf>
    <xf fontId="116" fillId="0" borderId="42" numFmtId="49" xfId="0" applyNumberFormat="1" applyFont="1" applyBorder="1" applyAlignment="1">
      <alignment horizontal="center" vertical="top" wrapText="1"/>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22" fillId="41" borderId="23" numFmtId="0" xfId="0" applyFont="1" applyFill="1" applyBorder="1" applyAlignment="1">
      <alignment horizontal="left" vertical="top" wrapText="1"/>
    </xf>
    <xf fontId="0" fillId="41" borderId="23" numFmtId="0" xfId="0" applyFill="1" applyBorder="1" applyAlignment="1">
      <alignment horizontal="left"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1" borderId="23" numFmtId="49" xfId="0" applyNumberFormat="1" applyFill="1" applyBorder="1" applyAlignment="1">
      <alignment horizontal="left" vertical="center" wrapText="1"/>
    </xf>
    <xf fontId="0" fillId="42" borderId="25" numFmtId="0" xfId="0" applyFill="1" applyBorder="1" applyAlignment="1">
      <alignment vertical="center"/>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71"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8F642895-B8E4-BF04-0EB6-B30D0CA80EF4}"/>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8F642895-B8E4-BF04-0EB6-B30D0CA80EF4}" id="{00E10026-000A-4C35-AC1C-008B0070005C}"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8F642895-B8E4-BF04-0EB6-B30D0CA80EF4}" id="{007700CD-0048-4184-ADA5-001700110026}" done="0">
    <text xml:space="preserve">Тип организации
</text>
  </threadedComment>
  <threadedComment ref="L6" personId="{8F642895-B8E4-BF04-0EB6-B30D0CA80EF4}" id="{00700063-0005-414D-9448-000100330048}"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8F642895-B8E4-BF04-0EB6-B30D0CA80EF4}" id="{00900051-000F-4534-901F-00CD00C80032}" done="0">
    <text xml:space="preserve">сюда же для некоторых формул может входить:
- VOTV
- HOTVSNA
</text>
  </threadedComment>
  <threadedComment ref="U2" personId="{8F642895-B8E4-BF04-0EB6-B30D0CA80EF4}" id="{000C0096-00B1-42E6-9E14-008B00DC007F}"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Информация об инвестиционных программах регулируемой организации в области теплоснабжения</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1" deleteRows="1" formatCells="1" formatColumns="0" formatRows="0" insertColumns="1" insertHyperlinks="1" insertRows="1" objects="0" pivotTables="1" scenarios="0" selectLockedCells="0" selectUnlockedCells="0" sheet="1" sort="1"/>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8"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9" width="7.00390625"/>
    <col customWidth="1" min="14" max="22" style="50" width="10.00390625"/>
    <col hidden="1" min="23" max="23" style="50" width="10.57421875"/>
  </cols>
  <sheetData>
    <row r="1" s="57" customFormat="1" ht="5.25" hidden="1" customHeight="1">
      <c r="C1" s="57"/>
      <c r="D1" s="132"/>
      <c r="F1" s="57"/>
      <c r="G1" s="57" t="s">
        <v>83</v>
      </c>
      <c r="H1" s="57" t="s">
        <v>84</v>
      </c>
      <c r="I1" s="57" t="s">
        <v>85</v>
      </c>
      <c r="P1" s="57" t="s">
        <v>83</v>
      </c>
      <c r="Q1" s="57" t="s">
        <v>84</v>
      </c>
      <c r="R1" s="57" t="s">
        <v>85</v>
      </c>
      <c r="W1" s="57" t="s">
        <v>14</v>
      </c>
    </row>
    <row r="2" s="57" customFormat="1" ht="5.25" hidden="1" customHeight="1">
      <c r="C2" s="57"/>
      <c r="D2" s="132"/>
      <c r="F2" s="57"/>
      <c r="W2" s="57">
        <v>0</v>
      </c>
    </row>
    <row r="3" s="65" customFormat="1" ht="5.25" customHeight="1">
      <c r="A3" s="411"/>
      <c r="D3" s="412"/>
      <c r="E3" s="68"/>
      <c r="F3" s="68"/>
      <c r="G3" s="68"/>
      <c r="H3" s="68"/>
      <c r="I3" s="453"/>
      <c r="J3" s="454"/>
      <c r="K3" s="454"/>
      <c r="L3" s="454"/>
      <c r="W3" s="65">
        <v>5</v>
      </c>
    </row>
    <row r="4" ht="23.25" customHeight="1">
      <c r="D4" s="381"/>
      <c r="E4" s="185" t="s">
        <v>383</v>
      </c>
      <c r="F4" s="185"/>
      <c r="G4" s="186"/>
      <c r="H4" s="186"/>
      <c r="I4" s="187"/>
      <c r="J4" s="407"/>
      <c r="K4" s="455"/>
      <c r="L4" s="455"/>
      <c r="W4" s="50">
        <v>22</v>
      </c>
    </row>
    <row r="5" s="50" customFormat="1" ht="18" customHeight="1">
      <c r="A5" s="56"/>
      <c r="D5" s="381"/>
      <c r="E5" s="408" t="str">
        <f>IF(org=0,"Не определено",org)</f>
        <v xml:space="preserve">АО "ДГК" СП "Биробиджанская ТЭЦ"</v>
      </c>
      <c r="F5" s="408"/>
      <c r="G5" s="409"/>
      <c r="H5" s="409"/>
      <c r="I5" s="410"/>
      <c r="J5" s="407"/>
      <c r="K5" s="455"/>
      <c r="L5" s="455"/>
      <c r="M5" s="139"/>
      <c r="W5" s="50">
        <v>17</v>
      </c>
    </row>
    <row r="6" s="65" customFormat="1" ht="11.5" customHeight="1">
      <c r="A6" s="411"/>
      <c r="D6" s="412"/>
      <c r="E6" s="68"/>
      <c r="F6" s="68"/>
      <c r="G6" s="456"/>
      <c r="H6" s="456"/>
      <c r="I6" s="413"/>
      <c r="J6" s="413"/>
      <c r="K6" s="341"/>
      <c r="L6" s="413"/>
      <c r="W6" s="65">
        <v>11</v>
      </c>
    </row>
    <row r="7" ht="14.65" customHeight="1">
      <c r="D7" s="381"/>
      <c r="E7" s="346" t="s">
        <v>295</v>
      </c>
      <c r="F7" s="346"/>
      <c r="G7" s="347"/>
      <c r="H7" s="347"/>
      <c r="I7" s="347"/>
      <c r="J7" s="347"/>
      <c r="K7" s="347"/>
      <c r="L7" s="246" t="s">
        <v>296</v>
      </c>
      <c r="W7" s="50">
        <v>14</v>
      </c>
    </row>
    <row r="8" ht="48.25" customHeight="1">
      <c r="D8" s="381"/>
      <c r="E8" s="347" t="s">
        <v>88</v>
      </c>
      <c r="F8" s="347"/>
      <c r="G8" s="157" t="s">
        <v>86</v>
      </c>
      <c r="H8" s="157" t="s">
        <v>87</v>
      </c>
      <c r="I8" s="246" t="s">
        <v>85</v>
      </c>
      <c r="J8" s="246" t="s">
        <v>384</v>
      </c>
      <c r="K8" s="246" t="s">
        <v>385</v>
      </c>
      <c r="L8" s="246"/>
      <c r="W8" s="50">
        <v>46</v>
      </c>
    </row>
    <row r="9" ht="12" hidden="1" customHeight="1">
      <c r="D9" s="424"/>
      <c r="E9" s="457"/>
      <c r="F9" s="457"/>
      <c r="G9" s="457"/>
      <c r="H9" s="457"/>
      <c r="I9" s="457"/>
      <c r="J9" s="457"/>
      <c r="K9" s="457"/>
      <c r="L9" s="457"/>
      <c r="M9" s="50"/>
      <c r="W9" s="50">
        <v>0</v>
      </c>
    </row>
    <row r="10" ht="14.25" hidden="1" customHeight="1">
      <c r="A10" s="50"/>
      <c r="B10" s="50"/>
      <c r="D10" s="381"/>
      <c r="E10" s="157">
        <v>0</v>
      </c>
      <c r="F10" s="157"/>
      <c r="G10" s="458"/>
      <c r="H10" s="458"/>
      <c r="I10" s="458"/>
      <c r="J10" s="458"/>
      <c r="K10" s="458"/>
      <c r="L10" s="438" t="s">
        <v>386</v>
      </c>
      <c r="M10" s="139"/>
      <c r="N10" s="50"/>
      <c r="O10" s="50"/>
      <c r="P10" s="50"/>
      <c r="Q10" s="50"/>
      <c r="R10" s="50"/>
      <c r="S10" s="50"/>
      <c r="T10" s="50"/>
      <c r="U10" s="50"/>
      <c r="V10" s="50"/>
      <c r="W10" s="50">
        <v>0</v>
      </c>
    </row>
    <row r="11" ht="15" hidden="1" customHeight="1">
      <c r="A11" s="51"/>
      <c r="B11" s="143"/>
      <c r="C11" s="143"/>
      <c r="D11" s="459"/>
      <c r="E11" s="460"/>
      <c r="F11" s="460"/>
      <c r="G11" s="460"/>
      <c r="H11" s="460"/>
      <c r="I11" s="214"/>
      <c r="J11" s="461"/>
      <c r="K11" s="462"/>
      <c r="L11" s="463"/>
      <c r="M11" s="57"/>
      <c r="N11" s="57"/>
      <c r="O11" s="57"/>
      <c r="P11" s="464"/>
      <c r="Q11" s="464"/>
      <c r="R11" s="465"/>
      <c r="S11" s="57"/>
      <c r="T11" s="57"/>
      <c r="U11" s="57"/>
      <c r="V11" s="57"/>
      <c r="W11" s="50">
        <v>0</v>
      </c>
    </row>
    <row r="12" s="65" customFormat="1" ht="15" customHeight="1">
      <c r="A12" s="51"/>
      <c r="B12" s="143"/>
      <c r="C12" s="143"/>
      <c r="D12" s="466"/>
      <c r="E12" s="347">
        <v>1</v>
      </c>
      <c r="F12" s="467">
        <v>23</v>
      </c>
      <c r="G12" s="468"/>
      <c r="H12" s="164"/>
      <c r="I12" s="165"/>
      <c r="J12" s="469" t="s">
        <v>65</v>
      </c>
      <c r="K12" s="470" t="s">
        <v>22</v>
      </c>
      <c r="L12" s="463"/>
      <c r="M12" s="57"/>
      <c r="N12" s="57"/>
      <c r="O12" s="57"/>
      <c r="P12" s="464" t="s">
        <v>387</v>
      </c>
      <c r="Q12" s="464" t="s">
        <v>388</v>
      </c>
      <c r="R12" s="465" t="s">
        <v>389</v>
      </c>
      <c r="S12" s="57" t="s">
        <v>390</v>
      </c>
      <c r="T12" s="57"/>
      <c r="U12" s="57"/>
      <c r="V12" s="57"/>
      <c r="W12" s="65">
        <v>14</v>
      </c>
    </row>
    <row r="13" ht="15.75" customHeight="1">
      <c r="A13" s="51"/>
      <c r="B13" s="50"/>
      <c r="D13" s="381"/>
      <c r="E13" s="439"/>
      <c r="F13" s="471"/>
      <c r="G13" s="177" t="s">
        <v>99</v>
      </c>
      <c r="H13" s="472"/>
      <c r="I13" s="472"/>
      <c r="J13" s="472"/>
      <c r="K13" s="473"/>
      <c r="L13" s="444"/>
      <c r="M13" s="50"/>
      <c r="N13" s="50"/>
      <c r="O13" s="50"/>
      <c r="P13" s="50"/>
      <c r="Q13" s="50"/>
      <c r="R13" s="50"/>
      <c r="S13" s="50"/>
      <c r="T13" s="50"/>
      <c r="U13" s="50"/>
      <c r="V13" s="50"/>
      <c r="W13" s="50">
        <v>15</v>
      </c>
    </row>
    <row r="14" ht="11.5" customHeight="1">
      <c r="A14" s="411"/>
      <c r="B14" s="65"/>
      <c r="C14" s="65"/>
      <c r="D14" s="474"/>
      <c r="E14" s="65"/>
      <c r="F14" s="65"/>
      <c r="G14" s="65"/>
      <c r="H14" s="65"/>
      <c r="I14" s="65"/>
      <c r="J14" s="65"/>
      <c r="K14" s="65"/>
      <c r="L14" s="65"/>
      <c r="M14" s="65"/>
      <c r="N14" s="65"/>
      <c r="O14" s="65"/>
      <c r="P14" s="65"/>
      <c r="Q14" s="65"/>
      <c r="R14" s="65"/>
      <c r="S14" s="65"/>
      <c r="T14" s="65"/>
      <c r="U14" s="65"/>
      <c r="V14" s="65"/>
      <c r="W14" s="50">
        <v>11</v>
      </c>
    </row>
    <row r="15" ht="14.65" customHeight="1">
      <c r="D15" s="475"/>
      <c r="E15" s="476"/>
      <c r="F15" s="476"/>
      <c r="G15" s="4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8">
        <v>3</v>
      </c>
      <c r="E19" s="50">
        <v>6</v>
      </c>
      <c r="F19" s="50">
        <v>0</v>
      </c>
      <c r="G19" s="50">
        <v>30</v>
      </c>
      <c r="H19" s="50">
        <v>30</v>
      </c>
      <c r="I19" s="50">
        <v>8</v>
      </c>
      <c r="J19" s="50">
        <v>12</v>
      </c>
      <c r="K19" s="50">
        <v>46</v>
      </c>
      <c r="L19" s="50">
        <v>100</v>
      </c>
      <c r="M19" s="139">
        <v>7</v>
      </c>
      <c r="N19" s="50">
        <v>10</v>
      </c>
      <c r="O19" s="50">
        <v>10</v>
      </c>
      <c r="P19" s="50">
        <v>10</v>
      </c>
      <c r="Q19" s="50">
        <v>10</v>
      </c>
      <c r="R19" s="50">
        <v>10</v>
      </c>
      <c r="S19" s="50">
        <v>10</v>
      </c>
      <c r="T19" s="50">
        <v>10</v>
      </c>
      <c r="U19" s="50">
        <v>10</v>
      </c>
      <c r="V19" s="50">
        <v>10</v>
      </c>
      <c r="W19" s="50">
        <v>23</v>
      </c>
    </row>
  </sheetData>
  <sheetProtection autoFilter="0" deleteColumns="1" deleteRows="1" formatCells="1" formatColumns="0" formatRows="0" insertColumns="1" insertHyperlinks="1" insertRows="1" objects="0" pivotTables="1" scenarios="0" selectLockedCells="0" selectUnlockedCells="0" sheet="1" sort="1"/>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A001B-00A7-4522-80BB-00F6005E00B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B90036-00AC-41C0-8C1C-00B90042007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2">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2"/>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2"/>
        <v xml:space="preserve">Наименование системы теплоснабжения </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2"/>
        <v xml:space="preserve">Источник тепловой энергии  </v>
      </c>
      <c r="AQ5" s="129"/>
      <c r="AR5" s="129"/>
      <c r="AS5" s="50">
        <v>0</v>
      </c>
    </row>
    <row r="6" ht="47.25" hidden="1" customHeight="1">
      <c r="A6" s="479"/>
      <c r="B6" s="479"/>
      <c r="C6" s="479"/>
      <c r="D6" s="479"/>
      <c r="E6" s="491"/>
      <c r="F6" s="491"/>
      <c r="G6" s="491"/>
      <c r="H6" s="491"/>
      <c r="I6" s="498" t="e">
        <f>S5&amp;".1"</f>
        <v>#VALUE!</v>
      </c>
      <c r="J6" s="479"/>
      <c r="K6" s="479"/>
      <c r="L6" s="481" t="s">
        <v>398</v>
      </c>
      <c r="M6" s="53"/>
      <c r="P6" s="132">
        <v>1</v>
      </c>
      <c r="Q6" s="132"/>
      <c r="R6" s="499"/>
      <c r="S6" s="484" t="e">
        <f>$I6</f>
        <v>#VALUE!</v>
      </c>
      <c r="T6" s="500" t="s">
        <v>399</v>
      </c>
      <c r="U6" s="486"/>
      <c r="V6" s="431"/>
      <c r="W6" s="501"/>
      <c r="X6" s="501"/>
      <c r="Y6" s="501"/>
      <c r="Z6" s="501"/>
      <c r="AA6" s="501"/>
      <c r="AB6" s="501"/>
      <c r="AC6" s="502"/>
      <c r="AD6" s="431"/>
      <c r="AE6" s="501"/>
      <c r="AF6" s="501"/>
      <c r="AG6" s="501"/>
      <c r="AH6" s="501"/>
      <c r="AI6" s="501"/>
      <c r="AJ6" s="501"/>
      <c r="AK6" s="501"/>
      <c r="AL6" s="502"/>
      <c r="AM6" s="490" t="s">
        <v>400</v>
      </c>
      <c r="AO6" s="129"/>
      <c r="AP6" s="129" t="str">
        <f t="shared" si="2"/>
        <v xml:space="preserve">Схема подключения теплопотребляющей установки к коллектору источника тепловой энергии</v>
      </c>
      <c r="AQ6" s="129"/>
      <c r="AR6" s="129"/>
      <c r="AS6" s="50">
        <v>0</v>
      </c>
    </row>
    <row r="7" ht="21" hidden="1" customHeight="1">
      <c r="A7" s="479"/>
      <c r="B7" s="479"/>
      <c r="C7" s="479"/>
      <c r="D7" s="479"/>
      <c r="E7" s="491"/>
      <c r="F7" s="491"/>
      <c r="G7" s="491"/>
      <c r="H7" s="491"/>
      <c r="I7" s="503"/>
      <c r="J7" s="498" t="e">
        <f>I6&amp;".1"</f>
        <v>#VALUE!</v>
      </c>
      <c r="K7" s="479"/>
      <c r="L7" s="481" t="s">
        <v>401</v>
      </c>
      <c r="M7" s="53"/>
      <c r="N7" s="53"/>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2"/>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404</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405</v>
      </c>
      <c r="AN8" s="57" t="e">
        <f>STRCHECKDATE(V9:AL9)</f>
        <v>#NAME?</v>
      </c>
      <c r="AO8" s="129"/>
      <c r="AP8" s="129" t="str">
        <f t="shared" si="2"/>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2"/>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6"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3">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19"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3"/>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15"/>
      <c r="T12" s="523" t="s">
        <v>408</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3"/>
        <v xml:space="preserve">Добавить схему подключения</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3"/>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3"/>
        <v xml:space="preserve">Добавить территорию для дифференциации</v>
      </c>
      <c r="AQ15" s="129"/>
      <c r="AR15" s="129"/>
      <c r="AS15" s="57">
        <v>0</v>
      </c>
    </row>
    <row r="16" ht="14.25" hidden="1" customHeight="1">
      <c r="AC16" s="50"/>
      <c r="AK16" s="50"/>
      <c r="AS16" s="50">
        <v>0</v>
      </c>
    </row>
    <row r="17" ht="14.25" hidden="1" customHeight="1">
      <c r="P17" s="60"/>
      <c r="AD17" s="533"/>
      <c r="AE17" s="533"/>
      <c r="AF17" s="533"/>
      <c r="AG17" s="534"/>
      <c r="AH17" s="535"/>
      <c r="AI17" s="536" t="s">
        <v>65</v>
      </c>
      <c r="AJ17" s="535"/>
      <c r="AK17" s="536" t="s">
        <v>65</v>
      </c>
      <c r="AS17" s="50">
        <v>0</v>
      </c>
    </row>
    <row r="18" ht="14.25" hidden="1" customHeight="1">
      <c r="P18" s="60"/>
      <c r="AD18" s="533"/>
      <c r="AE18" s="533"/>
      <c r="AF18" s="533"/>
      <c r="AG18" s="512" t="str">
        <f>AH17&amp;"-"&amp;AJ17</f>
        <v>-</v>
      </c>
      <c r="AH18" s="536"/>
      <c r="AI18" s="536"/>
      <c r="AJ18" s="536"/>
      <c r="AK18" s="536"/>
      <c r="AS18" s="50">
        <v>0</v>
      </c>
    </row>
    <row r="19" ht="14.25" hidden="1" customHeight="1">
      <c r="P19" s="60"/>
      <c r="AK19" s="50"/>
      <c r="AS19" s="50">
        <v>0</v>
      </c>
    </row>
    <row r="20" s="53" customFormat="1" ht="22.5" hidden="1" customHeight="1">
      <c r="L20" s="114"/>
      <c r="M20" s="61"/>
      <c r="N20" s="61"/>
      <c r="O20" s="537" t="s">
        <v>412</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481"/>
      <c r="P23" s="60"/>
      <c r="AS23" s="50">
        <v>0</v>
      </c>
    </row>
    <row r="24" ht="14.25" hidden="1" customHeight="1">
      <c r="O24" s="481"/>
      <c r="P24" s="60"/>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P33" s="60"/>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t="s">
        <v>429</v>
      </c>
      <c r="X40" s="73" t="s">
        <v>430</v>
      </c>
      <c r="Y40" s="72"/>
      <c r="Z40" s="73" t="s">
        <v>431</v>
      </c>
      <c r="AA40" s="145"/>
      <c r="AB40" s="72"/>
      <c r="AC40" s="557"/>
      <c r="AD40" s="307" t="s">
        <v>428</v>
      </c>
      <c r="AE40" s="556" t="s">
        <v>429</v>
      </c>
      <c r="AF40" s="73" t="s">
        <v>430</v>
      </c>
      <c r="AG40" s="72"/>
      <c r="AH40" s="73" t="s">
        <v>431</v>
      </c>
      <c r="AI40" s="145"/>
      <c r="AJ40" s="72"/>
      <c r="AK40" s="557"/>
      <c r="AL40" s="558"/>
      <c r="AM40" s="157"/>
      <c r="AS40" s="50">
        <v>34</v>
      </c>
    </row>
    <row r="41" ht="35.649999999999999" customHeight="1">
      <c r="A41" s="151"/>
      <c r="B41" s="151" t="s">
        <v>132</v>
      </c>
      <c r="C41" s="151" t="s">
        <v>133</v>
      </c>
      <c r="D41" s="151" t="s">
        <v>134</v>
      </c>
      <c r="E41" s="481" t="s">
        <v>432</v>
      </c>
      <c r="F41" s="481" t="s">
        <v>433</v>
      </c>
      <c r="G41" s="481" t="s">
        <v>434</v>
      </c>
      <c r="H41" s="481" t="s">
        <v>435</v>
      </c>
      <c r="I41" s="481" t="s">
        <v>436</v>
      </c>
      <c r="J41" s="481" t="s">
        <v>437</v>
      </c>
      <c r="K41" s="481" t="s">
        <v>438</v>
      </c>
      <c r="L41" s="481"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4" customHeight="1">
      <c r="A43" s="479" t="s">
        <v>153</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3"/>
        <v xml:space="preserve">Наименование тарифа</v>
      </c>
      <c r="AQ43" s="129"/>
      <c r="AR43" s="129"/>
      <c r="AS43" s="50">
        <v>23</v>
      </c>
    </row>
    <row r="44" ht="24" customHeight="1">
      <c r="A44" s="479" t="s">
        <v>153</v>
      </c>
      <c r="B44" s="479" t="s">
        <v>154</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3"/>
        <v xml:space="preserve">Территория действия тарифа</v>
      </c>
      <c r="AQ44" s="129"/>
      <c r="AR44" s="129"/>
      <c r="AS44" s="50">
        <v>23</v>
      </c>
    </row>
    <row r="45" ht="24" customHeight="1">
      <c r="A45" s="479" t="s">
        <v>153</v>
      </c>
      <c r="B45" s="479" t="s">
        <v>154</v>
      </c>
      <c r="C45" s="479" t="s">
        <v>155</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3"/>
        <v xml:space="preserve">Наименование системы теплоснабжения </v>
      </c>
      <c r="AQ45" s="129"/>
      <c r="AR45" s="129"/>
      <c r="AS45" s="50">
        <v>23</v>
      </c>
    </row>
    <row r="46" ht="24" customHeight="1">
      <c r="A46" s="479" t="s">
        <v>153</v>
      </c>
      <c r="B46" s="479" t="s">
        <v>154</v>
      </c>
      <c r="C46" s="479" t="s">
        <v>155</v>
      </c>
      <c r="D46" s="479" t="s">
        <v>156</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3"/>
        <v xml:space="preserve">Источник тепловой энергии  </v>
      </c>
      <c r="AQ46" s="129"/>
      <c r="AR46" s="129"/>
      <c r="AS46" s="50">
        <v>23</v>
      </c>
    </row>
    <row r="47" ht="49.5" customHeight="1">
      <c r="A47" s="479" t="s">
        <v>153</v>
      </c>
      <c r="B47" s="479" t="s">
        <v>154</v>
      </c>
      <c r="C47" s="479" t="s">
        <v>155</v>
      </c>
      <c r="D47" s="479" t="s">
        <v>156</v>
      </c>
      <c r="E47" s="491"/>
      <c r="F47" s="491"/>
      <c r="G47" s="491"/>
      <c r="H47" s="491"/>
      <c r="I47" s="498" t="str">
        <f>S46&amp;".1"</f>
        <v>....1</v>
      </c>
      <c r="J47" s="479"/>
      <c r="K47" s="479"/>
      <c r="L47" s="481" t="s">
        <v>398</v>
      </c>
      <c r="P47" s="132">
        <v>1</v>
      </c>
      <c r="Q47" s="132"/>
      <c r="R47" s="499"/>
      <c r="S47" s="484" t="str">
        <f>$I47</f>
        <v>....1</v>
      </c>
      <c r="T47" s="500" t="s">
        <v>399</v>
      </c>
      <c r="U47" s="486"/>
      <c r="V47" s="431"/>
      <c r="W47" s="501"/>
      <c r="X47" s="501"/>
      <c r="Y47" s="501"/>
      <c r="Z47" s="501"/>
      <c r="AA47" s="501"/>
      <c r="AB47" s="501"/>
      <c r="AC47" s="502"/>
      <c r="AD47" s="431"/>
      <c r="AE47" s="501"/>
      <c r="AF47" s="501"/>
      <c r="AG47" s="501"/>
      <c r="AH47" s="501"/>
      <c r="AI47" s="501"/>
      <c r="AJ47" s="501"/>
      <c r="AK47" s="501"/>
      <c r="AL47" s="502"/>
      <c r="AM47" s="490" t="s">
        <v>400</v>
      </c>
      <c r="AO47" s="129"/>
      <c r="AP47" s="129" t="str">
        <f t="shared" si="3"/>
        <v xml:space="preserve">Схема подключения теплопотребляющей установки к коллектору источника тепловой энергии</v>
      </c>
      <c r="AQ47" s="129"/>
      <c r="AR47" s="129"/>
      <c r="AS47" s="50">
        <v>47</v>
      </c>
    </row>
    <row r="48" ht="24" customHeight="1">
      <c r="A48" s="479" t="s">
        <v>153</v>
      </c>
      <c r="B48" s="479" t="s">
        <v>154</v>
      </c>
      <c r="C48" s="479" t="s">
        <v>155</v>
      </c>
      <c r="D48" s="479" t="s">
        <v>156</v>
      </c>
      <c r="E48" s="491"/>
      <c r="F48" s="491"/>
      <c r="G48" s="491"/>
      <c r="H48" s="491"/>
      <c r="I48" s="503"/>
      <c r="J48" s="498" t="str">
        <f>I47&amp;".1"</f>
        <v>....1.1</v>
      </c>
      <c r="K48" s="479"/>
      <c r="L48" s="481" t="s">
        <v>401</v>
      </c>
      <c r="P48" s="132"/>
      <c r="Q48" s="132">
        <v>1</v>
      </c>
      <c r="R48" s="504"/>
      <c r="S48" s="484" t="str">
        <f>$J48</f>
        <v>....1.1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3"/>
        <v xml:space="preserve">Группа потребителей</v>
      </c>
      <c r="AQ48" s="129"/>
      <c r="AR48" s="129"/>
      <c r="AS48" s="50">
        <v>23</v>
      </c>
    </row>
    <row r="49" ht="24" customHeight="1">
      <c r="A49" s="479" t="s">
        <v>153</v>
      </c>
      <c r="B49" s="479" t="s">
        <v>154</v>
      </c>
      <c r="C49" s="479" t="s">
        <v>155</v>
      </c>
      <c r="D49" s="479" t="s">
        <v>156</v>
      </c>
      <c r="E49" s="491"/>
      <c r="F49" s="491"/>
      <c r="G49" s="491"/>
      <c r="H49" s="491"/>
      <c r="I49" s="503"/>
      <c r="J49" s="503"/>
      <c r="K49" s="498" t="str">
        <f>J48&amp;".1"</f>
        <v>....1.1.1</v>
      </c>
      <c r="L49" s="481" t="s">
        <v>404</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405</v>
      </c>
      <c r="AN49" s="57" t="e">
        <f>STRCHECKDATE(V50:AL50)</f>
        <v>#NAME?</v>
      </c>
      <c r="AO49" s="129"/>
      <c r="AP49" s="129" t="str">
        <f t="shared" si="3"/>
        <v/>
      </c>
      <c r="AQ49" s="129"/>
      <c r="AR49" s="129"/>
      <c r="AS49" s="50">
        <v>23</v>
      </c>
    </row>
    <row r="50" ht="1.05" customHeight="1">
      <c r="A50" s="479" t="s">
        <v>153</v>
      </c>
      <c r="B50" s="479" t="s">
        <v>154</v>
      </c>
      <c r="C50" s="479" t="s">
        <v>155</v>
      </c>
      <c r="D50" s="479" t="s">
        <v>156</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3"/>
        <v/>
      </c>
      <c r="AQ50" s="129"/>
      <c r="AR50" s="129"/>
      <c r="AS50" s="50">
        <v>1</v>
      </c>
    </row>
    <row r="51" ht="11.5" customHeight="1">
      <c r="A51" s="479" t="s">
        <v>153</v>
      </c>
      <c r="B51" s="479" t="s">
        <v>154</v>
      </c>
      <c r="C51" s="479" t="s">
        <v>155</v>
      </c>
      <c r="D51" s="479" t="s">
        <v>156</v>
      </c>
      <c r="E51" s="491"/>
      <c r="F51" s="491"/>
      <c r="G51" s="491"/>
      <c r="H51" s="491"/>
      <c r="I51" s="503"/>
      <c r="J51" s="498"/>
      <c r="K51" s="479"/>
      <c r="L51" s="481"/>
      <c r="P51" s="132"/>
      <c r="Q51" s="132"/>
      <c r="R51" s="499"/>
      <c r="S51" s="515"/>
      <c r="T51" s="516"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3"/>
        <v xml:space="preserve">Добавить вид теплоносителя (параметры теплоносителя)</v>
      </c>
      <c r="AQ51" s="129"/>
      <c r="AR51" s="129"/>
      <c r="AS51" s="50">
        <v>11</v>
      </c>
    </row>
    <row r="52" ht="11.5" customHeight="1">
      <c r="A52" s="479" t="s">
        <v>153</v>
      </c>
      <c r="B52" s="479" t="s">
        <v>154</v>
      </c>
      <c r="C52" s="479" t="s">
        <v>155</v>
      </c>
      <c r="D52" s="479" t="s">
        <v>156</v>
      </c>
      <c r="E52" s="491"/>
      <c r="F52" s="491"/>
      <c r="G52" s="491"/>
      <c r="H52" s="491"/>
      <c r="I52" s="498"/>
      <c r="J52" s="479"/>
      <c r="K52" s="479"/>
      <c r="L52" s="481"/>
      <c r="P52" s="132"/>
      <c r="Q52" s="132"/>
      <c r="R52" s="499"/>
      <c r="S52" s="515"/>
      <c r="T52" s="519"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3"/>
        <v xml:space="preserve">Добавить группу потребителей</v>
      </c>
      <c r="AQ52" s="129"/>
      <c r="AR52" s="129"/>
      <c r="AS52" s="50">
        <v>11</v>
      </c>
    </row>
    <row r="53" ht="14.65" customHeight="1">
      <c r="A53" s="479" t="s">
        <v>153</v>
      </c>
      <c r="B53" s="479" t="s">
        <v>154</v>
      </c>
      <c r="C53" s="479" t="s">
        <v>155</v>
      </c>
      <c r="D53" s="479" t="s">
        <v>156</v>
      </c>
      <c r="E53" s="491"/>
      <c r="F53" s="491"/>
      <c r="G53" s="491"/>
      <c r="H53" s="480"/>
      <c r="I53" s="479"/>
      <c r="J53" s="479"/>
      <c r="K53" s="479"/>
      <c r="L53" s="481"/>
      <c r="M53" s="482"/>
      <c r="N53" s="482"/>
      <c r="O53" s="53"/>
      <c r="P53" s="143"/>
      <c r="Q53" s="522"/>
      <c r="R53" s="483"/>
      <c r="S53" s="515"/>
      <c r="T53" s="523" t="s">
        <v>408</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3"/>
        <v xml:space="preserve">Добавить схему подключения</v>
      </c>
      <c r="AQ53" s="129"/>
      <c r="AR53" s="129"/>
      <c r="AS53" s="50">
        <v>14</v>
      </c>
    </row>
    <row r="54" s="57" customFormat="1" ht="1.05" customHeight="1">
      <c r="A54" s="133" t="s">
        <v>153</v>
      </c>
      <c r="B54" s="133" t="s">
        <v>154</v>
      </c>
      <c r="C54" s="133" t="s">
        <v>155</v>
      </c>
      <c r="D54" s="133"/>
      <c r="E54" s="491"/>
      <c r="F54" s="491"/>
      <c r="G54" s="480"/>
      <c r="H54" s="133"/>
      <c r="I54" s="133"/>
      <c r="J54" s="133"/>
      <c r="K54" s="133"/>
      <c r="L54" s="212"/>
      <c r="M54" s="464"/>
      <c r="N54" s="464"/>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3"/>
        <v xml:space="preserve">Добавить источник для дифференциации</v>
      </c>
      <c r="AQ54" s="129"/>
      <c r="AR54" s="129"/>
      <c r="AS54" s="57">
        <v>1</v>
      </c>
    </row>
    <row r="55" s="57" customFormat="1" ht="1.05" customHeight="1">
      <c r="A55" s="133" t="s">
        <v>153</v>
      </c>
      <c r="B55" s="133" t="s">
        <v>154</v>
      </c>
      <c r="C55" s="133"/>
      <c r="D55" s="133"/>
      <c r="E55" s="491"/>
      <c r="F55" s="480"/>
      <c r="G55" s="133"/>
      <c r="H55" s="133"/>
      <c r="I55" s="133"/>
      <c r="J55" s="133"/>
      <c r="K55" s="133"/>
      <c r="L55" s="212"/>
      <c r="M55" s="528"/>
      <c r="N55" s="528"/>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3"/>
        <v xml:space="preserve">Добавить централизованную систему для дифференциации</v>
      </c>
      <c r="AQ55" s="129"/>
      <c r="AR55" s="129"/>
      <c r="AS55" s="57">
        <v>1</v>
      </c>
    </row>
    <row r="56" s="57" customFormat="1" ht="1.05" customHeight="1">
      <c r="A56" s="133" t="s">
        <v>153</v>
      </c>
      <c r="B56" s="133"/>
      <c r="C56" s="133"/>
      <c r="D56" s="133"/>
      <c r="E56" s="480"/>
      <c r="F56" s="133"/>
      <c r="G56" s="133"/>
      <c r="H56" s="133"/>
      <c r="I56" s="133"/>
      <c r="J56" s="133"/>
      <c r="K56" s="133"/>
      <c r="L56" s="212"/>
      <c r="M56" s="528"/>
      <c r="N56" s="528"/>
      <c r="O56" s="57"/>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7.200000000000003" customHeight="1">
      <c r="O60" s="53"/>
      <c r="P60" s="60"/>
      <c r="T60" s="574"/>
      <c r="U60" s="574"/>
      <c r="V60" s="574"/>
      <c r="W60" s="574"/>
      <c r="X60" s="574"/>
      <c r="Y60" s="574"/>
      <c r="Z60" s="574"/>
      <c r="AA60" s="574"/>
      <c r="AB60" s="574"/>
      <c r="AC60" s="574"/>
      <c r="AD60" s="574"/>
      <c r="AE60" s="574"/>
      <c r="AF60" s="574"/>
      <c r="AG60" s="574"/>
      <c r="AH60" s="574"/>
      <c r="AI60" s="574"/>
      <c r="AJ60" s="574"/>
      <c r="AK60" s="574"/>
      <c r="AL60" s="574"/>
      <c r="AM60" s="574"/>
      <c r="AS60" s="50">
        <v>64</v>
      </c>
    </row>
    <row r="61" ht="14.65" customHeight="1">
      <c r="O61" s="53"/>
      <c r="AS61" s="50">
        <v>14</v>
      </c>
    </row>
    <row r="62" ht="18.75" customHeight="1">
      <c r="O62" s="53"/>
      <c r="P62" s="60"/>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3"/>
      <c r="P63" s="60"/>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3"/>
      <c r="P64" s="60"/>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78">
        <v>3</v>
      </c>
      <c r="R65" s="478">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50094-002E-4316-A8C4-0059008C003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B0004A-00A2-41FF-85C0-00900060003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5002D-00C8-4EE8-B677-00AD0041000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D0083-00F2-4A93-9556-00BC00E7000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4">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4"/>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4"/>
        <v xml:space="preserve">Наименование системы теплоснабжения </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4"/>
        <v xml:space="preserve">Источник тепловой энергии  </v>
      </c>
      <c r="AQ5" s="129"/>
      <c r="AR5" s="129"/>
      <c r="AS5" s="50">
        <v>0</v>
      </c>
    </row>
    <row r="6" ht="47.25" hidden="1" customHeight="1">
      <c r="A6" s="479"/>
      <c r="B6" s="479"/>
      <c r="C6" s="479"/>
      <c r="D6" s="479"/>
      <c r="E6" s="491"/>
      <c r="F6" s="491"/>
      <c r="G6" s="491"/>
      <c r="H6" s="491"/>
      <c r="I6" s="498" t="e">
        <f>S5&amp;".1"</f>
        <v>#VALUE!</v>
      </c>
      <c r="J6" s="479"/>
      <c r="K6" s="479"/>
      <c r="L6" s="481" t="s">
        <v>398</v>
      </c>
      <c r="M6" s="53"/>
      <c r="P6" s="132">
        <v>1</v>
      </c>
      <c r="Q6" s="132"/>
      <c r="R6" s="499"/>
      <c r="S6" s="484" t="e">
        <f>$I6</f>
        <v>#VALUE!</v>
      </c>
      <c r="T6" s="500" t="s">
        <v>399</v>
      </c>
      <c r="U6" s="486"/>
      <c r="V6" s="431"/>
      <c r="W6" s="501"/>
      <c r="X6" s="501"/>
      <c r="Y6" s="501"/>
      <c r="Z6" s="501"/>
      <c r="AA6" s="501"/>
      <c r="AB6" s="501"/>
      <c r="AC6" s="502"/>
      <c r="AD6" s="431"/>
      <c r="AE6" s="501"/>
      <c r="AF6" s="501"/>
      <c r="AG6" s="501"/>
      <c r="AH6" s="501"/>
      <c r="AI6" s="501"/>
      <c r="AJ6" s="501"/>
      <c r="AK6" s="501"/>
      <c r="AL6" s="502"/>
      <c r="AM6" s="490" t="s">
        <v>400</v>
      </c>
      <c r="AO6" s="129"/>
      <c r="AP6" s="129" t="str">
        <f t="shared" si="4"/>
        <v xml:space="preserve">Схема подключения теплопотребляющей установки к коллектору источника тепловой энергии</v>
      </c>
      <c r="AQ6" s="129"/>
      <c r="AR6" s="129"/>
      <c r="AS6" s="50">
        <v>0</v>
      </c>
    </row>
    <row r="7" ht="21" hidden="1" customHeight="1">
      <c r="A7" s="479"/>
      <c r="B7" s="479"/>
      <c r="C7" s="479"/>
      <c r="D7" s="479"/>
      <c r="E7" s="491"/>
      <c r="F7" s="491"/>
      <c r="G7" s="491"/>
      <c r="H7" s="491"/>
      <c r="I7" s="503"/>
      <c r="J7" s="498" t="e">
        <f>I6&amp;".1"</f>
        <v>#VALUE!</v>
      </c>
      <c r="K7" s="479"/>
      <c r="L7" s="481" t="s">
        <v>401</v>
      </c>
      <c r="M7" s="53"/>
      <c r="N7" s="53"/>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4"/>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404</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405</v>
      </c>
      <c r="AN8" s="57" t="e">
        <f>STRCHECKDATE(V9:AL9)</f>
        <v>#NAME?</v>
      </c>
      <c r="AO8" s="129"/>
      <c r="AP8" s="129" t="str">
        <f t="shared" si="4"/>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4"/>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6"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5">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19"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5"/>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15"/>
      <c r="T12" s="523" t="s">
        <v>408</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5"/>
        <v xml:space="preserve">Добавить схему подключения</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5"/>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5"/>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412</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t="s">
        <v>429</v>
      </c>
      <c r="X40" s="73" t="s">
        <v>430</v>
      </c>
      <c r="Y40" s="72"/>
      <c r="Z40" s="73" t="s">
        <v>444</v>
      </c>
      <c r="AA40" s="145"/>
      <c r="AB40" s="72"/>
      <c r="AC40" s="557"/>
      <c r="AD40" s="307" t="s">
        <v>428</v>
      </c>
      <c r="AE40" s="556" t="s">
        <v>429</v>
      </c>
      <c r="AF40" s="73" t="s">
        <v>430</v>
      </c>
      <c r="AG40" s="72"/>
      <c r="AH40" s="73" t="s">
        <v>431</v>
      </c>
      <c r="AI40" s="145"/>
      <c r="AJ40" s="72"/>
      <c r="AK40" s="557"/>
      <c r="AL40" s="558"/>
      <c r="AM40" s="157"/>
      <c r="AS40" s="50">
        <v>34</v>
      </c>
    </row>
    <row r="41" ht="35.649999999999999" customHeight="1">
      <c r="A41" s="151"/>
      <c r="B41" s="151" t="s">
        <v>132</v>
      </c>
      <c r="C41" s="151" t="s">
        <v>133</v>
      </c>
      <c r="D41" s="151" t="s">
        <v>134</v>
      </c>
      <c r="E41" s="481" t="s">
        <v>432</v>
      </c>
      <c r="F41" s="481" t="s">
        <v>433</v>
      </c>
      <c r="G41" s="481" t="s">
        <v>434</v>
      </c>
      <c r="H41" s="481" t="s">
        <v>435</v>
      </c>
      <c r="I41" s="481" t="s">
        <v>436</v>
      </c>
      <c r="J41" s="481" t="s">
        <v>437</v>
      </c>
      <c r="K41" s="481" t="s">
        <v>438</v>
      </c>
      <c r="L41" s="481"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158</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5"/>
        <v xml:space="preserve">Наименование тарифа</v>
      </c>
      <c r="AQ43" s="129"/>
      <c r="AR43" s="129"/>
      <c r="AS43" s="50">
        <v>21</v>
      </c>
    </row>
    <row r="44" ht="22" customHeight="1">
      <c r="A44" s="479" t="s">
        <v>158</v>
      </c>
      <c r="B44" s="479" t="s">
        <v>159</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5"/>
        <v xml:space="preserve">Территория действия тарифа</v>
      </c>
      <c r="AQ44" s="129"/>
      <c r="AR44" s="129"/>
      <c r="AS44" s="50">
        <v>21</v>
      </c>
    </row>
    <row r="45" ht="24" customHeight="1">
      <c r="A45" s="479" t="s">
        <v>158</v>
      </c>
      <c r="B45" s="479" t="s">
        <v>159</v>
      </c>
      <c r="C45" s="479" t="s">
        <v>160</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5"/>
        <v xml:space="preserve">Наименование системы теплоснабжения </v>
      </c>
      <c r="AQ45" s="129"/>
      <c r="AR45" s="129"/>
      <c r="AS45" s="50">
        <v>23</v>
      </c>
    </row>
    <row r="46" ht="22" customHeight="1">
      <c r="A46" s="479" t="s">
        <v>158</v>
      </c>
      <c r="B46" s="479" t="s">
        <v>159</v>
      </c>
      <c r="C46" s="479" t="s">
        <v>160</v>
      </c>
      <c r="D46" s="479" t="s">
        <v>161</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5"/>
        <v xml:space="preserve">Источник тепловой энергии  </v>
      </c>
      <c r="AQ46" s="129"/>
      <c r="AR46" s="129"/>
      <c r="AS46" s="50">
        <v>21</v>
      </c>
    </row>
    <row r="47" ht="49.5" customHeight="1">
      <c r="A47" s="479" t="s">
        <v>158</v>
      </c>
      <c r="B47" s="479" t="s">
        <v>159</v>
      </c>
      <c r="C47" s="479" t="s">
        <v>160</v>
      </c>
      <c r="D47" s="479" t="s">
        <v>161</v>
      </c>
      <c r="E47" s="491"/>
      <c r="F47" s="491"/>
      <c r="G47" s="491"/>
      <c r="H47" s="491"/>
      <c r="I47" s="498" t="str">
        <f>S46&amp;".1"</f>
        <v>....1</v>
      </c>
      <c r="J47" s="479"/>
      <c r="K47" s="479"/>
      <c r="L47" s="481" t="s">
        <v>398</v>
      </c>
      <c r="P47" s="132">
        <v>1</v>
      </c>
      <c r="Q47" s="132"/>
      <c r="R47" s="499"/>
      <c r="S47" s="484" t="str">
        <f>$I47</f>
        <v>....1</v>
      </c>
      <c r="T47" s="500" t="s">
        <v>399</v>
      </c>
      <c r="U47" s="486"/>
      <c r="V47" s="431"/>
      <c r="W47" s="501"/>
      <c r="X47" s="501"/>
      <c r="Y47" s="501"/>
      <c r="Z47" s="501"/>
      <c r="AA47" s="501"/>
      <c r="AB47" s="501"/>
      <c r="AC47" s="502"/>
      <c r="AD47" s="431"/>
      <c r="AE47" s="501"/>
      <c r="AF47" s="501"/>
      <c r="AG47" s="501"/>
      <c r="AH47" s="501"/>
      <c r="AI47" s="501"/>
      <c r="AJ47" s="501"/>
      <c r="AK47" s="501"/>
      <c r="AL47" s="502"/>
      <c r="AM47" s="490" t="s">
        <v>400</v>
      </c>
      <c r="AO47" s="129"/>
      <c r="AP47" s="129" t="str">
        <f t="shared" si="5"/>
        <v xml:space="preserve">Схема подключения теплопотребляющей установки к коллектору источника тепловой энергии</v>
      </c>
      <c r="AQ47" s="129"/>
      <c r="AR47" s="129"/>
      <c r="AS47" s="50">
        <v>47</v>
      </c>
    </row>
    <row r="48" ht="22" customHeight="1">
      <c r="A48" s="479" t="s">
        <v>158</v>
      </c>
      <c r="B48" s="479" t="s">
        <v>159</v>
      </c>
      <c r="C48" s="479" t="s">
        <v>160</v>
      </c>
      <c r="D48" s="479" t="s">
        <v>161</v>
      </c>
      <c r="E48" s="491"/>
      <c r="F48" s="491"/>
      <c r="G48" s="491"/>
      <c r="H48" s="491"/>
      <c r="I48" s="503"/>
      <c r="J48" s="498" t="str">
        <f>I47&amp;".1"</f>
        <v>....1.1</v>
      </c>
      <c r="K48" s="479"/>
      <c r="L48" s="481" t="s">
        <v>401</v>
      </c>
      <c r="P48" s="132"/>
      <c r="Q48" s="132">
        <v>1</v>
      </c>
      <c r="R48" s="504"/>
      <c r="S48" s="484" t="str">
        <f>$J48</f>
        <v>....1.1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5"/>
        <v xml:space="preserve">Группа потребителей</v>
      </c>
      <c r="AQ48" s="129"/>
      <c r="AR48" s="129"/>
      <c r="AS48" s="50">
        <v>21</v>
      </c>
    </row>
    <row r="49" ht="22" customHeight="1">
      <c r="A49" s="479" t="s">
        <v>158</v>
      </c>
      <c r="B49" s="479" t="s">
        <v>159</v>
      </c>
      <c r="C49" s="479" t="s">
        <v>160</v>
      </c>
      <c r="D49" s="479" t="s">
        <v>161</v>
      </c>
      <c r="E49" s="491"/>
      <c r="F49" s="491"/>
      <c r="G49" s="491"/>
      <c r="H49" s="491"/>
      <c r="I49" s="503"/>
      <c r="J49" s="503"/>
      <c r="K49" s="498" t="str">
        <f>J48&amp;".1"</f>
        <v>....1.1.1</v>
      </c>
      <c r="L49" s="481" t="s">
        <v>404</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405</v>
      </c>
      <c r="AN49" s="57" t="e">
        <f>STRCHECKDATE(V50:AL50)</f>
        <v>#NAME?</v>
      </c>
      <c r="AO49" s="129"/>
      <c r="AP49" s="129" t="str">
        <f t="shared" si="5"/>
        <v/>
      </c>
      <c r="AQ49" s="129"/>
      <c r="AR49" s="129"/>
      <c r="AS49" s="50">
        <v>21</v>
      </c>
    </row>
    <row r="50" ht="1.05" customHeight="1">
      <c r="A50" s="479" t="s">
        <v>158</v>
      </c>
      <c r="B50" s="479" t="s">
        <v>159</v>
      </c>
      <c r="C50" s="479" t="s">
        <v>160</v>
      </c>
      <c r="D50" s="479" t="s">
        <v>161</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5"/>
        <v/>
      </c>
      <c r="AQ50" s="129"/>
      <c r="AR50" s="129"/>
      <c r="AS50" s="50">
        <v>1</v>
      </c>
    </row>
    <row r="51" ht="11.5" customHeight="1">
      <c r="A51" s="479" t="s">
        <v>158</v>
      </c>
      <c r="B51" s="479" t="s">
        <v>159</v>
      </c>
      <c r="C51" s="479" t="s">
        <v>160</v>
      </c>
      <c r="D51" s="479" t="s">
        <v>161</v>
      </c>
      <c r="E51" s="491"/>
      <c r="F51" s="491"/>
      <c r="G51" s="491"/>
      <c r="H51" s="491"/>
      <c r="I51" s="503"/>
      <c r="J51" s="498"/>
      <c r="K51" s="479"/>
      <c r="L51" s="481"/>
      <c r="P51" s="132"/>
      <c r="Q51" s="132"/>
      <c r="R51" s="499"/>
      <c r="S51" s="515"/>
      <c r="T51" s="516"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5"/>
        <v xml:space="preserve">Добавить вид теплоносителя (параметры теплоносителя)</v>
      </c>
      <c r="AQ51" s="129"/>
      <c r="AR51" s="129"/>
      <c r="AS51" s="50">
        <v>11</v>
      </c>
    </row>
    <row r="52" ht="11.5" customHeight="1">
      <c r="A52" s="479" t="s">
        <v>158</v>
      </c>
      <c r="B52" s="479" t="s">
        <v>159</v>
      </c>
      <c r="C52" s="479" t="s">
        <v>160</v>
      </c>
      <c r="D52" s="479" t="s">
        <v>161</v>
      </c>
      <c r="E52" s="491"/>
      <c r="F52" s="491"/>
      <c r="G52" s="491"/>
      <c r="H52" s="491"/>
      <c r="I52" s="498"/>
      <c r="J52" s="479"/>
      <c r="K52" s="479"/>
      <c r="L52" s="481"/>
      <c r="P52" s="132"/>
      <c r="Q52" s="132"/>
      <c r="R52" s="499"/>
      <c r="S52" s="515"/>
      <c r="T52" s="519"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5"/>
        <v xml:space="preserve">Добавить группу потребителей</v>
      </c>
      <c r="AQ52" s="129"/>
      <c r="AR52" s="129"/>
      <c r="AS52" s="50">
        <v>11</v>
      </c>
    </row>
    <row r="53" ht="14.65" customHeight="1">
      <c r="A53" s="479" t="s">
        <v>158</v>
      </c>
      <c r="B53" s="479" t="s">
        <v>159</v>
      </c>
      <c r="C53" s="479" t="s">
        <v>160</v>
      </c>
      <c r="D53" s="479" t="s">
        <v>161</v>
      </c>
      <c r="E53" s="491"/>
      <c r="F53" s="491"/>
      <c r="G53" s="491"/>
      <c r="H53" s="480"/>
      <c r="I53" s="479"/>
      <c r="J53" s="479"/>
      <c r="K53" s="479"/>
      <c r="L53" s="481"/>
      <c r="M53" s="482"/>
      <c r="N53" s="482"/>
      <c r="O53" s="53"/>
      <c r="P53" s="143"/>
      <c r="Q53" s="522"/>
      <c r="R53" s="483"/>
      <c r="S53" s="515"/>
      <c r="T53" s="523" t="s">
        <v>408</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5"/>
        <v xml:space="preserve">Добавить схему подключения</v>
      </c>
      <c r="AQ53" s="129"/>
      <c r="AR53" s="129"/>
      <c r="AS53" s="50">
        <v>14</v>
      </c>
    </row>
    <row r="54" s="57" customFormat="1" ht="1.05" customHeight="1">
      <c r="A54" s="133" t="s">
        <v>158</v>
      </c>
      <c r="B54" s="133" t="s">
        <v>159</v>
      </c>
      <c r="C54" s="133" t="s">
        <v>160</v>
      </c>
      <c r="D54" s="133"/>
      <c r="E54" s="491"/>
      <c r="F54" s="491"/>
      <c r="G54" s="480"/>
      <c r="H54" s="133"/>
      <c r="I54" s="133"/>
      <c r="J54" s="133"/>
      <c r="K54" s="133"/>
      <c r="L54" s="212"/>
      <c r="M54" s="464"/>
      <c r="N54" s="464"/>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5"/>
        <v xml:space="preserve">Добавить источник для дифференциации</v>
      </c>
      <c r="AQ54" s="129"/>
      <c r="AR54" s="129"/>
      <c r="AS54" s="57">
        <v>1</v>
      </c>
    </row>
    <row r="55" s="57" customFormat="1" ht="1.05" customHeight="1">
      <c r="A55" s="133" t="s">
        <v>158</v>
      </c>
      <c r="B55" s="133" t="s">
        <v>159</v>
      </c>
      <c r="C55" s="133"/>
      <c r="D55" s="133"/>
      <c r="E55" s="491"/>
      <c r="F55" s="480"/>
      <c r="G55" s="133"/>
      <c r="H55" s="133"/>
      <c r="I55" s="133"/>
      <c r="J55" s="133"/>
      <c r="K55" s="133"/>
      <c r="L55" s="212"/>
      <c r="M55" s="528"/>
      <c r="N55" s="528"/>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5"/>
        <v xml:space="preserve">Добавить централизованную систему для дифференциации</v>
      </c>
      <c r="AQ55" s="129"/>
      <c r="AR55" s="129"/>
      <c r="AS55" s="57">
        <v>1</v>
      </c>
    </row>
    <row r="56" s="57" customFormat="1" ht="1.05" customHeight="1">
      <c r="A56" s="133" t="s">
        <v>158</v>
      </c>
      <c r="B56" s="133"/>
      <c r="C56" s="133"/>
      <c r="D56" s="133"/>
      <c r="E56" s="480"/>
      <c r="F56" s="133"/>
      <c r="G56" s="133"/>
      <c r="H56" s="133"/>
      <c r="I56" s="133"/>
      <c r="J56" s="133"/>
      <c r="K56" s="133"/>
      <c r="L56" s="212"/>
      <c r="M56" s="528"/>
      <c r="N56" s="528"/>
      <c r="O56" s="57"/>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5.2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62</v>
      </c>
    </row>
    <row r="61" ht="14.65" customHeight="1">
      <c r="O61" s="53"/>
      <c r="AS61" s="50">
        <v>14</v>
      </c>
    </row>
    <row r="62" ht="18.75" customHeight="1">
      <c r="O62" s="53"/>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3"/>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3"/>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78">
        <v>3</v>
      </c>
      <c r="R65" s="47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6000A-00FA-490B-8AB5-006600DD007F}"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E000A-00DD-483D-8357-0093009A005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B006C-008E-4680-AD7C-006100B8001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A00D5-00D9-4C1B-AEB4-00550028007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75">
        <v>1</v>
      </c>
      <c r="F2" s="264"/>
      <c r="G2" s="264"/>
      <c r="H2" s="264"/>
      <c r="I2" s="264"/>
      <c r="J2" s="264"/>
      <c r="K2" s="264"/>
      <c r="L2" s="322"/>
      <c r="M2" s="86"/>
      <c r="N2" s="86"/>
      <c r="O2" s="86"/>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6">IF(T2="","",T2)</f>
        <v xml:space="preserve">Наименование тарифа</v>
      </c>
      <c r="AQ2" s="129"/>
      <c r="AR2" s="129"/>
      <c r="AS2" s="50">
        <v>0</v>
      </c>
    </row>
    <row r="3" ht="21" hidden="1" customHeight="1">
      <c r="A3" s="264"/>
      <c r="B3" s="264"/>
      <c r="C3" s="264"/>
      <c r="D3" s="264"/>
      <c r="E3" s="576"/>
      <c r="F3" s="575">
        <v>1</v>
      </c>
      <c r="G3" s="264"/>
      <c r="H3" s="264"/>
      <c r="I3" s="264"/>
      <c r="J3" s="264"/>
      <c r="K3" s="264"/>
      <c r="L3" s="322"/>
      <c r="M3" s="86"/>
      <c r="N3" s="86"/>
      <c r="O3" s="86"/>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6"/>
        <v xml:space="preserve">Территория действия тарифа</v>
      </c>
      <c r="AQ3" s="129"/>
      <c r="AR3" s="129"/>
      <c r="AS3" s="50">
        <v>0</v>
      </c>
    </row>
    <row r="4" ht="23.25" hidden="1" customHeight="1">
      <c r="A4" s="264"/>
      <c r="B4" s="264"/>
      <c r="C4" s="264"/>
      <c r="D4" s="264"/>
      <c r="E4" s="576"/>
      <c r="F4" s="576"/>
      <c r="G4" s="575">
        <v>1</v>
      </c>
      <c r="H4" s="264"/>
      <c r="I4" s="264"/>
      <c r="J4" s="264"/>
      <c r="K4" s="264"/>
      <c r="L4" s="322"/>
      <c r="M4" s="86"/>
      <c r="N4" s="86"/>
      <c r="O4" s="86"/>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6"/>
        <v xml:space="preserve">Наименование системы теплоснабжения </v>
      </c>
      <c r="AQ4" s="129"/>
      <c r="AR4" s="129"/>
      <c r="AS4" s="50">
        <v>0</v>
      </c>
    </row>
    <row r="5" ht="21" hidden="1" customHeight="1">
      <c r="A5" s="264"/>
      <c r="B5" s="264"/>
      <c r="C5" s="264"/>
      <c r="D5" s="264"/>
      <c r="E5" s="576"/>
      <c r="F5" s="576"/>
      <c r="G5" s="576"/>
      <c r="H5" s="575">
        <v>1</v>
      </c>
      <c r="I5" s="264"/>
      <c r="J5" s="264"/>
      <c r="K5" s="264"/>
      <c r="L5" s="322"/>
      <c r="M5" s="86"/>
      <c r="N5" s="86"/>
      <c r="O5" s="86"/>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6"/>
        <v xml:space="preserve">Источник тепловой энергии  </v>
      </c>
      <c r="AQ5" s="129"/>
      <c r="AR5" s="129"/>
      <c r="AS5" s="50">
        <v>0</v>
      </c>
    </row>
    <row r="6" ht="47.25" hidden="1" customHeight="1">
      <c r="A6" s="264"/>
      <c r="B6" s="264"/>
      <c r="C6" s="264"/>
      <c r="D6" s="264"/>
      <c r="E6" s="576"/>
      <c r="F6" s="576"/>
      <c r="G6" s="576"/>
      <c r="H6" s="576"/>
      <c r="I6" s="157" t="e">
        <f>S5&amp;".1"</f>
        <v>#VALUE!</v>
      </c>
      <c r="J6" s="264"/>
      <c r="K6" s="264"/>
      <c r="L6" s="322" t="s">
        <v>398</v>
      </c>
      <c r="M6" s="50"/>
      <c r="P6" s="132">
        <v>1</v>
      </c>
      <c r="Q6" s="132"/>
      <c r="R6" s="499"/>
      <c r="S6" s="484" t="e">
        <f>$I6</f>
        <v>#VALUE!</v>
      </c>
      <c r="T6" s="500" t="s">
        <v>399</v>
      </c>
      <c r="U6" s="486"/>
      <c r="V6" s="431"/>
      <c r="W6" s="501"/>
      <c r="X6" s="501"/>
      <c r="Y6" s="501"/>
      <c r="Z6" s="501"/>
      <c r="AA6" s="501"/>
      <c r="AB6" s="501"/>
      <c r="AC6" s="502"/>
      <c r="AD6" s="431"/>
      <c r="AE6" s="501"/>
      <c r="AF6" s="501"/>
      <c r="AG6" s="501"/>
      <c r="AH6" s="501"/>
      <c r="AI6" s="501"/>
      <c r="AJ6" s="501"/>
      <c r="AK6" s="501"/>
      <c r="AL6" s="502"/>
      <c r="AM6" s="490" t="s">
        <v>400</v>
      </c>
      <c r="AO6" s="129"/>
      <c r="AP6" s="129" t="str">
        <f t="shared" si="6"/>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76"/>
      <c r="F7" s="576"/>
      <c r="G7" s="576"/>
      <c r="H7" s="576"/>
      <c r="I7" s="73"/>
      <c r="J7" s="157" t="e">
        <f>I6&amp;".1"</f>
        <v>#VALUE!</v>
      </c>
      <c r="K7" s="264"/>
      <c r="L7" s="322" t="s">
        <v>401</v>
      </c>
      <c r="M7" s="50"/>
      <c r="N7" s="50"/>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6"/>
        <v xml:space="preserve">Группа потребителей</v>
      </c>
      <c r="AQ7" s="129"/>
      <c r="AR7" s="129"/>
      <c r="AS7" s="50">
        <v>0</v>
      </c>
    </row>
    <row r="8" ht="21" hidden="1" customHeight="1">
      <c r="A8" s="264"/>
      <c r="B8" s="264"/>
      <c r="C8" s="264"/>
      <c r="D8" s="264"/>
      <c r="E8" s="576"/>
      <c r="F8" s="576"/>
      <c r="G8" s="576"/>
      <c r="H8" s="576"/>
      <c r="I8" s="73"/>
      <c r="J8" s="73"/>
      <c r="K8" s="157" t="e">
        <f>J7&amp;".1"</f>
        <v>#VALUE!</v>
      </c>
      <c r="L8" s="322" t="s">
        <v>404</v>
      </c>
      <c r="M8" s="50"/>
      <c r="N8" s="50"/>
      <c r="O8" s="50"/>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405</v>
      </c>
      <c r="AN8" s="57" t="e">
        <f>STRCHECKDATE(V9:AL9)</f>
        <v>#NAME?</v>
      </c>
      <c r="AO8" s="129"/>
      <c r="AP8" s="129" t="str">
        <f t="shared" si="6"/>
        <v/>
      </c>
      <c r="AQ8" s="129"/>
      <c r="AR8" s="129"/>
      <c r="AS8" s="50">
        <v>0</v>
      </c>
    </row>
    <row r="9" ht="0.75" hidden="1" customHeight="1">
      <c r="A9" s="264"/>
      <c r="B9" s="264"/>
      <c r="C9" s="264"/>
      <c r="D9" s="264"/>
      <c r="E9" s="576"/>
      <c r="F9" s="576"/>
      <c r="G9" s="576"/>
      <c r="H9" s="576"/>
      <c r="I9" s="73"/>
      <c r="J9" s="73"/>
      <c r="K9" s="157"/>
      <c r="L9" s="322"/>
      <c r="M9" s="50"/>
      <c r="N9" s="50"/>
      <c r="O9" s="50"/>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6"/>
        <v/>
      </c>
      <c r="AQ9" s="129"/>
      <c r="AR9" s="129"/>
      <c r="AS9" s="50">
        <v>0</v>
      </c>
    </row>
    <row r="10" ht="15" hidden="1" customHeight="1">
      <c r="A10" s="264"/>
      <c r="B10" s="264"/>
      <c r="C10" s="264"/>
      <c r="D10" s="264"/>
      <c r="E10" s="576"/>
      <c r="F10" s="576"/>
      <c r="G10" s="576"/>
      <c r="H10" s="576"/>
      <c r="I10" s="73"/>
      <c r="J10" s="157"/>
      <c r="K10" s="264"/>
      <c r="L10" s="322"/>
      <c r="M10" s="50"/>
      <c r="N10" s="50"/>
      <c r="P10" s="132"/>
      <c r="Q10" s="132"/>
      <c r="R10" s="499"/>
      <c r="S10" s="515"/>
      <c r="T10" s="516"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7">IF(T10="","",T10)</f>
        <v xml:space="preserve">Добавить вид теплоносителя (параметры теплоносителя)</v>
      </c>
      <c r="AQ10" s="129"/>
      <c r="AR10" s="129"/>
      <c r="AS10" s="50">
        <v>0</v>
      </c>
    </row>
    <row r="11" ht="15" hidden="1" customHeight="1">
      <c r="A11" s="264"/>
      <c r="B11" s="264"/>
      <c r="C11" s="264"/>
      <c r="D11" s="264"/>
      <c r="E11" s="576"/>
      <c r="F11" s="576"/>
      <c r="G11" s="576"/>
      <c r="H11" s="576"/>
      <c r="I11" s="157"/>
      <c r="J11" s="264"/>
      <c r="K11" s="264"/>
      <c r="L11" s="322"/>
      <c r="M11" s="50"/>
      <c r="P11" s="132"/>
      <c r="Q11" s="132"/>
      <c r="R11" s="499"/>
      <c r="S11" s="515"/>
      <c r="T11" s="519"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7"/>
        <v xml:space="preserve">Добавить группу потребителей</v>
      </c>
      <c r="AQ11" s="129"/>
      <c r="AR11" s="129"/>
      <c r="AS11" s="50">
        <v>0</v>
      </c>
    </row>
    <row r="12" ht="14.25" hidden="1" customHeight="1">
      <c r="A12" s="264"/>
      <c r="B12" s="264"/>
      <c r="C12" s="264"/>
      <c r="D12" s="264"/>
      <c r="E12" s="576"/>
      <c r="F12" s="576"/>
      <c r="G12" s="576"/>
      <c r="H12" s="575"/>
      <c r="I12" s="264"/>
      <c r="J12" s="264"/>
      <c r="K12" s="264"/>
      <c r="L12" s="322"/>
      <c r="M12" s="86"/>
      <c r="N12" s="86"/>
      <c r="O12" s="50"/>
      <c r="P12" s="143"/>
      <c r="Q12" s="522"/>
      <c r="R12" s="483"/>
      <c r="S12" s="515"/>
      <c r="T12" s="523" t="s">
        <v>408</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7"/>
        <v xml:space="preserve">Добавить схему подключения</v>
      </c>
      <c r="AQ12" s="129"/>
      <c r="AR12" s="129"/>
      <c r="AS12" s="50">
        <v>0</v>
      </c>
    </row>
    <row r="13" s="57" customFormat="1" ht="0.75" hidden="1" customHeight="1">
      <c r="A13" s="577"/>
      <c r="B13" s="577"/>
      <c r="C13" s="577"/>
      <c r="D13" s="577"/>
      <c r="E13" s="576"/>
      <c r="F13" s="576"/>
      <c r="G13" s="575"/>
      <c r="H13" s="577"/>
      <c r="I13" s="577"/>
      <c r="J13" s="577"/>
      <c r="K13" s="577"/>
      <c r="L13" s="578"/>
      <c r="M13" s="579"/>
      <c r="N13" s="579"/>
      <c r="O13" s="131"/>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7"/>
        <v xml:space="preserve">Добавить источник для дифференциации</v>
      </c>
      <c r="AQ13" s="129"/>
      <c r="AR13" s="129"/>
      <c r="AS13" s="57">
        <v>0</v>
      </c>
    </row>
    <row r="14" s="57" customFormat="1" ht="0.75" hidden="1" customHeight="1">
      <c r="A14" s="577"/>
      <c r="B14" s="577"/>
      <c r="C14" s="577"/>
      <c r="D14" s="577"/>
      <c r="E14" s="576"/>
      <c r="F14" s="575"/>
      <c r="G14" s="577"/>
      <c r="H14" s="577"/>
      <c r="I14" s="577"/>
      <c r="J14" s="577"/>
      <c r="K14" s="577"/>
      <c r="L14" s="578"/>
      <c r="M14" s="580"/>
      <c r="N14" s="580"/>
      <c r="O14" s="131"/>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7"/>
        <v xml:space="preserve">Добавить централизованную систему для дифференциации</v>
      </c>
      <c r="AQ14" s="129"/>
      <c r="AR14" s="129"/>
      <c r="AS14" s="57">
        <v>0</v>
      </c>
    </row>
    <row r="15" s="57" customFormat="1" ht="0.75" hidden="1" customHeight="1">
      <c r="A15" s="577"/>
      <c r="B15" s="577"/>
      <c r="C15" s="577"/>
      <c r="D15" s="577"/>
      <c r="E15" s="575"/>
      <c r="F15" s="577"/>
      <c r="G15" s="577"/>
      <c r="H15" s="577"/>
      <c r="I15" s="577"/>
      <c r="J15" s="577"/>
      <c r="K15" s="577"/>
      <c r="L15" s="578"/>
      <c r="M15" s="580"/>
      <c r="N15" s="580"/>
      <c r="O15" s="131"/>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7"/>
        <v xml:space="preserve">Добавить территорию для дифференциации</v>
      </c>
      <c r="AQ15" s="129"/>
      <c r="AR15" s="129"/>
      <c r="AS15" s="57">
        <v>0</v>
      </c>
    </row>
    <row r="16" ht="14.25" hidden="1" customHeight="1">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1" t="s">
        <v>412</v>
      </c>
      <c r="P20" s="61"/>
      <c r="Q20" s="538"/>
      <c r="R20" s="538"/>
      <c r="S20" s="482"/>
      <c r="Z20" s="537"/>
      <c r="AB20" s="537"/>
      <c r="AH20" s="537"/>
      <c r="AJ20" s="537"/>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38"/>
      <c r="R21" s="538"/>
      <c r="S21" s="482"/>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22"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322"/>
      <c r="AS23" s="50">
        <v>0</v>
      </c>
    </row>
    <row r="24" ht="14.25" hidden="1" customHeight="1">
      <c r="O24" s="322"/>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07"/>
      <c r="B29" s="107"/>
      <c r="C29" s="107"/>
      <c r="D29" s="107"/>
      <c r="E29" s="107"/>
      <c r="F29" s="107"/>
      <c r="G29" s="107"/>
      <c r="H29" s="107"/>
      <c r="I29" s="107"/>
      <c r="J29" s="107"/>
      <c r="K29" s="107"/>
      <c r="L29" s="322"/>
      <c r="M29" s="107"/>
      <c r="N29" s="107"/>
      <c r="O29" s="107"/>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22"/>
      <c r="M30" s="107"/>
      <c r="N30" s="107"/>
      <c r="O30" s="107"/>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22"/>
      <c r="M31" s="107"/>
      <c r="N31" s="107"/>
      <c r="O31" s="107"/>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22"/>
      <c r="M32" s="107"/>
      <c r="N32" s="107"/>
      <c r="O32" s="107"/>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07"/>
      <c r="B34" s="107"/>
      <c r="C34" s="107"/>
      <c r="D34" s="107"/>
      <c r="E34" s="107"/>
      <c r="F34" s="107"/>
      <c r="G34" s="107"/>
      <c r="H34" s="107"/>
      <c r="I34" s="107"/>
      <c r="J34" s="107"/>
      <c r="K34" s="107"/>
      <c r="L34" s="322"/>
      <c r="M34" s="107"/>
      <c r="N34" s="107"/>
      <c r="O34" s="107"/>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22"/>
      <c r="M35" s="107"/>
      <c r="N35" s="107"/>
      <c r="O35" s="107"/>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07"/>
      <c r="B36" s="107"/>
      <c r="C36" s="107"/>
      <c r="D36" s="107"/>
      <c r="E36" s="107"/>
      <c r="F36" s="107"/>
      <c r="G36" s="107"/>
      <c r="H36" s="107"/>
      <c r="I36" s="107"/>
      <c r="J36" s="107"/>
      <c r="K36" s="107"/>
      <c r="L36" s="322"/>
      <c r="M36" s="107"/>
      <c r="N36" s="107"/>
      <c r="O36" s="107"/>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t="s">
        <v>429</v>
      </c>
      <c r="X40" s="73" t="s">
        <v>430</v>
      </c>
      <c r="Y40" s="72"/>
      <c r="Z40" s="73" t="s">
        <v>444</v>
      </c>
      <c r="AA40" s="145"/>
      <c r="AB40" s="72"/>
      <c r="AC40" s="557"/>
      <c r="AD40" s="307" t="s">
        <v>428</v>
      </c>
      <c r="AE40" s="556" t="s">
        <v>429</v>
      </c>
      <c r="AF40" s="73" t="s">
        <v>430</v>
      </c>
      <c r="AG40" s="72"/>
      <c r="AH40" s="73" t="s">
        <v>431</v>
      </c>
      <c r="AI40" s="145"/>
      <c r="AJ40" s="72"/>
      <c r="AK40" s="557"/>
      <c r="AL40" s="558"/>
      <c r="AM40" s="157"/>
      <c r="AS40" s="50">
        <v>34</v>
      </c>
    </row>
    <row r="41" ht="35.649999999999999" customHeight="1">
      <c r="A41" s="107"/>
      <c r="B41" s="107" t="s">
        <v>132</v>
      </c>
      <c r="C41" s="107" t="s">
        <v>133</v>
      </c>
      <c r="D41" s="107" t="s">
        <v>134</v>
      </c>
      <c r="E41" s="322" t="s">
        <v>432</v>
      </c>
      <c r="F41" s="322" t="s">
        <v>433</v>
      </c>
      <c r="G41" s="322" t="s">
        <v>434</v>
      </c>
      <c r="H41" s="322" t="s">
        <v>435</v>
      </c>
      <c r="I41" s="322" t="s">
        <v>436</v>
      </c>
      <c r="J41" s="322" t="s">
        <v>437</v>
      </c>
      <c r="K41" s="322" t="s">
        <v>438</v>
      </c>
      <c r="L41" s="322"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07"/>
      <c r="B42" s="107"/>
      <c r="C42" s="107"/>
      <c r="D42" s="107"/>
      <c r="E42" s="107"/>
      <c r="F42" s="107"/>
      <c r="G42" s="107"/>
      <c r="H42" s="107"/>
      <c r="I42" s="107"/>
      <c r="J42" s="107"/>
      <c r="K42" s="107"/>
      <c r="L42" s="322"/>
      <c r="M42" s="60"/>
      <c r="N42" s="60"/>
      <c r="O42" s="60"/>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264" t="s">
        <v>207</v>
      </c>
      <c r="B43" s="264"/>
      <c r="C43" s="264"/>
      <c r="D43" s="264"/>
      <c r="E43" s="575">
        <v>1</v>
      </c>
      <c r="F43" s="264"/>
      <c r="G43" s="264"/>
      <c r="H43" s="264"/>
      <c r="I43" s="264"/>
      <c r="J43" s="264"/>
      <c r="K43" s="264"/>
      <c r="L43" s="322"/>
      <c r="M43" s="86"/>
      <c r="N43" s="86"/>
      <c r="O43" s="86"/>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7"/>
        <v xml:space="preserve">Наименование тарифа</v>
      </c>
      <c r="AQ43" s="129"/>
      <c r="AR43" s="129"/>
      <c r="AS43" s="50">
        <v>21</v>
      </c>
    </row>
    <row r="44" ht="22" customHeight="1">
      <c r="A44" s="264" t="s">
        <v>207</v>
      </c>
      <c r="B44" s="264" t="s">
        <v>208</v>
      </c>
      <c r="C44" s="264"/>
      <c r="D44" s="264"/>
      <c r="E44" s="576"/>
      <c r="F44" s="575">
        <v>1</v>
      </c>
      <c r="G44" s="264"/>
      <c r="H44" s="264"/>
      <c r="I44" s="264"/>
      <c r="J44" s="264"/>
      <c r="K44" s="264"/>
      <c r="L44" s="322"/>
      <c r="M44" s="86"/>
      <c r="N44" s="86"/>
      <c r="O44" s="86"/>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7"/>
        <v xml:space="preserve">Территория действия тарифа</v>
      </c>
      <c r="AQ44" s="129"/>
      <c r="AR44" s="129"/>
      <c r="AS44" s="50">
        <v>21</v>
      </c>
    </row>
    <row r="45" ht="24" customHeight="1">
      <c r="A45" s="264" t="s">
        <v>207</v>
      </c>
      <c r="B45" s="264" t="s">
        <v>208</v>
      </c>
      <c r="C45" s="264" t="s">
        <v>209</v>
      </c>
      <c r="D45" s="264"/>
      <c r="E45" s="576"/>
      <c r="F45" s="576"/>
      <c r="G45" s="575">
        <v>1</v>
      </c>
      <c r="H45" s="264"/>
      <c r="I45" s="264"/>
      <c r="J45" s="264"/>
      <c r="K45" s="264"/>
      <c r="L45" s="322"/>
      <c r="M45" s="86"/>
      <c r="N45" s="86"/>
      <c r="O45" s="86"/>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7"/>
        <v xml:space="preserve">Наименование системы теплоснабжения </v>
      </c>
      <c r="AQ45" s="129"/>
      <c r="AR45" s="129"/>
      <c r="AS45" s="50">
        <v>23</v>
      </c>
    </row>
    <row r="46" ht="22" customHeight="1">
      <c r="A46" s="264" t="s">
        <v>207</v>
      </c>
      <c r="B46" s="264" t="s">
        <v>208</v>
      </c>
      <c r="C46" s="264" t="s">
        <v>209</v>
      </c>
      <c r="D46" s="264" t="s">
        <v>210</v>
      </c>
      <c r="E46" s="576"/>
      <c r="F46" s="576"/>
      <c r="G46" s="576"/>
      <c r="H46" s="575">
        <v>1</v>
      </c>
      <c r="I46" s="264"/>
      <c r="J46" s="264"/>
      <c r="K46" s="264"/>
      <c r="L46" s="322"/>
      <c r="M46" s="86"/>
      <c r="N46" s="86"/>
      <c r="O46" s="86"/>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7"/>
        <v xml:space="preserve">Источник тепловой энергии  </v>
      </c>
      <c r="AQ46" s="129"/>
      <c r="AR46" s="129"/>
      <c r="AS46" s="50">
        <v>21</v>
      </c>
    </row>
    <row r="47" ht="49.5" customHeight="1">
      <c r="A47" s="264" t="s">
        <v>207</v>
      </c>
      <c r="B47" s="264" t="s">
        <v>208</v>
      </c>
      <c r="C47" s="264" t="s">
        <v>209</v>
      </c>
      <c r="D47" s="264" t="s">
        <v>210</v>
      </c>
      <c r="E47" s="576"/>
      <c r="F47" s="576"/>
      <c r="G47" s="576"/>
      <c r="H47" s="576"/>
      <c r="I47" s="157" t="str">
        <f>S46&amp;".1"</f>
        <v>....1</v>
      </c>
      <c r="J47" s="264"/>
      <c r="K47" s="264"/>
      <c r="L47" s="322" t="s">
        <v>398</v>
      </c>
      <c r="P47" s="132">
        <v>1</v>
      </c>
      <c r="Q47" s="132"/>
      <c r="R47" s="499"/>
      <c r="S47" s="484" t="str">
        <f>$I47</f>
        <v>....1</v>
      </c>
      <c r="T47" s="500" t="s">
        <v>399</v>
      </c>
      <c r="U47" s="486"/>
      <c r="V47" s="431"/>
      <c r="W47" s="501"/>
      <c r="X47" s="501"/>
      <c r="Y47" s="501"/>
      <c r="Z47" s="501"/>
      <c r="AA47" s="501"/>
      <c r="AB47" s="501"/>
      <c r="AC47" s="502"/>
      <c r="AD47" s="431"/>
      <c r="AE47" s="501"/>
      <c r="AF47" s="501"/>
      <c r="AG47" s="501"/>
      <c r="AH47" s="501"/>
      <c r="AI47" s="501"/>
      <c r="AJ47" s="501"/>
      <c r="AK47" s="501"/>
      <c r="AL47" s="502"/>
      <c r="AM47" s="490" t="s">
        <v>400</v>
      </c>
      <c r="AO47" s="129"/>
      <c r="AP47" s="129" t="str">
        <f t="shared" si="7"/>
        <v xml:space="preserve">Схема подключения теплопотребляющей установки к коллектору источника тепловой энергии</v>
      </c>
      <c r="AQ47" s="129"/>
      <c r="AR47" s="129"/>
      <c r="AS47" s="50">
        <v>47</v>
      </c>
    </row>
    <row r="48" ht="22" customHeight="1">
      <c r="A48" s="264" t="s">
        <v>207</v>
      </c>
      <c r="B48" s="264" t="s">
        <v>208</v>
      </c>
      <c r="C48" s="264" t="s">
        <v>209</v>
      </c>
      <c r="D48" s="264" t="s">
        <v>210</v>
      </c>
      <c r="E48" s="576"/>
      <c r="F48" s="576"/>
      <c r="G48" s="576"/>
      <c r="H48" s="576"/>
      <c r="I48" s="73"/>
      <c r="J48" s="157" t="str">
        <f>I47&amp;".1"</f>
        <v>....1.1</v>
      </c>
      <c r="K48" s="264"/>
      <c r="L48" s="322" t="s">
        <v>401</v>
      </c>
      <c r="P48" s="132"/>
      <c r="Q48" s="132">
        <v>1</v>
      </c>
      <c r="R48" s="504"/>
      <c r="S48" s="484" t="str">
        <f>$J48</f>
        <v>....1.1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7"/>
        <v xml:space="preserve">Группа потребителей</v>
      </c>
      <c r="AQ48" s="129"/>
      <c r="AR48" s="129"/>
      <c r="AS48" s="50">
        <v>21</v>
      </c>
    </row>
    <row r="49" ht="22" customHeight="1">
      <c r="A49" s="264" t="s">
        <v>207</v>
      </c>
      <c r="B49" s="264" t="s">
        <v>208</v>
      </c>
      <c r="C49" s="264" t="s">
        <v>209</v>
      </c>
      <c r="D49" s="264" t="s">
        <v>210</v>
      </c>
      <c r="E49" s="576"/>
      <c r="F49" s="576"/>
      <c r="G49" s="576"/>
      <c r="H49" s="576"/>
      <c r="I49" s="73"/>
      <c r="J49" s="73"/>
      <c r="K49" s="157" t="str">
        <f>J48&amp;".1"</f>
        <v>....1.1.1</v>
      </c>
      <c r="L49" s="322" t="s">
        <v>404</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405</v>
      </c>
      <c r="AN49" s="57" t="e">
        <f>STRCHECKDATE(V50:AL50)</f>
        <v>#NAME?</v>
      </c>
      <c r="AO49" s="129"/>
      <c r="AP49" s="129" t="str">
        <f t="shared" si="7"/>
        <v/>
      </c>
      <c r="AQ49" s="129"/>
      <c r="AR49" s="129"/>
      <c r="AS49" s="50">
        <v>21</v>
      </c>
    </row>
    <row r="50" ht="1.05" customHeight="1">
      <c r="A50" s="264" t="s">
        <v>207</v>
      </c>
      <c r="B50" s="264" t="s">
        <v>208</v>
      </c>
      <c r="C50" s="264" t="s">
        <v>209</v>
      </c>
      <c r="D50" s="264" t="s">
        <v>210</v>
      </c>
      <c r="E50" s="576"/>
      <c r="F50" s="576"/>
      <c r="G50" s="576"/>
      <c r="H50" s="576"/>
      <c r="I50" s="73"/>
      <c r="J50" s="73"/>
      <c r="K50" s="157"/>
      <c r="L50" s="322"/>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7"/>
        <v/>
      </c>
      <c r="AQ50" s="129"/>
      <c r="AR50" s="129"/>
      <c r="AS50" s="50">
        <v>1</v>
      </c>
    </row>
    <row r="51" ht="11.5" customHeight="1">
      <c r="A51" s="264" t="s">
        <v>207</v>
      </c>
      <c r="B51" s="264" t="s">
        <v>208</v>
      </c>
      <c r="C51" s="264" t="s">
        <v>209</v>
      </c>
      <c r="D51" s="264" t="s">
        <v>210</v>
      </c>
      <c r="E51" s="576"/>
      <c r="F51" s="576"/>
      <c r="G51" s="576"/>
      <c r="H51" s="576"/>
      <c r="I51" s="73"/>
      <c r="J51" s="157"/>
      <c r="K51" s="264"/>
      <c r="L51" s="322"/>
      <c r="P51" s="132"/>
      <c r="Q51" s="132"/>
      <c r="R51" s="499"/>
      <c r="S51" s="515"/>
      <c r="T51" s="516"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7"/>
        <v xml:space="preserve">Добавить вид теплоносителя (параметры теплоносителя)</v>
      </c>
      <c r="AQ51" s="129"/>
      <c r="AR51" s="129"/>
      <c r="AS51" s="50">
        <v>11</v>
      </c>
    </row>
    <row r="52" ht="11.5" customHeight="1">
      <c r="A52" s="264" t="s">
        <v>207</v>
      </c>
      <c r="B52" s="264" t="s">
        <v>208</v>
      </c>
      <c r="C52" s="264" t="s">
        <v>209</v>
      </c>
      <c r="D52" s="264" t="s">
        <v>210</v>
      </c>
      <c r="E52" s="576"/>
      <c r="F52" s="576"/>
      <c r="G52" s="576"/>
      <c r="H52" s="576"/>
      <c r="I52" s="157"/>
      <c r="J52" s="264"/>
      <c r="K52" s="264"/>
      <c r="L52" s="322"/>
      <c r="P52" s="132"/>
      <c r="Q52" s="132"/>
      <c r="R52" s="499"/>
      <c r="S52" s="515"/>
      <c r="T52" s="519"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7"/>
        <v xml:space="preserve">Добавить группу потребителей</v>
      </c>
      <c r="AQ52" s="129"/>
      <c r="AR52" s="129"/>
      <c r="AS52" s="50">
        <v>11</v>
      </c>
    </row>
    <row r="53" ht="14.65" customHeight="1">
      <c r="A53" s="264" t="s">
        <v>207</v>
      </c>
      <c r="B53" s="264" t="s">
        <v>208</v>
      </c>
      <c r="C53" s="264" t="s">
        <v>209</v>
      </c>
      <c r="D53" s="264" t="s">
        <v>210</v>
      </c>
      <c r="E53" s="576"/>
      <c r="F53" s="576"/>
      <c r="G53" s="576"/>
      <c r="H53" s="575"/>
      <c r="I53" s="264"/>
      <c r="J53" s="264"/>
      <c r="K53" s="264"/>
      <c r="L53" s="322"/>
      <c r="M53" s="86"/>
      <c r="N53" s="86"/>
      <c r="O53" s="50"/>
      <c r="P53" s="143"/>
      <c r="Q53" s="522"/>
      <c r="R53" s="483"/>
      <c r="S53" s="515"/>
      <c r="T53" s="523" t="s">
        <v>408</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7"/>
        <v xml:space="preserve">Добавить схему подключения</v>
      </c>
      <c r="AQ53" s="129"/>
      <c r="AR53" s="129"/>
      <c r="AS53" s="50">
        <v>14</v>
      </c>
    </row>
    <row r="54" s="57" customFormat="1" ht="4.2000000000000002" customHeight="1">
      <c r="A54" s="577" t="s">
        <v>207</v>
      </c>
      <c r="B54" s="577" t="s">
        <v>208</v>
      </c>
      <c r="C54" s="577" t="s">
        <v>209</v>
      </c>
      <c r="D54" s="577"/>
      <c r="E54" s="576"/>
      <c r="F54" s="576"/>
      <c r="G54" s="575"/>
      <c r="H54" s="577"/>
      <c r="I54" s="577"/>
      <c r="J54" s="577"/>
      <c r="K54" s="577"/>
      <c r="L54" s="578"/>
      <c r="M54" s="579"/>
      <c r="N54" s="579"/>
      <c r="O54" s="131"/>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7"/>
        <v xml:space="preserve">Добавить источник для дифференциации</v>
      </c>
      <c r="AQ54" s="129"/>
      <c r="AR54" s="129"/>
      <c r="AS54" s="57">
        <v>4</v>
      </c>
    </row>
    <row r="55" s="57" customFormat="1" ht="4.2000000000000002" customHeight="1">
      <c r="A55" s="577" t="s">
        <v>207</v>
      </c>
      <c r="B55" s="577" t="s">
        <v>208</v>
      </c>
      <c r="C55" s="577"/>
      <c r="D55" s="577"/>
      <c r="E55" s="576"/>
      <c r="F55" s="575"/>
      <c r="G55" s="577"/>
      <c r="H55" s="577"/>
      <c r="I55" s="577"/>
      <c r="J55" s="577"/>
      <c r="K55" s="577"/>
      <c r="L55" s="578"/>
      <c r="M55" s="580"/>
      <c r="N55" s="580"/>
      <c r="O55" s="131"/>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7"/>
        <v xml:space="preserve">Добавить централизованную систему для дифференциации</v>
      </c>
      <c r="AQ55" s="129"/>
      <c r="AR55" s="129"/>
      <c r="AS55" s="57">
        <v>4</v>
      </c>
    </row>
    <row r="56" s="57" customFormat="1" ht="4.2000000000000002" customHeight="1">
      <c r="A56" s="577" t="s">
        <v>207</v>
      </c>
      <c r="B56" s="577"/>
      <c r="C56" s="577"/>
      <c r="D56" s="577"/>
      <c r="E56" s="575"/>
      <c r="F56" s="577"/>
      <c r="G56" s="577"/>
      <c r="H56" s="577"/>
      <c r="I56" s="577"/>
      <c r="J56" s="577"/>
      <c r="K56" s="577"/>
      <c r="L56" s="578"/>
      <c r="M56" s="580"/>
      <c r="N56" s="580"/>
      <c r="O56" s="131"/>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7"/>
        <v xml:space="preserve">Добавить территорию для дифференциации</v>
      </c>
      <c r="AQ56" s="129"/>
      <c r="AR56" s="129"/>
      <c r="AS56" s="57">
        <v>4</v>
      </c>
    </row>
    <row r="57" s="57" customFormat="1" ht="4.2000000000000002" customHeight="1">
      <c r="A57" s="577"/>
      <c r="B57" s="577"/>
      <c r="C57" s="577"/>
      <c r="D57" s="577"/>
      <c r="E57" s="577"/>
      <c r="F57" s="577"/>
      <c r="G57" s="577"/>
      <c r="H57" s="577"/>
      <c r="I57" s="577"/>
      <c r="J57" s="577"/>
      <c r="K57" s="577"/>
      <c r="L57" s="578"/>
      <c r="M57" s="580"/>
      <c r="N57" s="580"/>
      <c r="O57" s="131"/>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7"/>
        <v xml:space="preserve">Добавить наименование тарифа</v>
      </c>
      <c r="AQ57" s="129"/>
      <c r="AR57" s="129"/>
      <c r="AS57" s="57">
        <v>4</v>
      </c>
    </row>
    <row r="58" ht="11.5" customHeight="1">
      <c r="M58" s="50"/>
      <c r="N58" s="50"/>
      <c r="O58" s="50"/>
      <c r="P58" s="50"/>
      <c r="Q58" s="50"/>
      <c r="R58" s="50"/>
      <c r="S58" s="50"/>
      <c r="AN58" s="50"/>
      <c r="AO58" s="50"/>
      <c r="AP58" s="50"/>
      <c r="AQ58" s="50"/>
      <c r="AR58" s="50"/>
      <c r="AS58" s="50">
        <v>11</v>
      </c>
    </row>
    <row r="59" ht="28.5" customHeight="1">
      <c r="O59" s="50"/>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5.25" customHeight="1">
      <c r="O60" s="50"/>
      <c r="T60" s="574"/>
      <c r="U60" s="574"/>
      <c r="V60" s="574"/>
      <c r="W60" s="574"/>
      <c r="X60" s="574"/>
      <c r="Y60" s="574"/>
      <c r="Z60" s="574"/>
      <c r="AA60" s="574"/>
      <c r="AB60" s="574"/>
      <c r="AC60" s="574"/>
      <c r="AD60" s="574"/>
      <c r="AE60" s="574"/>
      <c r="AF60" s="574"/>
      <c r="AG60" s="574"/>
      <c r="AH60" s="574"/>
      <c r="AI60" s="574"/>
      <c r="AJ60" s="574"/>
      <c r="AK60" s="574"/>
      <c r="AL60" s="574"/>
      <c r="AM60" s="574"/>
      <c r="AS60" s="50">
        <v>62</v>
      </c>
    </row>
    <row r="61" ht="14.65" customHeight="1">
      <c r="O61" s="50"/>
      <c r="AS61" s="50">
        <v>14</v>
      </c>
    </row>
    <row r="62" ht="18.75" customHeight="1">
      <c r="O62" s="50"/>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0"/>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0"/>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78">
        <v>3</v>
      </c>
      <c r="R65" s="47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10008-003A-4436-9B47-002F003B00B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7004F-00F5-4E78-A248-00EB009B00D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400B9-0009-4D3F-8F2D-009D00B000A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D00E7-0092-43E7-BBF9-00BD000E003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75">
        <v>1</v>
      </c>
      <c r="F2" s="264"/>
      <c r="G2" s="264"/>
      <c r="H2" s="264"/>
      <c r="I2" s="264"/>
      <c r="J2" s="264"/>
      <c r="K2" s="264"/>
      <c r="L2" s="322"/>
      <c r="M2" s="86"/>
      <c r="N2" s="86"/>
      <c r="O2" s="86"/>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8">IF(T2="","",T2)</f>
        <v xml:space="preserve">Наименование тарифа</v>
      </c>
      <c r="AQ2" s="129"/>
      <c r="AR2" s="129"/>
      <c r="AS2" s="50">
        <v>0</v>
      </c>
    </row>
    <row r="3" ht="21" hidden="1" customHeight="1">
      <c r="A3" s="264"/>
      <c r="B3" s="264"/>
      <c r="C3" s="264"/>
      <c r="D3" s="264"/>
      <c r="E3" s="576"/>
      <c r="F3" s="575">
        <v>1</v>
      </c>
      <c r="G3" s="264"/>
      <c r="H3" s="264"/>
      <c r="I3" s="264"/>
      <c r="J3" s="264"/>
      <c r="K3" s="264"/>
      <c r="L3" s="322"/>
      <c r="M3" s="86"/>
      <c r="N3" s="86"/>
      <c r="O3" s="86"/>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8"/>
        <v xml:space="preserve">Территория действия тарифа</v>
      </c>
      <c r="AQ3" s="129"/>
      <c r="AR3" s="129"/>
      <c r="AS3" s="50">
        <v>0</v>
      </c>
    </row>
    <row r="4" ht="23.25" hidden="1" customHeight="1">
      <c r="A4" s="264"/>
      <c r="B4" s="264"/>
      <c r="C4" s="264"/>
      <c r="D4" s="264"/>
      <c r="E4" s="576"/>
      <c r="F4" s="576"/>
      <c r="G4" s="575">
        <v>1</v>
      </c>
      <c r="H4" s="264"/>
      <c r="I4" s="264"/>
      <c r="J4" s="264"/>
      <c r="K4" s="264"/>
      <c r="L4" s="322"/>
      <c r="M4" s="86"/>
      <c r="N4" s="86"/>
      <c r="O4" s="86"/>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8"/>
        <v xml:space="preserve">Наименование системы теплоснабжения </v>
      </c>
      <c r="AQ4" s="129"/>
      <c r="AR4" s="129"/>
      <c r="AS4" s="50">
        <v>0</v>
      </c>
    </row>
    <row r="5" ht="21" hidden="1" customHeight="1">
      <c r="A5" s="264"/>
      <c r="B5" s="264"/>
      <c r="C5" s="264"/>
      <c r="D5" s="264"/>
      <c r="E5" s="576"/>
      <c r="F5" s="576"/>
      <c r="G5" s="576"/>
      <c r="H5" s="575">
        <v>1</v>
      </c>
      <c r="I5" s="264"/>
      <c r="J5" s="264"/>
      <c r="K5" s="264"/>
      <c r="L5" s="322"/>
      <c r="M5" s="86"/>
      <c r="N5" s="86"/>
      <c r="O5" s="86"/>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8"/>
        <v xml:space="preserve">Источник тепловой энергии  </v>
      </c>
      <c r="AQ5" s="129"/>
      <c r="AR5" s="129"/>
      <c r="AS5" s="50">
        <v>0</v>
      </c>
    </row>
    <row r="6" ht="47.25" hidden="1" customHeight="1">
      <c r="A6" s="264"/>
      <c r="B6" s="264"/>
      <c r="C6" s="264"/>
      <c r="D6" s="264"/>
      <c r="E6" s="576"/>
      <c r="F6" s="576"/>
      <c r="G6" s="576"/>
      <c r="H6" s="576"/>
      <c r="I6" s="157" t="e">
        <f>S5&amp;".1"</f>
        <v>#VALUE!</v>
      </c>
      <c r="J6" s="264"/>
      <c r="K6" s="264"/>
      <c r="L6" s="322" t="s">
        <v>398</v>
      </c>
      <c r="M6" s="50"/>
      <c r="P6" s="132">
        <v>1</v>
      </c>
      <c r="Q6" s="132"/>
      <c r="R6" s="499"/>
      <c r="S6" s="484" t="e">
        <f>$I6</f>
        <v>#VALUE!</v>
      </c>
      <c r="T6" s="500" t="s">
        <v>399</v>
      </c>
      <c r="U6" s="486"/>
      <c r="V6" s="431"/>
      <c r="W6" s="501"/>
      <c r="X6" s="501"/>
      <c r="Y6" s="501"/>
      <c r="Z6" s="501"/>
      <c r="AA6" s="501"/>
      <c r="AB6" s="501"/>
      <c r="AC6" s="502"/>
      <c r="AD6" s="431"/>
      <c r="AE6" s="501"/>
      <c r="AF6" s="501"/>
      <c r="AG6" s="501"/>
      <c r="AH6" s="501"/>
      <c r="AI6" s="501"/>
      <c r="AJ6" s="501"/>
      <c r="AK6" s="501"/>
      <c r="AL6" s="502"/>
      <c r="AM6" s="490" t="s">
        <v>400</v>
      </c>
      <c r="AO6" s="129"/>
      <c r="AP6" s="129" t="str">
        <f t="shared" si="8"/>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76"/>
      <c r="F7" s="576"/>
      <c r="G7" s="576"/>
      <c r="H7" s="576"/>
      <c r="I7" s="73"/>
      <c r="J7" s="157" t="e">
        <f>I6&amp;".1"</f>
        <v>#VALUE!</v>
      </c>
      <c r="K7" s="264"/>
      <c r="L7" s="322" t="s">
        <v>401</v>
      </c>
      <c r="M7" s="50"/>
      <c r="N7" s="50"/>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8"/>
        <v xml:space="preserve">Группа потребителей</v>
      </c>
      <c r="AQ7" s="129"/>
      <c r="AR7" s="129"/>
      <c r="AS7" s="50">
        <v>0</v>
      </c>
    </row>
    <row r="8" ht="21" hidden="1" customHeight="1">
      <c r="A8" s="264"/>
      <c r="B8" s="264"/>
      <c r="C8" s="264"/>
      <c r="D8" s="264"/>
      <c r="E8" s="576"/>
      <c r="F8" s="576"/>
      <c r="G8" s="576"/>
      <c r="H8" s="576"/>
      <c r="I8" s="73"/>
      <c r="J8" s="73"/>
      <c r="K8" s="157" t="e">
        <f>J7&amp;".1"</f>
        <v>#VALUE!</v>
      </c>
      <c r="L8" s="322" t="s">
        <v>404</v>
      </c>
      <c r="M8" s="50"/>
      <c r="N8" s="50"/>
      <c r="O8" s="50"/>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405</v>
      </c>
      <c r="AN8" s="57" t="e">
        <f>STRCHECKDATE(V9:AL9)</f>
        <v>#NAME?</v>
      </c>
      <c r="AO8" s="129"/>
      <c r="AP8" s="129" t="str">
        <f t="shared" si="8"/>
        <v/>
      </c>
      <c r="AQ8" s="129"/>
      <c r="AR8" s="129"/>
      <c r="AS8" s="50">
        <v>0</v>
      </c>
    </row>
    <row r="9" ht="0.75" hidden="1" customHeight="1">
      <c r="A9" s="264"/>
      <c r="B9" s="264"/>
      <c r="C9" s="264"/>
      <c r="D9" s="264"/>
      <c r="E9" s="576"/>
      <c r="F9" s="576"/>
      <c r="G9" s="576"/>
      <c r="H9" s="576"/>
      <c r="I9" s="73"/>
      <c r="J9" s="73"/>
      <c r="K9" s="157"/>
      <c r="L9" s="322"/>
      <c r="M9" s="50"/>
      <c r="N9" s="50"/>
      <c r="O9" s="50"/>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8"/>
        <v/>
      </c>
      <c r="AQ9" s="129"/>
      <c r="AR9" s="129"/>
      <c r="AS9" s="50">
        <v>0</v>
      </c>
    </row>
    <row r="10" ht="15" hidden="1" customHeight="1">
      <c r="A10" s="264"/>
      <c r="B10" s="264"/>
      <c r="C10" s="264"/>
      <c r="D10" s="264"/>
      <c r="E10" s="576"/>
      <c r="F10" s="576"/>
      <c r="G10" s="576"/>
      <c r="H10" s="576"/>
      <c r="I10" s="73"/>
      <c r="J10" s="157"/>
      <c r="K10" s="264"/>
      <c r="L10" s="322"/>
      <c r="M10" s="50"/>
      <c r="N10" s="50"/>
      <c r="P10" s="132"/>
      <c r="Q10" s="132"/>
      <c r="R10" s="499"/>
      <c r="S10" s="515"/>
      <c r="T10" s="516"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9">IF(T10="","",T10)</f>
        <v xml:space="preserve">Добавить вид теплоносителя (параметры теплоносителя)</v>
      </c>
      <c r="AQ10" s="129"/>
      <c r="AR10" s="129"/>
      <c r="AS10" s="50">
        <v>0</v>
      </c>
    </row>
    <row r="11" ht="15" hidden="1" customHeight="1">
      <c r="A11" s="264"/>
      <c r="B11" s="264"/>
      <c r="C11" s="264"/>
      <c r="D11" s="264"/>
      <c r="E11" s="576"/>
      <c r="F11" s="576"/>
      <c r="G11" s="576"/>
      <c r="H11" s="576"/>
      <c r="I11" s="157"/>
      <c r="J11" s="264"/>
      <c r="K11" s="264"/>
      <c r="L11" s="322"/>
      <c r="M11" s="50"/>
      <c r="P11" s="132"/>
      <c r="Q11" s="132"/>
      <c r="R11" s="499"/>
      <c r="S11" s="515"/>
      <c r="T11" s="519"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9"/>
        <v xml:space="preserve">Добавить группу потребителей</v>
      </c>
      <c r="AQ11" s="129"/>
      <c r="AR11" s="129"/>
      <c r="AS11" s="50">
        <v>0</v>
      </c>
    </row>
    <row r="12" ht="14.25" hidden="1" customHeight="1">
      <c r="A12" s="264"/>
      <c r="B12" s="264"/>
      <c r="C12" s="264"/>
      <c r="D12" s="264"/>
      <c r="E12" s="576"/>
      <c r="F12" s="576"/>
      <c r="G12" s="576"/>
      <c r="H12" s="575"/>
      <c r="I12" s="264"/>
      <c r="J12" s="264"/>
      <c r="K12" s="264"/>
      <c r="L12" s="322"/>
      <c r="M12" s="86"/>
      <c r="N12" s="86"/>
      <c r="O12" s="50"/>
      <c r="P12" s="143"/>
      <c r="Q12" s="522"/>
      <c r="R12" s="483"/>
      <c r="S12" s="515"/>
      <c r="T12" s="523" t="s">
        <v>408</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9"/>
        <v xml:space="preserve">Добавить схему подключения</v>
      </c>
      <c r="AQ12" s="129"/>
      <c r="AR12" s="129"/>
      <c r="AS12" s="50">
        <v>0</v>
      </c>
    </row>
    <row r="13" s="57" customFormat="1" ht="0.75" hidden="1" customHeight="1">
      <c r="A13" s="264"/>
      <c r="B13" s="264"/>
      <c r="C13" s="264"/>
      <c r="D13" s="264"/>
      <c r="E13" s="576"/>
      <c r="F13" s="576"/>
      <c r="G13" s="575"/>
      <c r="H13" s="264"/>
      <c r="I13" s="264"/>
      <c r="J13" s="264"/>
      <c r="K13" s="264"/>
      <c r="L13" s="322"/>
      <c r="M13" s="86"/>
      <c r="N13" s="86"/>
      <c r="O13" s="50"/>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9"/>
        <v xml:space="preserve">Добавить источник для дифференциации</v>
      </c>
      <c r="AQ13" s="129"/>
      <c r="AR13" s="129"/>
      <c r="AS13" s="57">
        <v>0</v>
      </c>
    </row>
    <row r="14" s="57" customFormat="1" ht="0.75" hidden="1" customHeight="1">
      <c r="A14" s="264"/>
      <c r="B14" s="264"/>
      <c r="C14" s="264"/>
      <c r="D14" s="264"/>
      <c r="E14" s="576"/>
      <c r="F14" s="575"/>
      <c r="G14" s="264"/>
      <c r="H14" s="264"/>
      <c r="I14" s="264"/>
      <c r="J14" s="264"/>
      <c r="K14" s="264"/>
      <c r="L14" s="322"/>
      <c r="M14" s="582"/>
      <c r="N14" s="582"/>
      <c r="O14" s="50"/>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9"/>
        <v xml:space="preserve">Добавить централизованную систему для дифференциации</v>
      </c>
      <c r="AQ14" s="129"/>
      <c r="AR14" s="129"/>
      <c r="AS14" s="57">
        <v>0</v>
      </c>
    </row>
    <row r="15" s="57" customFormat="1" ht="0.75" hidden="1" customHeight="1">
      <c r="A15" s="264"/>
      <c r="B15" s="264"/>
      <c r="C15" s="264"/>
      <c r="D15" s="264"/>
      <c r="E15" s="575"/>
      <c r="F15" s="264"/>
      <c r="G15" s="264"/>
      <c r="H15" s="264"/>
      <c r="I15" s="264"/>
      <c r="J15" s="264"/>
      <c r="K15" s="264"/>
      <c r="L15" s="322"/>
      <c r="M15" s="582"/>
      <c r="N15" s="582"/>
      <c r="O15" s="50"/>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9"/>
        <v xml:space="preserve">Добавить территорию для дифференциации</v>
      </c>
      <c r="AQ15" s="129"/>
      <c r="AR15" s="129"/>
      <c r="AS15" s="57">
        <v>0</v>
      </c>
    </row>
    <row r="16" ht="14.25" hidden="1" customHeight="1">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1" t="s">
        <v>412</v>
      </c>
      <c r="P20" s="61"/>
      <c r="Q20" s="538"/>
      <c r="R20" s="538"/>
      <c r="S20" s="482"/>
      <c r="Z20" s="537"/>
      <c r="AB20" s="537"/>
      <c r="AH20" s="537"/>
      <c r="AJ20" s="537"/>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38"/>
      <c r="R21" s="538"/>
      <c r="S21" s="482"/>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22"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322"/>
      <c r="AS23" s="50">
        <v>0</v>
      </c>
    </row>
    <row r="24" ht="14.25" hidden="1" customHeight="1">
      <c r="O24" s="322"/>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07"/>
      <c r="B29" s="107"/>
      <c r="C29" s="107"/>
      <c r="D29" s="107"/>
      <c r="E29" s="107"/>
      <c r="F29" s="107"/>
      <c r="G29" s="107"/>
      <c r="H29" s="107"/>
      <c r="I29" s="107"/>
      <c r="J29" s="107"/>
      <c r="K29" s="107"/>
      <c r="L29" s="322"/>
      <c r="M29" s="107"/>
      <c r="N29" s="107"/>
      <c r="O29" s="107"/>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22"/>
      <c r="M30" s="107"/>
      <c r="N30" s="107"/>
      <c r="O30" s="107"/>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22"/>
      <c r="M31" s="107"/>
      <c r="N31" s="107"/>
      <c r="O31" s="107"/>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22"/>
      <c r="M32" s="107"/>
      <c r="N32" s="107"/>
      <c r="O32" s="107"/>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07"/>
      <c r="B34" s="107"/>
      <c r="C34" s="107"/>
      <c r="D34" s="107"/>
      <c r="E34" s="107"/>
      <c r="F34" s="107"/>
      <c r="G34" s="107"/>
      <c r="H34" s="107"/>
      <c r="I34" s="107"/>
      <c r="J34" s="107"/>
      <c r="K34" s="107"/>
      <c r="L34" s="322"/>
      <c r="M34" s="107"/>
      <c r="N34" s="107"/>
      <c r="O34" s="107"/>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22"/>
      <c r="M35" s="107"/>
      <c r="N35" s="107"/>
      <c r="O35" s="107"/>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07"/>
      <c r="B36" s="107"/>
      <c r="C36" s="107"/>
      <c r="D36" s="107"/>
      <c r="E36" s="107"/>
      <c r="F36" s="107"/>
      <c r="G36" s="107"/>
      <c r="H36" s="107"/>
      <c r="I36" s="107"/>
      <c r="J36" s="107"/>
      <c r="K36" s="107"/>
      <c r="L36" s="322"/>
      <c r="M36" s="107"/>
      <c r="N36" s="107"/>
      <c r="O36" s="107"/>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t="s">
        <v>429</v>
      </c>
      <c r="X40" s="73" t="s">
        <v>430</v>
      </c>
      <c r="Y40" s="72"/>
      <c r="Z40" s="73" t="s">
        <v>444</v>
      </c>
      <c r="AA40" s="145"/>
      <c r="AB40" s="72"/>
      <c r="AC40" s="557"/>
      <c r="AD40" s="307" t="s">
        <v>428</v>
      </c>
      <c r="AE40" s="556" t="s">
        <v>429</v>
      </c>
      <c r="AF40" s="73" t="s">
        <v>430</v>
      </c>
      <c r="AG40" s="72"/>
      <c r="AH40" s="73" t="s">
        <v>431</v>
      </c>
      <c r="AI40" s="145"/>
      <c r="AJ40" s="72"/>
      <c r="AK40" s="557"/>
      <c r="AL40" s="558"/>
      <c r="AM40" s="157"/>
      <c r="AS40" s="50">
        <v>34</v>
      </c>
    </row>
    <row r="41" ht="35.649999999999999" customHeight="1">
      <c r="A41" s="107"/>
      <c r="B41" s="107" t="s">
        <v>132</v>
      </c>
      <c r="C41" s="107" t="s">
        <v>133</v>
      </c>
      <c r="D41" s="107" t="s">
        <v>134</v>
      </c>
      <c r="E41" s="322" t="s">
        <v>432</v>
      </c>
      <c r="F41" s="322" t="s">
        <v>433</v>
      </c>
      <c r="G41" s="322" t="s">
        <v>434</v>
      </c>
      <c r="H41" s="322" t="s">
        <v>435</v>
      </c>
      <c r="I41" s="322" t="s">
        <v>436</v>
      </c>
      <c r="J41" s="322" t="s">
        <v>437</v>
      </c>
      <c r="K41" s="322" t="s">
        <v>438</v>
      </c>
      <c r="L41" s="322"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07"/>
      <c r="B42" s="107"/>
      <c r="C42" s="107"/>
      <c r="D42" s="107"/>
      <c r="E42" s="107"/>
      <c r="F42" s="107"/>
      <c r="G42" s="107"/>
      <c r="H42" s="107"/>
      <c r="I42" s="107"/>
      <c r="J42" s="107"/>
      <c r="K42" s="107"/>
      <c r="L42" s="322"/>
      <c r="M42" s="60"/>
      <c r="N42" s="60"/>
      <c r="O42" s="60"/>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264" t="s">
        <v>207</v>
      </c>
      <c r="B43" s="264"/>
      <c r="C43" s="264"/>
      <c r="D43" s="264"/>
      <c r="E43" s="575">
        <v>1</v>
      </c>
      <c r="F43" s="264"/>
      <c r="G43" s="264"/>
      <c r="H43" s="264"/>
      <c r="I43" s="264"/>
      <c r="J43" s="264"/>
      <c r="K43" s="264"/>
      <c r="L43" s="322"/>
      <c r="M43" s="86"/>
      <c r="N43" s="86"/>
      <c r="O43" s="86"/>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9"/>
        <v xml:space="preserve">Наименование тарифа</v>
      </c>
      <c r="AQ43" s="129"/>
      <c r="AR43" s="129"/>
      <c r="AS43" s="50">
        <v>21</v>
      </c>
    </row>
    <row r="44" ht="22" customHeight="1">
      <c r="A44" s="264" t="s">
        <v>207</v>
      </c>
      <c r="B44" s="264" t="s">
        <v>208</v>
      </c>
      <c r="C44" s="264"/>
      <c r="D44" s="264"/>
      <c r="E44" s="576"/>
      <c r="F44" s="575">
        <v>1</v>
      </c>
      <c r="G44" s="264"/>
      <c r="H44" s="264"/>
      <c r="I44" s="264"/>
      <c r="J44" s="264"/>
      <c r="K44" s="264"/>
      <c r="L44" s="322"/>
      <c r="M44" s="86"/>
      <c r="N44" s="86"/>
      <c r="O44" s="86"/>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9"/>
        <v xml:space="preserve">Территория действия тарифа</v>
      </c>
      <c r="AQ44" s="129"/>
      <c r="AR44" s="129"/>
      <c r="AS44" s="50">
        <v>21</v>
      </c>
    </row>
    <row r="45" ht="24" customHeight="1">
      <c r="A45" s="264" t="s">
        <v>207</v>
      </c>
      <c r="B45" s="264" t="s">
        <v>208</v>
      </c>
      <c r="C45" s="264" t="s">
        <v>209</v>
      </c>
      <c r="D45" s="264"/>
      <c r="E45" s="576"/>
      <c r="F45" s="576"/>
      <c r="G45" s="575">
        <v>1</v>
      </c>
      <c r="H45" s="264"/>
      <c r="I45" s="264"/>
      <c r="J45" s="264"/>
      <c r="K45" s="264"/>
      <c r="L45" s="322"/>
      <c r="M45" s="86"/>
      <c r="N45" s="86"/>
      <c r="O45" s="86"/>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9"/>
        <v xml:space="preserve">Наименование системы теплоснабжения </v>
      </c>
      <c r="AQ45" s="129"/>
      <c r="AR45" s="129"/>
      <c r="AS45" s="50">
        <v>23</v>
      </c>
    </row>
    <row r="46" ht="22" customHeight="1">
      <c r="A46" s="264" t="s">
        <v>207</v>
      </c>
      <c r="B46" s="264" t="s">
        <v>208</v>
      </c>
      <c r="C46" s="264" t="s">
        <v>209</v>
      </c>
      <c r="D46" s="264" t="s">
        <v>210</v>
      </c>
      <c r="E46" s="576"/>
      <c r="F46" s="576"/>
      <c r="G46" s="576"/>
      <c r="H46" s="575">
        <v>1</v>
      </c>
      <c r="I46" s="264"/>
      <c r="J46" s="264"/>
      <c r="K46" s="264"/>
      <c r="L46" s="322"/>
      <c r="M46" s="86"/>
      <c r="N46" s="86"/>
      <c r="O46" s="86"/>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9"/>
        <v xml:space="preserve">Источник тепловой энергии  </v>
      </c>
      <c r="AQ46" s="129"/>
      <c r="AR46" s="129"/>
      <c r="AS46" s="50">
        <v>21</v>
      </c>
    </row>
    <row r="47" ht="49.5" customHeight="1">
      <c r="A47" s="264" t="s">
        <v>207</v>
      </c>
      <c r="B47" s="264" t="s">
        <v>208</v>
      </c>
      <c r="C47" s="264" t="s">
        <v>209</v>
      </c>
      <c r="D47" s="264" t="s">
        <v>210</v>
      </c>
      <c r="E47" s="576"/>
      <c r="F47" s="576"/>
      <c r="G47" s="576"/>
      <c r="H47" s="576"/>
      <c r="I47" s="157" t="str">
        <f>S46&amp;".1"</f>
        <v>....1</v>
      </c>
      <c r="J47" s="264"/>
      <c r="K47" s="264"/>
      <c r="L47" s="322" t="s">
        <v>398</v>
      </c>
      <c r="P47" s="132">
        <v>1</v>
      </c>
      <c r="Q47" s="132"/>
      <c r="R47" s="499"/>
      <c r="S47" s="484" t="str">
        <f>$I47</f>
        <v>....1</v>
      </c>
      <c r="T47" s="500" t="s">
        <v>399</v>
      </c>
      <c r="U47" s="486"/>
      <c r="V47" s="431"/>
      <c r="W47" s="501"/>
      <c r="X47" s="501"/>
      <c r="Y47" s="501"/>
      <c r="Z47" s="501"/>
      <c r="AA47" s="501"/>
      <c r="AB47" s="501"/>
      <c r="AC47" s="502"/>
      <c r="AD47" s="431"/>
      <c r="AE47" s="501"/>
      <c r="AF47" s="501"/>
      <c r="AG47" s="501"/>
      <c r="AH47" s="501"/>
      <c r="AI47" s="501"/>
      <c r="AJ47" s="501"/>
      <c r="AK47" s="501"/>
      <c r="AL47" s="502"/>
      <c r="AM47" s="490" t="s">
        <v>400</v>
      </c>
      <c r="AO47" s="129"/>
      <c r="AP47" s="129" t="str">
        <f t="shared" si="9"/>
        <v xml:space="preserve">Схема подключения теплопотребляющей установки к коллектору источника тепловой энергии</v>
      </c>
      <c r="AQ47" s="129"/>
      <c r="AR47" s="129"/>
      <c r="AS47" s="50">
        <v>47</v>
      </c>
    </row>
    <row r="48" ht="22" customHeight="1">
      <c r="A48" s="264" t="s">
        <v>207</v>
      </c>
      <c r="B48" s="264" t="s">
        <v>208</v>
      </c>
      <c r="C48" s="264" t="s">
        <v>209</v>
      </c>
      <c r="D48" s="264" t="s">
        <v>210</v>
      </c>
      <c r="E48" s="576"/>
      <c r="F48" s="576"/>
      <c r="G48" s="576"/>
      <c r="H48" s="576"/>
      <c r="I48" s="73"/>
      <c r="J48" s="157" t="str">
        <f>I47&amp;".1"</f>
        <v>....1.1</v>
      </c>
      <c r="K48" s="264"/>
      <c r="L48" s="322" t="s">
        <v>401</v>
      </c>
      <c r="P48" s="132"/>
      <c r="Q48" s="132">
        <v>1</v>
      </c>
      <c r="R48" s="504"/>
      <c r="S48" s="484" t="str">
        <f>$J48</f>
        <v>....1.1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9"/>
        <v xml:space="preserve">Группа потребителей</v>
      </c>
      <c r="AQ48" s="129"/>
      <c r="AR48" s="129"/>
      <c r="AS48" s="50">
        <v>21</v>
      </c>
    </row>
    <row r="49" ht="22" customHeight="1">
      <c r="A49" s="264" t="s">
        <v>207</v>
      </c>
      <c r="B49" s="264" t="s">
        <v>208</v>
      </c>
      <c r="C49" s="264" t="s">
        <v>209</v>
      </c>
      <c r="D49" s="264" t="s">
        <v>210</v>
      </c>
      <c r="E49" s="576"/>
      <c r="F49" s="576"/>
      <c r="G49" s="576"/>
      <c r="H49" s="576"/>
      <c r="I49" s="73"/>
      <c r="J49" s="73"/>
      <c r="K49" s="157" t="str">
        <f>J48&amp;".1"</f>
        <v>....1.1.1</v>
      </c>
      <c r="L49" s="322" t="s">
        <v>404</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405</v>
      </c>
      <c r="AN49" s="57" t="e">
        <f>STRCHECKDATE(V50:AL50)</f>
        <v>#NAME?</v>
      </c>
      <c r="AO49" s="129"/>
      <c r="AP49" s="129" t="str">
        <f t="shared" si="9"/>
        <v/>
      </c>
      <c r="AQ49" s="129"/>
      <c r="AR49" s="129"/>
      <c r="AS49" s="50">
        <v>21</v>
      </c>
    </row>
    <row r="50" ht="1.05" customHeight="1">
      <c r="A50" s="264" t="s">
        <v>207</v>
      </c>
      <c r="B50" s="264" t="s">
        <v>208</v>
      </c>
      <c r="C50" s="264" t="s">
        <v>209</v>
      </c>
      <c r="D50" s="264" t="s">
        <v>210</v>
      </c>
      <c r="E50" s="576"/>
      <c r="F50" s="576"/>
      <c r="G50" s="576"/>
      <c r="H50" s="576"/>
      <c r="I50" s="73"/>
      <c r="J50" s="73"/>
      <c r="K50" s="157"/>
      <c r="L50" s="322"/>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9"/>
        <v/>
      </c>
      <c r="AQ50" s="129"/>
      <c r="AR50" s="129"/>
      <c r="AS50" s="50">
        <v>1</v>
      </c>
    </row>
    <row r="51" ht="11.5" customHeight="1">
      <c r="A51" s="264" t="s">
        <v>207</v>
      </c>
      <c r="B51" s="264" t="s">
        <v>208</v>
      </c>
      <c r="C51" s="264" t="s">
        <v>209</v>
      </c>
      <c r="D51" s="264" t="s">
        <v>210</v>
      </c>
      <c r="E51" s="576"/>
      <c r="F51" s="576"/>
      <c r="G51" s="576"/>
      <c r="H51" s="576"/>
      <c r="I51" s="73"/>
      <c r="J51" s="157"/>
      <c r="K51" s="264"/>
      <c r="L51" s="322"/>
      <c r="P51" s="132"/>
      <c r="Q51" s="132"/>
      <c r="R51" s="499"/>
      <c r="S51" s="515"/>
      <c r="T51" s="516"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9"/>
        <v xml:space="preserve">Добавить вид теплоносителя (параметры теплоносителя)</v>
      </c>
      <c r="AQ51" s="129"/>
      <c r="AR51" s="129"/>
      <c r="AS51" s="50">
        <v>11</v>
      </c>
    </row>
    <row r="52" ht="11.5" customHeight="1">
      <c r="A52" s="264" t="s">
        <v>207</v>
      </c>
      <c r="B52" s="264" t="s">
        <v>208</v>
      </c>
      <c r="C52" s="264" t="s">
        <v>209</v>
      </c>
      <c r="D52" s="264" t="s">
        <v>210</v>
      </c>
      <c r="E52" s="576"/>
      <c r="F52" s="576"/>
      <c r="G52" s="576"/>
      <c r="H52" s="576"/>
      <c r="I52" s="157"/>
      <c r="J52" s="264"/>
      <c r="K52" s="264"/>
      <c r="L52" s="322"/>
      <c r="P52" s="132"/>
      <c r="Q52" s="132"/>
      <c r="R52" s="499"/>
      <c r="S52" s="515"/>
      <c r="T52" s="519"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9"/>
        <v xml:space="preserve">Добавить группу потребителей</v>
      </c>
      <c r="AQ52" s="129"/>
      <c r="AR52" s="129"/>
      <c r="AS52" s="50">
        <v>11</v>
      </c>
    </row>
    <row r="53" ht="14.65" customHeight="1">
      <c r="A53" s="264" t="s">
        <v>207</v>
      </c>
      <c r="B53" s="264" t="s">
        <v>208</v>
      </c>
      <c r="C53" s="264" t="s">
        <v>209</v>
      </c>
      <c r="D53" s="264" t="s">
        <v>210</v>
      </c>
      <c r="E53" s="576"/>
      <c r="F53" s="576"/>
      <c r="G53" s="576"/>
      <c r="H53" s="575"/>
      <c r="I53" s="264"/>
      <c r="J53" s="264"/>
      <c r="K53" s="264"/>
      <c r="L53" s="322"/>
      <c r="M53" s="86"/>
      <c r="N53" s="86"/>
      <c r="O53" s="50"/>
      <c r="P53" s="143"/>
      <c r="Q53" s="522"/>
      <c r="R53" s="483"/>
      <c r="S53" s="515"/>
      <c r="T53" s="523" t="s">
        <v>408</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9"/>
        <v xml:space="preserve">Добавить схему подключения</v>
      </c>
      <c r="AQ53" s="129"/>
      <c r="AR53" s="129"/>
      <c r="AS53" s="50">
        <v>14</v>
      </c>
    </row>
    <row r="54" s="57" customFormat="1" ht="1.05" customHeight="1">
      <c r="A54" s="264" t="s">
        <v>207</v>
      </c>
      <c r="B54" s="264" t="s">
        <v>208</v>
      </c>
      <c r="C54" s="264" t="s">
        <v>209</v>
      </c>
      <c r="D54" s="264"/>
      <c r="E54" s="576"/>
      <c r="F54" s="576"/>
      <c r="G54" s="575"/>
      <c r="H54" s="264"/>
      <c r="I54" s="264"/>
      <c r="J54" s="264"/>
      <c r="K54" s="264"/>
      <c r="L54" s="322"/>
      <c r="M54" s="86"/>
      <c r="N54" s="86"/>
      <c r="O54" s="50"/>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9"/>
        <v xml:space="preserve">Добавить источник для дифференциации</v>
      </c>
      <c r="AQ54" s="129"/>
      <c r="AR54" s="129"/>
      <c r="AS54" s="57">
        <v>1</v>
      </c>
    </row>
    <row r="55" s="57" customFormat="1" ht="1.05" customHeight="1">
      <c r="A55" s="264" t="s">
        <v>207</v>
      </c>
      <c r="B55" s="264" t="s">
        <v>208</v>
      </c>
      <c r="C55" s="264"/>
      <c r="D55" s="264"/>
      <c r="E55" s="576"/>
      <c r="F55" s="575"/>
      <c r="G55" s="264"/>
      <c r="H55" s="264"/>
      <c r="I55" s="264"/>
      <c r="J55" s="264"/>
      <c r="K55" s="264"/>
      <c r="L55" s="322"/>
      <c r="M55" s="582"/>
      <c r="N55" s="582"/>
      <c r="O55" s="50"/>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9"/>
        <v xml:space="preserve">Добавить централизованную систему для дифференциации</v>
      </c>
      <c r="AQ55" s="129"/>
      <c r="AR55" s="129"/>
      <c r="AS55" s="57">
        <v>1</v>
      </c>
    </row>
    <row r="56" s="57" customFormat="1" ht="1.05" customHeight="1">
      <c r="A56" s="264" t="s">
        <v>207</v>
      </c>
      <c r="B56" s="264"/>
      <c r="C56" s="264"/>
      <c r="D56" s="264"/>
      <c r="E56" s="575"/>
      <c r="F56" s="264"/>
      <c r="G56" s="264"/>
      <c r="H56" s="264"/>
      <c r="I56" s="264"/>
      <c r="J56" s="264"/>
      <c r="K56" s="264"/>
      <c r="L56" s="322"/>
      <c r="M56" s="582"/>
      <c r="N56" s="582"/>
      <c r="O56" s="50"/>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9"/>
        <v xml:space="preserve">Добавить территорию для дифференциации</v>
      </c>
      <c r="AQ56" s="129"/>
      <c r="AR56" s="129"/>
      <c r="AS56" s="57">
        <v>1</v>
      </c>
    </row>
    <row r="57" s="57" customFormat="1" ht="1.05" customHeight="1">
      <c r="A57" s="264"/>
      <c r="B57" s="264"/>
      <c r="C57" s="264"/>
      <c r="D57" s="264"/>
      <c r="E57" s="264"/>
      <c r="F57" s="264"/>
      <c r="G57" s="264"/>
      <c r="H57" s="264"/>
      <c r="I57" s="264"/>
      <c r="J57" s="264"/>
      <c r="K57" s="264"/>
      <c r="L57" s="322"/>
      <c r="M57" s="582"/>
      <c r="N57" s="582"/>
      <c r="O57" s="50"/>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9"/>
        <v xml:space="preserve">Добавить наименование тарифа</v>
      </c>
      <c r="AQ57" s="129"/>
      <c r="AR57" s="129"/>
      <c r="AS57" s="57">
        <v>1</v>
      </c>
    </row>
    <row r="58" ht="11.5" customHeight="1">
      <c r="M58" s="50"/>
      <c r="N58" s="50"/>
      <c r="O58" s="50"/>
      <c r="P58" s="50"/>
      <c r="Q58" s="50"/>
      <c r="R58" s="50"/>
      <c r="S58" s="50"/>
      <c r="AN58" s="50"/>
      <c r="AO58" s="50"/>
      <c r="AP58" s="50"/>
      <c r="AQ58" s="50"/>
      <c r="AR58" s="50"/>
      <c r="AS58" s="50">
        <v>11</v>
      </c>
    </row>
    <row r="59" ht="28.5" customHeight="1">
      <c r="O59" s="50"/>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5.25" customHeight="1">
      <c r="O60" s="50"/>
      <c r="T60" s="574"/>
      <c r="U60" s="574"/>
      <c r="V60" s="574"/>
      <c r="W60" s="574"/>
      <c r="X60" s="574"/>
      <c r="Y60" s="574"/>
      <c r="Z60" s="574"/>
      <c r="AA60" s="574"/>
      <c r="AB60" s="574"/>
      <c r="AC60" s="574"/>
      <c r="AD60" s="574"/>
      <c r="AE60" s="574"/>
      <c r="AF60" s="574"/>
      <c r="AG60" s="574"/>
      <c r="AH60" s="574"/>
      <c r="AI60" s="574"/>
      <c r="AJ60" s="574"/>
      <c r="AK60" s="574"/>
      <c r="AL60" s="574"/>
      <c r="AM60" s="574"/>
      <c r="AS60" s="50">
        <v>62</v>
      </c>
    </row>
    <row r="61" ht="14.65" customHeight="1">
      <c r="O61" s="50"/>
      <c r="AS61" s="50">
        <v>14</v>
      </c>
    </row>
    <row r="62" ht="18.75" customHeight="1">
      <c r="O62" s="50"/>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0"/>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0"/>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78">
        <v>3</v>
      </c>
      <c r="R65" s="47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50095-0067-4350-BB68-005F001600C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30011-0086-4175-9743-00360080000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A002A-000A-49B8-A244-005100AF003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7009D-001E-4979-910B-003700E7001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10">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10"/>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10"/>
        <v xml:space="preserve">Наименование системы теплоснабжения </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10"/>
        <v xml:space="preserve">Источник тепловой энергии  </v>
      </c>
      <c r="AQ5" s="129"/>
      <c r="AR5" s="129"/>
      <c r="AS5" s="50">
        <v>0</v>
      </c>
    </row>
    <row r="6" ht="47.25" hidden="1" customHeight="1">
      <c r="A6" s="479"/>
      <c r="B6" s="479"/>
      <c r="C6" s="479"/>
      <c r="D6" s="479"/>
      <c r="E6" s="491"/>
      <c r="F6" s="491"/>
      <c r="G6" s="491"/>
      <c r="H6" s="491"/>
      <c r="I6" s="498" t="e">
        <f>S5&amp;".1"</f>
        <v>#VALUE!</v>
      </c>
      <c r="J6" s="479"/>
      <c r="K6" s="479"/>
      <c r="L6" s="481" t="s">
        <v>398</v>
      </c>
      <c r="M6" s="53"/>
      <c r="P6" s="132">
        <v>1</v>
      </c>
      <c r="Q6" s="132"/>
      <c r="R6" s="499"/>
      <c r="S6" s="484" t="e">
        <f>$I6</f>
        <v>#VALUE!</v>
      </c>
      <c r="T6" s="500" t="s">
        <v>399</v>
      </c>
      <c r="U6" s="486"/>
      <c r="V6" s="431"/>
      <c r="W6" s="501"/>
      <c r="X6" s="501"/>
      <c r="Y6" s="501"/>
      <c r="Z6" s="501"/>
      <c r="AA6" s="501"/>
      <c r="AB6" s="501"/>
      <c r="AC6" s="502"/>
      <c r="AD6" s="431"/>
      <c r="AE6" s="501"/>
      <c r="AF6" s="501"/>
      <c r="AG6" s="501"/>
      <c r="AH6" s="501"/>
      <c r="AI6" s="501"/>
      <c r="AJ6" s="501"/>
      <c r="AK6" s="501"/>
      <c r="AL6" s="502"/>
      <c r="AM6" s="490" t="s">
        <v>400</v>
      </c>
      <c r="AO6" s="129"/>
      <c r="AP6" s="129" t="str">
        <f t="shared" si="10"/>
        <v xml:space="preserve">Схема подключения теплопотребляющей установки к коллектору источника тепловой энергии</v>
      </c>
      <c r="AQ6" s="129"/>
      <c r="AR6" s="129"/>
      <c r="AS6" s="50">
        <v>0</v>
      </c>
    </row>
    <row r="7" ht="21" hidden="1" customHeight="1">
      <c r="A7" s="479"/>
      <c r="B7" s="479"/>
      <c r="C7" s="479"/>
      <c r="D7" s="479"/>
      <c r="E7" s="491"/>
      <c r="F7" s="491"/>
      <c r="G7" s="491"/>
      <c r="H7" s="491"/>
      <c r="I7" s="503"/>
      <c r="J7" s="498" t="e">
        <f>I6&amp;".1"</f>
        <v>#VALUE!</v>
      </c>
      <c r="K7" s="479"/>
      <c r="L7" s="481" t="s">
        <v>401</v>
      </c>
      <c r="M7" s="53"/>
      <c r="N7" s="53"/>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10"/>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404</v>
      </c>
      <c r="M8" s="53"/>
      <c r="N8" s="53"/>
      <c r="O8" s="53"/>
      <c r="P8" s="132"/>
      <c r="Q8" s="132"/>
      <c r="R8" s="504">
        <v>1</v>
      </c>
      <c r="S8" s="484" t="e">
        <f>$K8</f>
        <v>#VALUE!</v>
      </c>
      <c r="T8" s="506"/>
      <c r="U8" s="486"/>
      <c r="V8" s="508"/>
      <c r="W8" s="507"/>
      <c r="X8" s="508"/>
      <c r="Y8" s="583"/>
      <c r="Z8" s="510"/>
      <c r="AA8" s="224" t="s">
        <v>65</v>
      </c>
      <c r="AB8" s="510"/>
      <c r="AC8" s="224" t="s">
        <v>65</v>
      </c>
      <c r="AD8" s="508"/>
      <c r="AE8" s="507"/>
      <c r="AF8" s="508"/>
      <c r="AG8" s="583"/>
      <c r="AH8" s="510"/>
      <c r="AI8" s="224" t="s">
        <v>65</v>
      </c>
      <c r="AJ8" s="510"/>
      <c r="AK8" s="224" t="s">
        <v>65</v>
      </c>
      <c r="AL8" s="508"/>
      <c r="AM8" s="511" t="s">
        <v>405</v>
      </c>
      <c r="AN8" s="57" t="e">
        <f>STRCHECKDATE(V9:AL9)</f>
        <v>#NAME?</v>
      </c>
      <c r="AO8" s="129"/>
      <c r="AP8" s="129" t="str">
        <f t="shared" si="10"/>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0"/>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6"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1">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19"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1"/>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15"/>
      <c r="T12" s="523" t="s">
        <v>408</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11"/>
        <v xml:space="preserve">Добавить схему подключения</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1"/>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1"/>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1"/>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412</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33.75" hidden="1" customHeight="1">
      <c r="L22" s="114"/>
      <c r="M22" s="61"/>
      <c r="N22" s="61"/>
      <c r="O22" s="481"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29.2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28</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84"/>
      <c r="Y39" s="584"/>
      <c r="Z39" s="551"/>
      <c r="AA39" s="551"/>
      <c r="AB39" s="552"/>
      <c r="AC39" s="553" t="s">
        <v>425</v>
      </c>
      <c r="AD39" s="550" t="s">
        <v>424</v>
      </c>
      <c r="AE39" s="551"/>
      <c r="AF39" s="584"/>
      <c r="AG39" s="584"/>
      <c r="AH39" s="551"/>
      <c r="AI39" s="551"/>
      <c r="AJ39" s="552"/>
      <c r="AK39" s="553" t="s">
        <v>426</v>
      </c>
      <c r="AL39" s="554" t="s">
        <v>427</v>
      </c>
      <c r="AM39" s="157"/>
      <c r="AS39" s="50">
        <v>14</v>
      </c>
    </row>
    <row r="40" ht="24" customHeight="1">
      <c r="Q40" s="539"/>
      <c r="R40" s="539"/>
      <c r="S40" s="484"/>
      <c r="T40" s="347"/>
      <c r="U40" s="555"/>
      <c r="V40" s="585" t="s">
        <v>428</v>
      </c>
      <c r="W40" s="304" t="s">
        <v>429</v>
      </c>
      <c r="X40" s="350" t="s">
        <v>430</v>
      </c>
      <c r="Y40" s="350"/>
      <c r="Z40" s="145" t="s">
        <v>431</v>
      </c>
      <c r="AA40" s="145"/>
      <c r="AB40" s="72"/>
      <c r="AC40" s="557"/>
      <c r="AD40" s="585" t="s">
        <v>428</v>
      </c>
      <c r="AE40" s="304" t="s">
        <v>429</v>
      </c>
      <c r="AF40" s="350" t="s">
        <v>430</v>
      </c>
      <c r="AG40" s="350"/>
      <c r="AH40" s="145" t="s">
        <v>431</v>
      </c>
      <c r="AI40" s="145"/>
      <c r="AJ40" s="72"/>
      <c r="AK40" s="557"/>
      <c r="AL40" s="558"/>
      <c r="AM40" s="157"/>
      <c r="AS40" s="50">
        <v>23</v>
      </c>
    </row>
    <row r="41" s="107" customFormat="1" ht="24" customHeight="1">
      <c r="A41" s="151"/>
      <c r="B41" s="151" t="s">
        <v>132</v>
      </c>
      <c r="C41" s="151" t="s">
        <v>133</v>
      </c>
      <c r="D41" s="151" t="s">
        <v>134</v>
      </c>
      <c r="E41" s="481" t="s">
        <v>432</v>
      </c>
      <c r="F41" s="481" t="s">
        <v>433</v>
      </c>
      <c r="G41" s="481" t="s">
        <v>434</v>
      </c>
      <c r="H41" s="481" t="s">
        <v>435</v>
      </c>
      <c r="I41" s="481" t="s">
        <v>436</v>
      </c>
      <c r="J41" s="481" t="s">
        <v>437</v>
      </c>
      <c r="K41" s="481" t="s">
        <v>438</v>
      </c>
      <c r="L41" s="481" t="s">
        <v>413</v>
      </c>
      <c r="M41" s="61"/>
      <c r="N41" s="61"/>
      <c r="O41" s="61"/>
      <c r="P41" s="60"/>
      <c r="Q41" s="539"/>
      <c r="R41" s="539"/>
      <c r="S41" s="484"/>
      <c r="T41" s="347"/>
      <c r="U41" s="559"/>
      <c r="V41" s="163"/>
      <c r="W41" s="310"/>
      <c r="X41" s="158" t="s">
        <v>439</v>
      </c>
      <c r="Y41" s="158" t="s">
        <v>440</v>
      </c>
      <c r="Z41" s="417" t="s">
        <v>441</v>
      </c>
      <c r="AA41" s="415" t="s">
        <v>442</v>
      </c>
      <c r="AB41" s="417"/>
      <c r="AC41" s="561"/>
      <c r="AD41" s="163"/>
      <c r="AE41" s="310"/>
      <c r="AF41" s="158" t="s">
        <v>439</v>
      </c>
      <c r="AG41" s="158" t="s">
        <v>440</v>
      </c>
      <c r="AH41" s="417" t="s">
        <v>441</v>
      </c>
      <c r="AI41" s="415" t="s">
        <v>442</v>
      </c>
      <c r="AJ41" s="417"/>
      <c r="AK41" s="561"/>
      <c r="AL41" s="562"/>
      <c r="AM41" s="157"/>
      <c r="AN41" s="57"/>
      <c r="AO41" s="129"/>
      <c r="AP41" s="129"/>
      <c r="AQ41" s="129"/>
      <c r="AR41" s="129"/>
      <c r="AS41" s="107">
        <v>23</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106</v>
      </c>
      <c r="T42" s="567" t="s">
        <v>107</v>
      </c>
      <c r="U42" s="568" t="str">
        <f ca="1">OFFSET(U42,0,-1)</f>
        <v>2</v>
      </c>
      <c r="V42" s="569">
        <f ca="1">OFFSET(V42,0,-1)+1</f>
        <v>3</v>
      </c>
      <c r="W42" s="569"/>
      <c r="X42" s="426">
        <f ca="1">OFFSET(X42,0,-1)+1</f>
        <v>1</v>
      </c>
      <c r="Y42" s="426">
        <f ca="1">OFFSET(Y42,0,-1)+1</f>
        <v>2</v>
      </c>
      <c r="Z42" s="569">
        <f ca="1">OFFSET(Z42,0,-1)+1</f>
        <v>3</v>
      </c>
      <c r="AA42" s="569">
        <f ca="1">OFFSET(AA42,0,-1)+1</f>
        <v>4</v>
      </c>
      <c r="AB42" s="569"/>
      <c r="AC42" s="569">
        <f ca="1">OFFSET(AC42,0,-2)+1</f>
        <v>5</v>
      </c>
      <c r="AD42" s="569">
        <f ca="1">OFFSET(AD42,0,-1)+1</f>
        <v>6</v>
      </c>
      <c r="AE42" s="569"/>
      <c r="AF42" s="426">
        <f ca="1">OFFSET(AF42,0,-1)+1</f>
        <v>1</v>
      </c>
      <c r="AG42" s="426">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189</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1"/>
        <v xml:space="preserve">Наименование тарифа</v>
      </c>
      <c r="AQ43" s="129"/>
      <c r="AR43" s="129"/>
      <c r="AS43" s="50">
        <v>21</v>
      </c>
    </row>
    <row r="44" ht="22" customHeight="1">
      <c r="A44" s="479" t="s">
        <v>189</v>
      </c>
      <c r="B44" s="479" t="s">
        <v>190</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11"/>
        <v xml:space="preserve">Территория действия тарифа</v>
      </c>
      <c r="AQ44" s="129"/>
      <c r="AR44" s="129"/>
      <c r="AS44" s="50">
        <v>21</v>
      </c>
    </row>
    <row r="45" ht="24" customHeight="1">
      <c r="A45" s="479" t="s">
        <v>189</v>
      </c>
      <c r="B45" s="479" t="s">
        <v>190</v>
      </c>
      <c r="C45" s="479" t="s">
        <v>191</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11"/>
        <v xml:space="preserve">Наименование системы теплоснабжения </v>
      </c>
      <c r="AQ45" s="129"/>
      <c r="AR45" s="129"/>
      <c r="AS45" s="50">
        <v>23</v>
      </c>
    </row>
    <row r="46" ht="22" customHeight="1">
      <c r="A46" s="479" t="s">
        <v>189</v>
      </c>
      <c r="B46" s="479" t="s">
        <v>190</v>
      </c>
      <c r="C46" s="479" t="s">
        <v>191</v>
      </c>
      <c r="D46" s="479" t="s">
        <v>192</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11"/>
        <v xml:space="preserve">Источник тепловой энергии  </v>
      </c>
      <c r="AQ46" s="129"/>
      <c r="AR46" s="129"/>
      <c r="AS46" s="50">
        <v>21</v>
      </c>
    </row>
    <row r="47" ht="49.5" customHeight="1">
      <c r="A47" s="479" t="s">
        <v>189</v>
      </c>
      <c r="B47" s="479" t="s">
        <v>190</v>
      </c>
      <c r="C47" s="479" t="s">
        <v>191</v>
      </c>
      <c r="D47" s="479" t="s">
        <v>192</v>
      </c>
      <c r="E47" s="491"/>
      <c r="F47" s="491"/>
      <c r="G47" s="491"/>
      <c r="H47" s="491"/>
      <c r="I47" s="498" t="str">
        <f>S46&amp;".1"</f>
        <v>....1</v>
      </c>
      <c r="J47" s="479"/>
      <c r="K47" s="479"/>
      <c r="L47" s="481" t="s">
        <v>398</v>
      </c>
      <c r="P47" s="132">
        <v>1</v>
      </c>
      <c r="Q47" s="132"/>
      <c r="R47" s="499"/>
      <c r="S47" s="484" t="str">
        <f>$I47</f>
        <v>....1</v>
      </c>
      <c r="T47" s="500" t="s">
        <v>399</v>
      </c>
      <c r="U47" s="486"/>
      <c r="V47" s="431"/>
      <c r="W47" s="501"/>
      <c r="X47" s="501"/>
      <c r="Y47" s="501"/>
      <c r="Z47" s="501"/>
      <c r="AA47" s="501"/>
      <c r="AB47" s="501"/>
      <c r="AC47" s="502"/>
      <c r="AD47" s="431"/>
      <c r="AE47" s="501"/>
      <c r="AF47" s="501"/>
      <c r="AG47" s="501"/>
      <c r="AH47" s="501"/>
      <c r="AI47" s="501"/>
      <c r="AJ47" s="501"/>
      <c r="AK47" s="501"/>
      <c r="AL47" s="502"/>
      <c r="AM47" s="490" t="s">
        <v>400</v>
      </c>
      <c r="AO47" s="129"/>
      <c r="AP47" s="129" t="str">
        <f t="shared" si="11"/>
        <v xml:space="preserve">Схема подключения теплопотребляющей установки к коллектору источника тепловой энергии</v>
      </c>
      <c r="AQ47" s="129"/>
      <c r="AR47" s="129"/>
      <c r="AS47" s="50">
        <v>47</v>
      </c>
    </row>
    <row r="48" ht="22" customHeight="1">
      <c r="A48" s="479" t="s">
        <v>189</v>
      </c>
      <c r="B48" s="479" t="s">
        <v>190</v>
      </c>
      <c r="C48" s="479" t="s">
        <v>191</v>
      </c>
      <c r="D48" s="479" t="s">
        <v>192</v>
      </c>
      <c r="E48" s="491"/>
      <c r="F48" s="491"/>
      <c r="G48" s="491"/>
      <c r="H48" s="491"/>
      <c r="I48" s="503"/>
      <c r="J48" s="498" t="str">
        <f>I47&amp;".1"</f>
        <v>....1.1</v>
      </c>
      <c r="K48" s="479"/>
      <c r="L48" s="481" t="s">
        <v>401</v>
      </c>
      <c r="P48" s="132"/>
      <c r="Q48" s="132">
        <v>1</v>
      </c>
      <c r="R48" s="504"/>
      <c r="S48" s="484" t="str">
        <f>$J48</f>
        <v>....1.1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11"/>
        <v xml:space="preserve">Группа потребителей</v>
      </c>
      <c r="AQ48" s="129"/>
      <c r="AR48" s="129"/>
      <c r="AS48" s="50">
        <v>21</v>
      </c>
    </row>
    <row r="49" ht="22" customHeight="1">
      <c r="A49" s="479" t="s">
        <v>189</v>
      </c>
      <c r="B49" s="479" t="s">
        <v>190</v>
      </c>
      <c r="C49" s="479" t="s">
        <v>191</v>
      </c>
      <c r="D49" s="479" t="s">
        <v>192</v>
      </c>
      <c r="E49" s="491"/>
      <c r="F49" s="491"/>
      <c r="G49" s="491"/>
      <c r="H49" s="491"/>
      <c r="I49" s="503"/>
      <c r="J49" s="503"/>
      <c r="K49" s="498" t="str">
        <f>J48&amp;".1"</f>
        <v>....1.1.1</v>
      </c>
      <c r="L49" s="481" t="s">
        <v>404</v>
      </c>
      <c r="P49" s="132"/>
      <c r="Q49" s="132"/>
      <c r="R49" s="504">
        <v>1</v>
      </c>
      <c r="S49" s="484" t="str">
        <f>$K49</f>
        <v>....1.1.1</v>
      </c>
      <c r="T49" s="506"/>
      <c r="U49" s="486"/>
      <c r="V49" s="508"/>
      <c r="W49" s="507"/>
      <c r="X49" s="508"/>
      <c r="Y49" s="583"/>
      <c r="Z49" s="510"/>
      <c r="AA49" s="224" t="s">
        <v>65</v>
      </c>
      <c r="AB49" s="510"/>
      <c r="AC49" s="224" t="s">
        <v>65</v>
      </c>
      <c r="AD49" s="508"/>
      <c r="AE49" s="507"/>
      <c r="AF49" s="508"/>
      <c r="AG49" s="583"/>
      <c r="AH49" s="510"/>
      <c r="AI49" s="224" t="s">
        <v>65</v>
      </c>
      <c r="AJ49" s="570"/>
      <c r="AK49" s="224" t="s">
        <v>65</v>
      </c>
      <c r="AL49" s="571"/>
      <c r="AM49" s="511" t="s">
        <v>405</v>
      </c>
      <c r="AN49" s="57" t="e">
        <f>STRCHECKDATE(V50:AL50)</f>
        <v>#NAME?</v>
      </c>
      <c r="AO49" s="129"/>
      <c r="AP49" s="129" t="str">
        <f t="shared" si="11"/>
        <v/>
      </c>
      <c r="AQ49" s="129"/>
      <c r="AR49" s="129"/>
      <c r="AS49" s="50">
        <v>21</v>
      </c>
    </row>
    <row r="50" ht="1.05" customHeight="1">
      <c r="A50" s="479" t="s">
        <v>189</v>
      </c>
      <c r="B50" s="479" t="s">
        <v>190</v>
      </c>
      <c r="C50" s="479" t="s">
        <v>191</v>
      </c>
      <c r="D50" s="479" t="s">
        <v>192</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1"/>
        <v/>
      </c>
      <c r="AQ50" s="129"/>
      <c r="AR50" s="129"/>
      <c r="AS50" s="50">
        <v>1</v>
      </c>
    </row>
    <row r="51" ht="11.5" customHeight="1">
      <c r="A51" s="479" t="s">
        <v>189</v>
      </c>
      <c r="B51" s="479" t="s">
        <v>190</v>
      </c>
      <c r="C51" s="479" t="s">
        <v>191</v>
      </c>
      <c r="D51" s="479" t="s">
        <v>192</v>
      </c>
      <c r="E51" s="491"/>
      <c r="F51" s="491"/>
      <c r="G51" s="491"/>
      <c r="H51" s="491"/>
      <c r="I51" s="503"/>
      <c r="J51" s="498"/>
      <c r="K51" s="479"/>
      <c r="L51" s="481"/>
      <c r="P51" s="132"/>
      <c r="Q51" s="132"/>
      <c r="R51" s="499"/>
      <c r="S51" s="515"/>
      <c r="T51" s="516"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1"/>
        <v xml:space="preserve">Добавить вид теплоносителя (параметры теплоносителя)</v>
      </c>
      <c r="AQ51" s="129"/>
      <c r="AR51" s="129"/>
      <c r="AS51" s="50">
        <v>11</v>
      </c>
    </row>
    <row r="52" ht="11.5" customHeight="1">
      <c r="A52" s="479" t="s">
        <v>189</v>
      </c>
      <c r="B52" s="479" t="s">
        <v>190</v>
      </c>
      <c r="C52" s="479" t="s">
        <v>191</v>
      </c>
      <c r="D52" s="479" t="s">
        <v>192</v>
      </c>
      <c r="E52" s="491"/>
      <c r="F52" s="491"/>
      <c r="G52" s="491"/>
      <c r="H52" s="491"/>
      <c r="I52" s="498"/>
      <c r="J52" s="479"/>
      <c r="K52" s="479"/>
      <c r="L52" s="481"/>
      <c r="P52" s="132"/>
      <c r="Q52" s="132"/>
      <c r="R52" s="499"/>
      <c r="S52" s="515"/>
      <c r="T52" s="519"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1"/>
        <v xml:space="preserve">Добавить группу потребителей</v>
      </c>
      <c r="AQ52" s="129"/>
      <c r="AR52" s="129"/>
      <c r="AS52" s="50">
        <v>11</v>
      </c>
    </row>
    <row r="53" ht="14.65" customHeight="1">
      <c r="A53" s="479" t="s">
        <v>189</v>
      </c>
      <c r="B53" s="479" t="s">
        <v>190</v>
      </c>
      <c r="C53" s="479" t="s">
        <v>191</v>
      </c>
      <c r="D53" s="479" t="s">
        <v>192</v>
      </c>
      <c r="E53" s="491"/>
      <c r="F53" s="491"/>
      <c r="G53" s="491"/>
      <c r="H53" s="480"/>
      <c r="I53" s="479"/>
      <c r="J53" s="479"/>
      <c r="K53" s="479"/>
      <c r="L53" s="481"/>
      <c r="M53" s="482"/>
      <c r="N53" s="482"/>
      <c r="O53" s="53"/>
      <c r="P53" s="143"/>
      <c r="Q53" s="522"/>
      <c r="R53" s="483"/>
      <c r="S53" s="515"/>
      <c r="T53" s="523" t="s">
        <v>408</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11"/>
        <v xml:space="preserve">Добавить схему подключения</v>
      </c>
      <c r="AQ53" s="129"/>
      <c r="AR53" s="129"/>
      <c r="AS53" s="50">
        <v>14</v>
      </c>
    </row>
    <row r="54" s="57" customFormat="1" ht="1.05" customHeight="1">
      <c r="A54" s="133" t="s">
        <v>189</v>
      </c>
      <c r="B54" s="133" t="s">
        <v>190</v>
      </c>
      <c r="C54" s="133" t="s">
        <v>191</v>
      </c>
      <c r="D54" s="133"/>
      <c r="E54" s="491"/>
      <c r="F54" s="491"/>
      <c r="G54" s="480"/>
      <c r="H54" s="133"/>
      <c r="I54" s="133"/>
      <c r="J54" s="133"/>
      <c r="K54" s="133"/>
      <c r="L54" s="212"/>
      <c r="M54" s="464"/>
      <c r="N54" s="464"/>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1"/>
        <v xml:space="preserve">Добавить источник для дифференциации</v>
      </c>
      <c r="AQ54" s="129"/>
      <c r="AR54" s="129"/>
      <c r="AS54" s="57">
        <v>1</v>
      </c>
    </row>
    <row r="55" s="57" customFormat="1" ht="1.05" customHeight="1">
      <c r="A55" s="133" t="s">
        <v>189</v>
      </c>
      <c r="B55" s="133" t="s">
        <v>190</v>
      </c>
      <c r="C55" s="133"/>
      <c r="D55" s="133"/>
      <c r="E55" s="491"/>
      <c r="F55" s="480"/>
      <c r="G55" s="133"/>
      <c r="H55" s="133"/>
      <c r="I55" s="133"/>
      <c r="J55" s="133"/>
      <c r="K55" s="133"/>
      <c r="L55" s="212"/>
      <c r="M55" s="528"/>
      <c r="N55" s="528"/>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1"/>
        <v xml:space="preserve">Добавить централизованную систему для дифференциации</v>
      </c>
      <c r="AQ55" s="129"/>
      <c r="AR55" s="129"/>
      <c r="AS55" s="57">
        <v>1</v>
      </c>
    </row>
    <row r="56" s="57" customFormat="1" ht="1.05" customHeight="1">
      <c r="A56" s="133" t="s">
        <v>189</v>
      </c>
      <c r="B56" s="133"/>
      <c r="C56" s="133"/>
      <c r="D56" s="133"/>
      <c r="E56" s="480"/>
      <c r="F56" s="133"/>
      <c r="G56" s="133"/>
      <c r="H56" s="133"/>
      <c r="I56" s="133"/>
      <c r="J56" s="133"/>
      <c r="K56" s="133"/>
      <c r="L56" s="212"/>
      <c r="M56" s="528"/>
      <c r="N56" s="528"/>
      <c r="O56" s="57"/>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1"/>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1"/>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78.7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75</v>
      </c>
    </row>
    <row r="61" ht="14.65" customHeight="1">
      <c r="O61" s="53"/>
      <c r="AS61" s="50">
        <v>14</v>
      </c>
    </row>
    <row r="62" ht="18.75" customHeight="1">
      <c r="O62" s="53"/>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3"/>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39.75" customHeight="1">
      <c r="O64" s="53"/>
      <c r="S64" s="476"/>
      <c r="T64" s="574"/>
      <c r="U64" s="574"/>
      <c r="V64" s="574"/>
      <c r="W64" s="574"/>
      <c r="X64" s="574"/>
      <c r="Y64" s="574"/>
      <c r="Z64" s="574"/>
      <c r="AA64" s="574"/>
      <c r="AB64" s="574"/>
      <c r="AC64" s="574"/>
      <c r="AD64" s="574"/>
      <c r="AE64" s="574"/>
      <c r="AF64" s="574"/>
      <c r="AG64" s="574"/>
      <c r="AH64" s="574"/>
      <c r="AI64" s="574"/>
      <c r="AJ64" s="574"/>
      <c r="AK64" s="574"/>
      <c r="AL64" s="574"/>
      <c r="AM64" s="574"/>
      <c r="AS64" s="50">
        <v>38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78">
        <v>3</v>
      </c>
      <c r="R65" s="478">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500AA-00E0-4763-99C3-004B00FC003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D00F9-00F1-4A67-9AEB-00E000E1006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C0043-003D-4554-AF41-0013004A00A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CE00E5-000A-4E99-A4DF-006C007B002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12">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12"/>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12"/>
        <v xml:space="preserve">Наименование системы теплоснабжения </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12"/>
        <v xml:space="preserve">Источник тепловой энергии  </v>
      </c>
      <c r="AQ5" s="129"/>
      <c r="AR5" s="129"/>
      <c r="AS5" s="50">
        <v>0</v>
      </c>
    </row>
    <row r="6" ht="14.25" hidden="1" customHeight="1">
      <c r="A6" s="479"/>
      <c r="B6" s="479"/>
      <c r="C6" s="479"/>
      <c r="D6" s="479"/>
      <c r="E6" s="491"/>
      <c r="F6" s="491"/>
      <c r="G6" s="491"/>
      <c r="H6" s="491"/>
      <c r="I6" s="498" t="e">
        <f>S5&amp;".1"</f>
        <v>#VALUE!</v>
      </c>
      <c r="J6" s="479"/>
      <c r="K6" s="479"/>
      <c r="L6" s="481" t="s">
        <v>398</v>
      </c>
      <c r="M6" s="53"/>
      <c r="P6" s="132">
        <v>1</v>
      </c>
      <c r="Q6" s="132"/>
      <c r="R6" s="499"/>
      <c r="S6" s="351"/>
      <c r="T6" s="586"/>
      <c r="U6" s="587"/>
      <c r="V6" s="588"/>
      <c r="W6" s="589"/>
      <c r="X6" s="589"/>
      <c r="Y6" s="589"/>
      <c r="Z6" s="589"/>
      <c r="AA6" s="589"/>
      <c r="AB6" s="589"/>
      <c r="AC6" s="590"/>
      <c r="AD6" s="588"/>
      <c r="AE6" s="589"/>
      <c r="AF6" s="589"/>
      <c r="AG6" s="589"/>
      <c r="AH6" s="589"/>
      <c r="AI6" s="589"/>
      <c r="AJ6" s="589"/>
      <c r="AK6" s="589"/>
      <c r="AL6" s="590"/>
      <c r="AM6" s="591"/>
      <c r="AO6" s="129"/>
      <c r="AP6" s="129" t="str">
        <f t="shared" si="12"/>
        <v/>
      </c>
      <c r="AQ6" s="129"/>
      <c r="AR6" s="129"/>
      <c r="AS6" s="50">
        <v>0</v>
      </c>
    </row>
    <row r="7" ht="21" hidden="1" customHeight="1">
      <c r="A7" s="479"/>
      <c r="B7" s="479"/>
      <c r="C7" s="479"/>
      <c r="D7" s="479"/>
      <c r="E7" s="491"/>
      <c r="F7" s="491"/>
      <c r="G7" s="491"/>
      <c r="H7" s="491"/>
      <c r="I7" s="503"/>
      <c r="J7" s="498" t="e">
        <f>I6&amp;".1"</f>
        <v>#VALUE!</v>
      </c>
      <c r="K7" s="479"/>
      <c r="L7" s="481" t="s">
        <v>401</v>
      </c>
      <c r="M7" s="53"/>
      <c r="N7" s="53"/>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12"/>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404</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405</v>
      </c>
      <c r="AN8" s="57" t="e">
        <f>STRCHECKDATE(V9:AL9)</f>
        <v>#NAME?</v>
      </c>
      <c r="AO8" s="129"/>
      <c r="AP8" s="129" t="str">
        <f t="shared" si="12"/>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2"/>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9"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3">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23"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3"/>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92"/>
      <c r="T12" s="593"/>
      <c r="U12" s="594"/>
      <c r="V12" s="594"/>
      <c r="W12" s="594"/>
      <c r="X12" s="594"/>
      <c r="Y12" s="594"/>
      <c r="Z12" s="594"/>
      <c r="AA12" s="594"/>
      <c r="AB12" s="594"/>
      <c r="AC12" s="594"/>
      <c r="AD12" s="594"/>
      <c r="AE12" s="594"/>
      <c r="AF12" s="594"/>
      <c r="AG12" s="594"/>
      <c r="AH12" s="594"/>
      <c r="AI12" s="594"/>
      <c r="AJ12" s="594"/>
      <c r="AK12" s="594"/>
      <c r="AL12" s="594"/>
      <c r="AM12" s="595"/>
      <c r="AO12" s="129"/>
      <c r="AP12" s="129" t="str">
        <f t="shared" si="13"/>
        <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3"/>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3"/>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412</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63" customHeight="1">
      <c r="Q26" s="539"/>
      <c r="R26" s="539"/>
      <c r="S26" s="45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2"/>
      <c r="U26" s="452"/>
      <c r="V26" s="452"/>
      <c r="W26" s="452"/>
      <c r="X26" s="452"/>
      <c r="Y26" s="452"/>
      <c r="Z26" s="452"/>
      <c r="AA26" s="452"/>
      <c r="AB26" s="452"/>
      <c r="AC26" s="452"/>
      <c r="AD26" s="452"/>
      <c r="AE26" s="452"/>
      <c r="AF26" s="452"/>
      <c r="AG26" s="452"/>
      <c r="AH26" s="452"/>
      <c r="AI26" s="452"/>
      <c r="AJ26" s="452"/>
      <c r="AK26" s="240"/>
      <c r="AS26" s="50">
        <v>60</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c r="X40" s="73" t="s">
        <v>430</v>
      </c>
      <c r="Y40" s="72"/>
      <c r="Z40" s="73" t="s">
        <v>431</v>
      </c>
      <c r="AA40" s="145"/>
      <c r="AB40" s="72"/>
      <c r="AC40" s="557"/>
      <c r="AD40" s="307" t="s">
        <v>445</v>
      </c>
      <c r="AE40" s="556"/>
      <c r="AF40" s="73" t="s">
        <v>430</v>
      </c>
      <c r="AG40" s="72"/>
      <c r="AH40" s="73" t="s">
        <v>431</v>
      </c>
      <c r="AI40" s="145"/>
      <c r="AJ40" s="72"/>
      <c r="AK40" s="557"/>
      <c r="AL40" s="558"/>
      <c r="AM40" s="157"/>
      <c r="AS40" s="50">
        <v>34</v>
      </c>
    </row>
    <row r="41" ht="35.649999999999999" customHeight="1">
      <c r="A41" s="151"/>
      <c r="B41" s="151" t="s">
        <v>132</v>
      </c>
      <c r="C41" s="151" t="s">
        <v>133</v>
      </c>
      <c r="D41" s="151" t="s">
        <v>134</v>
      </c>
      <c r="E41" s="481" t="s">
        <v>432</v>
      </c>
      <c r="F41" s="481" t="s">
        <v>433</v>
      </c>
      <c r="G41" s="481" t="s">
        <v>434</v>
      </c>
      <c r="H41" s="481" t="s">
        <v>435</v>
      </c>
      <c r="I41" s="481" t="s">
        <v>436</v>
      </c>
      <c r="J41" s="481" t="s">
        <v>437</v>
      </c>
      <c r="K41" s="481" t="s">
        <v>438</v>
      </c>
      <c r="L41" s="481"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165</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3"/>
        <v xml:space="preserve">Наименование тарифа</v>
      </c>
      <c r="AQ43" s="129"/>
      <c r="AR43" s="129"/>
      <c r="AS43" s="50">
        <v>21</v>
      </c>
    </row>
    <row r="44" ht="22" customHeight="1">
      <c r="A44" s="479" t="s">
        <v>165</v>
      </c>
      <c r="B44" s="479" t="s">
        <v>166</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13"/>
        <v xml:space="preserve">Территория действия тарифа</v>
      </c>
      <c r="AQ44" s="129"/>
      <c r="AR44" s="129"/>
      <c r="AS44" s="50">
        <v>21</v>
      </c>
    </row>
    <row r="45" ht="24" customHeight="1">
      <c r="A45" s="479" t="s">
        <v>165</v>
      </c>
      <c r="B45" s="479" t="s">
        <v>166</v>
      </c>
      <c r="C45" s="479" t="s">
        <v>167</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13"/>
        <v xml:space="preserve">Наименование системы теплоснабжения </v>
      </c>
      <c r="AQ45" s="129"/>
      <c r="AR45" s="129"/>
      <c r="AS45" s="50">
        <v>23</v>
      </c>
    </row>
    <row r="46" ht="22" customHeight="1">
      <c r="A46" s="479" t="s">
        <v>165</v>
      </c>
      <c r="B46" s="479" t="s">
        <v>166</v>
      </c>
      <c r="C46" s="479" t="s">
        <v>167</v>
      </c>
      <c r="D46" s="479" t="s">
        <v>168</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13"/>
        <v xml:space="preserve">Источник тепловой энергии  </v>
      </c>
      <c r="AQ46" s="129"/>
      <c r="AR46" s="129"/>
      <c r="AS46" s="50">
        <v>21</v>
      </c>
    </row>
    <row r="47" s="57" customFormat="1" ht="0" customHeight="1">
      <c r="A47" s="133" t="s">
        <v>165</v>
      </c>
      <c r="B47" s="133" t="s">
        <v>166</v>
      </c>
      <c r="C47" s="133" t="s">
        <v>167</v>
      </c>
      <c r="D47" s="133" t="s">
        <v>168</v>
      </c>
      <c r="E47" s="491"/>
      <c r="F47" s="491"/>
      <c r="G47" s="491"/>
      <c r="H47" s="491"/>
      <c r="I47" s="498" t="str">
        <f>S46&amp;".1"</f>
        <v>....1</v>
      </c>
      <c r="J47" s="133"/>
      <c r="K47" s="133"/>
      <c r="L47" s="212" t="s">
        <v>398</v>
      </c>
      <c r="M47" s="596"/>
      <c r="N47" s="596"/>
      <c r="O47" s="596"/>
      <c r="P47" s="132">
        <v>1</v>
      </c>
      <c r="Q47" s="132"/>
      <c r="R47" s="499"/>
      <c r="S47" s="351"/>
      <c r="T47" s="586"/>
      <c r="U47" s="587"/>
      <c r="V47" s="588"/>
      <c r="W47" s="589"/>
      <c r="X47" s="589"/>
      <c r="Y47" s="589"/>
      <c r="Z47" s="589"/>
      <c r="AA47" s="589"/>
      <c r="AB47" s="589"/>
      <c r="AC47" s="590"/>
      <c r="AD47" s="588"/>
      <c r="AE47" s="589"/>
      <c r="AF47" s="589"/>
      <c r="AG47" s="589"/>
      <c r="AH47" s="589"/>
      <c r="AI47" s="589"/>
      <c r="AJ47" s="589"/>
      <c r="AK47" s="589"/>
      <c r="AL47" s="590"/>
      <c r="AM47" s="591"/>
      <c r="AO47" s="129"/>
      <c r="AP47" s="129" t="str">
        <f t="shared" si="13"/>
        <v/>
      </c>
      <c r="AQ47" s="129"/>
      <c r="AR47" s="129"/>
      <c r="AS47" s="57">
        <v>0</v>
      </c>
    </row>
    <row r="48" ht="22" customHeight="1">
      <c r="A48" s="479" t="s">
        <v>165</v>
      </c>
      <c r="B48" s="479" t="s">
        <v>166</v>
      </c>
      <c r="C48" s="479" t="s">
        <v>167</v>
      </c>
      <c r="D48" s="479" t="s">
        <v>168</v>
      </c>
      <c r="E48" s="491"/>
      <c r="F48" s="491"/>
      <c r="G48" s="491"/>
      <c r="H48" s="491"/>
      <c r="I48" s="503"/>
      <c r="J48" s="498" t="str">
        <f>S46&amp;".1"</f>
        <v>....1</v>
      </c>
      <c r="K48" s="479"/>
      <c r="L48" s="481" t="s">
        <v>401</v>
      </c>
      <c r="P48" s="132"/>
      <c r="Q48" s="132">
        <v>1</v>
      </c>
      <c r="R48" s="504"/>
      <c r="S48" s="484" t="str">
        <f>$J48</f>
        <v>....1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13"/>
        <v xml:space="preserve">Группа потребителей</v>
      </c>
      <c r="AQ48" s="129"/>
      <c r="AR48" s="129"/>
      <c r="AS48" s="50">
        <v>21</v>
      </c>
    </row>
    <row r="49" ht="22" customHeight="1">
      <c r="A49" s="479" t="s">
        <v>165</v>
      </c>
      <c r="B49" s="479" t="s">
        <v>166</v>
      </c>
      <c r="C49" s="479" t="s">
        <v>167</v>
      </c>
      <c r="D49" s="479" t="s">
        <v>168</v>
      </c>
      <c r="E49" s="491"/>
      <c r="F49" s="491"/>
      <c r="G49" s="491"/>
      <c r="H49" s="491"/>
      <c r="I49" s="503"/>
      <c r="J49" s="503"/>
      <c r="K49" s="498" t="str">
        <f>J48&amp;".1"</f>
        <v>....1.1</v>
      </c>
      <c r="L49" s="481" t="s">
        <v>404</v>
      </c>
      <c r="P49" s="132"/>
      <c r="Q49" s="132"/>
      <c r="R49" s="504">
        <v>1</v>
      </c>
      <c r="S49" s="484" t="str">
        <f>$K49</f>
        <v>....1.1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446</v>
      </c>
      <c r="AN49" s="57" t="e">
        <f>STRCHECKDATE(V50:AL50)</f>
        <v>#NAME?</v>
      </c>
      <c r="AO49" s="129"/>
      <c r="AP49" s="129" t="str">
        <f t="shared" si="13"/>
        <v/>
      </c>
      <c r="AQ49" s="129"/>
      <c r="AR49" s="129"/>
      <c r="AS49" s="50">
        <v>21</v>
      </c>
    </row>
    <row r="50" ht="1.05" customHeight="1">
      <c r="A50" s="479" t="s">
        <v>165</v>
      </c>
      <c r="B50" s="479" t="s">
        <v>166</v>
      </c>
      <c r="C50" s="479" t="s">
        <v>167</v>
      </c>
      <c r="D50" s="479" t="s">
        <v>168</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3"/>
        <v/>
      </c>
      <c r="AQ50" s="129"/>
      <c r="AR50" s="129"/>
      <c r="AS50" s="50">
        <v>1</v>
      </c>
    </row>
    <row r="51" ht="11.5" customHeight="1">
      <c r="A51" s="479" t="s">
        <v>165</v>
      </c>
      <c r="B51" s="479" t="s">
        <v>166</v>
      </c>
      <c r="C51" s="479" t="s">
        <v>167</v>
      </c>
      <c r="D51" s="479" t="s">
        <v>168</v>
      </c>
      <c r="E51" s="491"/>
      <c r="F51" s="491"/>
      <c r="G51" s="491"/>
      <c r="H51" s="491"/>
      <c r="I51" s="503"/>
      <c r="J51" s="498"/>
      <c r="K51" s="479"/>
      <c r="L51" s="481"/>
      <c r="P51" s="132"/>
      <c r="Q51" s="132"/>
      <c r="R51" s="499"/>
      <c r="S51" s="515"/>
      <c r="T51" s="519"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3"/>
        <v xml:space="preserve">Добавить вид теплоносителя (параметры теплоносителя)</v>
      </c>
      <c r="AQ51" s="129"/>
      <c r="AR51" s="129"/>
      <c r="AS51" s="50">
        <v>11</v>
      </c>
    </row>
    <row r="52" ht="11.5" customHeight="1">
      <c r="A52" s="479" t="s">
        <v>165</v>
      </c>
      <c r="B52" s="479" t="s">
        <v>166</v>
      </c>
      <c r="C52" s="479" t="s">
        <v>167</v>
      </c>
      <c r="D52" s="479" t="s">
        <v>168</v>
      </c>
      <c r="E52" s="491"/>
      <c r="F52" s="491"/>
      <c r="G52" s="491"/>
      <c r="H52" s="491"/>
      <c r="I52" s="498"/>
      <c r="J52" s="479"/>
      <c r="K52" s="479"/>
      <c r="L52" s="481"/>
      <c r="P52" s="132"/>
      <c r="Q52" s="132"/>
      <c r="R52" s="499"/>
      <c r="S52" s="515"/>
      <c r="T52" s="523"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3"/>
        <v xml:space="preserve">Добавить группу потребителей</v>
      </c>
      <c r="AQ52" s="129"/>
      <c r="AR52" s="129"/>
      <c r="AS52" s="50">
        <v>11</v>
      </c>
    </row>
    <row r="53" ht="0" customHeight="1">
      <c r="A53" s="479" t="s">
        <v>165</v>
      </c>
      <c r="B53" s="479" t="s">
        <v>166</v>
      </c>
      <c r="C53" s="479" t="s">
        <v>167</v>
      </c>
      <c r="D53" s="479" t="s">
        <v>168</v>
      </c>
      <c r="E53" s="491"/>
      <c r="F53" s="491"/>
      <c r="G53" s="491"/>
      <c r="H53" s="480"/>
      <c r="I53" s="479"/>
      <c r="J53" s="479"/>
      <c r="K53" s="479"/>
      <c r="L53" s="481"/>
      <c r="M53" s="482"/>
      <c r="N53" s="482"/>
      <c r="O53" s="53"/>
      <c r="P53" s="143"/>
      <c r="Q53" s="522"/>
      <c r="R53" s="483"/>
      <c r="S53" s="592"/>
      <c r="T53" s="593"/>
      <c r="U53" s="594"/>
      <c r="V53" s="594"/>
      <c r="W53" s="594"/>
      <c r="X53" s="594"/>
      <c r="Y53" s="594"/>
      <c r="Z53" s="594"/>
      <c r="AA53" s="594"/>
      <c r="AB53" s="594"/>
      <c r="AC53" s="594"/>
      <c r="AD53" s="594"/>
      <c r="AE53" s="594"/>
      <c r="AF53" s="594"/>
      <c r="AG53" s="594"/>
      <c r="AH53" s="594"/>
      <c r="AI53" s="594"/>
      <c r="AJ53" s="594"/>
      <c r="AK53" s="594"/>
      <c r="AL53" s="594"/>
      <c r="AM53" s="595"/>
      <c r="AO53" s="129"/>
      <c r="AP53" s="129" t="str">
        <f t="shared" si="13"/>
        <v/>
      </c>
      <c r="AQ53" s="129"/>
      <c r="AR53" s="129"/>
      <c r="AS53" s="50">
        <v>0</v>
      </c>
    </row>
    <row r="54" s="57" customFormat="1" ht="1.05" customHeight="1">
      <c r="A54" s="133" t="s">
        <v>165</v>
      </c>
      <c r="B54" s="133" t="s">
        <v>166</v>
      </c>
      <c r="C54" s="133" t="s">
        <v>167</v>
      </c>
      <c r="D54" s="133"/>
      <c r="E54" s="491"/>
      <c r="F54" s="491"/>
      <c r="G54" s="480"/>
      <c r="H54" s="133"/>
      <c r="I54" s="133"/>
      <c r="J54" s="133"/>
      <c r="K54" s="133"/>
      <c r="L54" s="212"/>
      <c r="M54" s="464"/>
      <c r="N54" s="464"/>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3"/>
        <v xml:space="preserve">Добавить источник для дифференциации</v>
      </c>
      <c r="AQ54" s="129"/>
      <c r="AR54" s="129"/>
      <c r="AS54" s="57">
        <v>1</v>
      </c>
    </row>
    <row r="55" s="57" customFormat="1" ht="1.05" customHeight="1">
      <c r="A55" s="133" t="s">
        <v>165</v>
      </c>
      <c r="B55" s="133" t="s">
        <v>166</v>
      </c>
      <c r="C55" s="133"/>
      <c r="D55" s="133"/>
      <c r="E55" s="491"/>
      <c r="F55" s="480"/>
      <c r="G55" s="133"/>
      <c r="H55" s="133"/>
      <c r="I55" s="133"/>
      <c r="J55" s="133"/>
      <c r="K55" s="133"/>
      <c r="L55" s="212"/>
      <c r="M55" s="528"/>
      <c r="N55" s="528"/>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3"/>
        <v xml:space="preserve">Добавить централизованную систему для дифференциации</v>
      </c>
      <c r="AQ55" s="129"/>
      <c r="AR55" s="129"/>
      <c r="AS55" s="57">
        <v>1</v>
      </c>
    </row>
    <row r="56" s="57" customFormat="1" ht="1.05" customHeight="1">
      <c r="A56" s="133" t="s">
        <v>165</v>
      </c>
      <c r="B56" s="133"/>
      <c r="C56" s="133"/>
      <c r="D56" s="133"/>
      <c r="E56" s="480"/>
      <c r="F56" s="133"/>
      <c r="G56" s="133"/>
      <c r="H56" s="133"/>
      <c r="I56" s="133"/>
      <c r="J56" s="133"/>
      <c r="K56" s="133"/>
      <c r="L56" s="212"/>
      <c r="M56" s="528"/>
      <c r="N56" s="528"/>
      <c r="O56" s="57"/>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19.949999999999999"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19</v>
      </c>
    </row>
    <row r="60" ht="29.2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28</v>
      </c>
    </row>
    <row r="61" ht="42" customHeight="1">
      <c r="O61" s="53"/>
      <c r="T61" s="574"/>
      <c r="U61" s="574"/>
      <c r="V61" s="574"/>
      <c r="W61" s="574"/>
      <c r="X61" s="574"/>
      <c r="Y61" s="574"/>
      <c r="Z61" s="574"/>
      <c r="AA61" s="574"/>
      <c r="AB61" s="574"/>
      <c r="AC61" s="574"/>
      <c r="AD61" s="574"/>
      <c r="AE61" s="574"/>
      <c r="AF61" s="574"/>
      <c r="AG61" s="574"/>
      <c r="AH61" s="574"/>
      <c r="AI61" s="574"/>
      <c r="AJ61" s="574"/>
      <c r="AK61" s="574"/>
      <c r="AL61" s="574"/>
      <c r="AM61" s="574"/>
      <c r="AS61" s="50">
        <v>40</v>
      </c>
    </row>
    <row r="62" ht="14.65" customHeight="1">
      <c r="O62" s="53"/>
      <c r="AS62" s="50">
        <v>14</v>
      </c>
    </row>
    <row r="63" ht="21" customHeight="1">
      <c r="O63" s="53"/>
      <c r="S63" s="476"/>
      <c r="T63" s="290"/>
      <c r="U63" s="574"/>
      <c r="V63" s="574"/>
      <c r="W63" s="574"/>
      <c r="X63" s="574"/>
      <c r="Y63" s="574"/>
      <c r="Z63" s="574"/>
      <c r="AA63" s="574"/>
      <c r="AB63" s="574"/>
      <c r="AC63" s="574"/>
      <c r="AD63" s="574"/>
      <c r="AE63" s="574"/>
      <c r="AF63" s="574"/>
      <c r="AG63" s="574"/>
      <c r="AH63" s="574"/>
      <c r="AI63" s="574"/>
      <c r="AJ63" s="574"/>
      <c r="AK63" s="574"/>
      <c r="AL63" s="574"/>
      <c r="AM63" s="574"/>
      <c r="AS63" s="50">
        <v>20</v>
      </c>
    </row>
    <row r="64" ht="29.25" customHeight="1">
      <c r="O64" s="53"/>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35.649999999999999" customHeight="1">
      <c r="T65" s="574"/>
      <c r="U65" s="574"/>
      <c r="V65" s="574"/>
      <c r="W65" s="574"/>
      <c r="X65" s="574"/>
      <c r="Y65" s="574"/>
      <c r="Z65" s="574"/>
      <c r="AA65" s="574"/>
      <c r="AB65" s="574"/>
      <c r="AC65" s="574"/>
      <c r="AD65" s="574"/>
      <c r="AE65" s="574"/>
      <c r="AF65" s="574"/>
      <c r="AG65" s="574"/>
      <c r="AH65" s="574"/>
      <c r="AI65" s="574"/>
      <c r="AJ65" s="574"/>
      <c r="AK65" s="574"/>
      <c r="AL65" s="574"/>
      <c r="AM65" s="574"/>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78">
        <v>3</v>
      </c>
      <c r="R66" s="47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100CF-00FE-4A11-BA48-00540030000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4100E4-0040-4CA1-A2E7-004700AF00D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8004B-00DE-4034-99D7-009A00F7008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800C1-00DA-4AC1-8B00-00F500B7005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597"/>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14">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14"/>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598" t="e">
        <f>INDEX(PT_DIFFERENTIATION_NUM_CS,MATCH(C4,PT_DIFFERENTIATION_CS_ID,0))</f>
        <v>#VALUE!</v>
      </c>
      <c r="T4" s="599" t="s">
        <v>394</v>
      </c>
      <c r="U4" s="600"/>
      <c r="V4" s="601"/>
      <c r="W4" s="602"/>
      <c r="X4" s="602"/>
      <c r="Y4" s="602"/>
      <c r="Z4" s="602"/>
      <c r="AA4" s="602"/>
      <c r="AB4" s="602"/>
      <c r="AC4" s="603"/>
      <c r="AD4" s="601" t="e">
        <f>INDEX(PT_DIFFERENTIATION_CS,MATCH(C4,PT_DIFFERENTIATION_CS_ID,0))</f>
        <v>#VALUE!</v>
      </c>
      <c r="AE4" s="602"/>
      <c r="AF4" s="602"/>
      <c r="AG4" s="602"/>
      <c r="AH4" s="602"/>
      <c r="AI4" s="602"/>
      <c r="AJ4" s="602"/>
      <c r="AK4" s="602"/>
      <c r="AL4" s="603"/>
      <c r="AM4" s="490" t="s">
        <v>395</v>
      </c>
      <c r="AO4" s="129"/>
      <c r="AP4" s="129" t="str">
        <f t="shared" si="14"/>
        <v xml:space="preserve">Наименование системы теплоснабжения </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50"/>
      <c r="S5" s="484" t="e">
        <f>INDEX(PT_DIFFERENTIATION_NUM_IST_TE,MATCH(D5,PT_DIFFERENTIATION_IST_TE_ID,0))</f>
        <v>#VALUE!</v>
      </c>
      <c r="T5" s="497" t="s">
        <v>396</v>
      </c>
      <c r="U5" s="486"/>
      <c r="V5" s="604"/>
      <c r="W5" s="604"/>
      <c r="X5" s="604"/>
      <c r="Y5" s="604"/>
      <c r="Z5" s="604"/>
      <c r="AA5" s="604"/>
      <c r="AB5" s="604"/>
      <c r="AC5" s="604"/>
      <c r="AD5" s="604" t="e">
        <f>INDEX(PT_DIFFERENTIATION_IST_TE,MATCH(D5,PT_DIFFERENTIATION_IST_TE_ID,0))</f>
        <v>#VALUE!</v>
      </c>
      <c r="AE5" s="604"/>
      <c r="AF5" s="604"/>
      <c r="AG5" s="604"/>
      <c r="AH5" s="604"/>
      <c r="AI5" s="604"/>
      <c r="AJ5" s="604"/>
      <c r="AK5" s="604"/>
      <c r="AL5" s="604"/>
      <c r="AM5" s="605" t="s">
        <v>397</v>
      </c>
      <c r="AO5" s="129"/>
      <c r="AP5" s="129" t="str">
        <f t="shared" si="14"/>
        <v xml:space="preserve">Источник тепловой энергии  </v>
      </c>
      <c r="AQ5" s="129"/>
      <c r="AR5" s="129"/>
      <c r="AS5" s="50">
        <v>0</v>
      </c>
    </row>
    <row r="6" ht="0.75" hidden="1" customHeight="1">
      <c r="A6" s="479"/>
      <c r="B6" s="479"/>
      <c r="C6" s="479"/>
      <c r="D6" s="479"/>
      <c r="E6" s="491"/>
      <c r="F6" s="491"/>
      <c r="G6" s="491"/>
      <c r="H6" s="491"/>
      <c r="I6" s="498" t="e">
        <f>S5&amp;".1"</f>
        <v>#VALUE!</v>
      </c>
      <c r="J6" s="479"/>
      <c r="K6" s="479"/>
      <c r="L6" s="481" t="s">
        <v>398</v>
      </c>
      <c r="M6" s="53"/>
      <c r="P6" s="132">
        <v>1</v>
      </c>
      <c r="Q6" s="132"/>
      <c r="R6" s="132"/>
      <c r="S6" s="351"/>
      <c r="T6" s="586"/>
      <c r="U6" s="587"/>
      <c r="V6" s="351"/>
      <c r="W6" s="351"/>
      <c r="X6" s="351"/>
      <c r="Y6" s="351"/>
      <c r="Z6" s="351"/>
      <c r="AA6" s="351"/>
      <c r="AB6" s="351"/>
      <c r="AC6" s="351"/>
      <c r="AD6" s="351"/>
      <c r="AE6" s="351"/>
      <c r="AF6" s="351"/>
      <c r="AG6" s="351"/>
      <c r="AH6" s="351"/>
      <c r="AI6" s="351"/>
      <c r="AJ6" s="351"/>
      <c r="AK6" s="351"/>
      <c r="AL6" s="351"/>
      <c r="AM6" s="606"/>
      <c r="AO6" s="129"/>
      <c r="AP6" s="129" t="str">
        <f t="shared" si="14"/>
        <v/>
      </c>
      <c r="AQ6" s="129"/>
      <c r="AR6" s="129"/>
      <c r="AS6" s="50">
        <v>0</v>
      </c>
    </row>
    <row r="7" ht="84" hidden="1" customHeight="1">
      <c r="A7" s="479"/>
      <c r="B7" s="479"/>
      <c r="C7" s="479"/>
      <c r="D7" s="479"/>
      <c r="E7" s="491"/>
      <c r="F7" s="491"/>
      <c r="G7" s="491"/>
      <c r="H7" s="491"/>
      <c r="I7" s="503"/>
      <c r="J7" s="498" t="e">
        <f>I6&amp;".1"</f>
        <v>#VALUE!</v>
      </c>
      <c r="K7" s="479"/>
      <c r="L7" s="481" t="s">
        <v>401</v>
      </c>
      <c r="M7" s="53"/>
      <c r="N7" s="53"/>
      <c r="P7" s="132"/>
      <c r="Q7" s="132">
        <v>1</v>
      </c>
      <c r="R7" s="57"/>
      <c r="S7" s="484" t="e">
        <f>$J7</f>
        <v>#VALUE!</v>
      </c>
      <c r="T7" s="505" t="s">
        <v>402</v>
      </c>
      <c r="U7" s="486"/>
      <c r="V7" s="607"/>
      <c r="W7" s="607"/>
      <c r="X7" s="607"/>
      <c r="Y7" s="607"/>
      <c r="Z7" s="607"/>
      <c r="AA7" s="607"/>
      <c r="AB7" s="607"/>
      <c r="AC7" s="607"/>
      <c r="AD7" s="607"/>
      <c r="AE7" s="607"/>
      <c r="AF7" s="607"/>
      <c r="AG7" s="607"/>
      <c r="AH7" s="607"/>
      <c r="AI7" s="607"/>
      <c r="AJ7" s="607"/>
      <c r="AK7" s="607"/>
      <c r="AL7" s="607"/>
      <c r="AM7" s="605" t="s">
        <v>403</v>
      </c>
      <c r="AO7" s="129"/>
      <c r="AP7" s="129" t="str">
        <f t="shared" si="14"/>
        <v xml:space="preserve">Группа потребителей</v>
      </c>
      <c r="AQ7" s="129"/>
      <c r="AR7" s="129"/>
      <c r="AS7" s="50">
        <v>0</v>
      </c>
    </row>
    <row r="8" ht="11.25" hidden="1" customHeight="1">
      <c r="A8" s="479"/>
      <c r="B8" s="479"/>
      <c r="C8" s="479"/>
      <c r="D8" s="479"/>
      <c r="E8" s="491"/>
      <c r="F8" s="491"/>
      <c r="G8" s="491"/>
      <c r="H8" s="491"/>
      <c r="I8" s="503"/>
      <c r="J8" s="503"/>
      <c r="K8" s="498" t="e">
        <f>J7&amp;".1"</f>
        <v>#VALUE!</v>
      </c>
      <c r="L8" s="481" t="s">
        <v>404</v>
      </c>
      <c r="M8" s="53"/>
      <c r="N8" s="53"/>
      <c r="O8" s="53"/>
      <c r="P8" s="132"/>
      <c r="Q8" s="132"/>
      <c r="R8" s="504">
        <v>1</v>
      </c>
      <c r="S8" s="608" t="e">
        <f>$K8</f>
        <v>#VALUE!</v>
      </c>
      <c r="T8" s="609"/>
      <c r="U8" s="610"/>
      <c r="V8" s="611"/>
      <c r="W8" s="573"/>
      <c r="X8" s="611"/>
      <c r="Y8" s="612"/>
      <c r="Z8" s="613"/>
      <c r="AA8" s="220" t="s">
        <v>65</v>
      </c>
      <c r="AB8" s="613"/>
      <c r="AC8" s="220" t="s">
        <v>65</v>
      </c>
      <c r="AD8" s="611"/>
      <c r="AE8" s="573"/>
      <c r="AF8" s="611"/>
      <c r="AG8" s="612"/>
      <c r="AH8" s="613"/>
      <c r="AI8" s="220" t="s">
        <v>65</v>
      </c>
      <c r="AJ8" s="613"/>
      <c r="AK8" s="220" t="s">
        <v>65</v>
      </c>
      <c r="AL8" s="573"/>
      <c r="AM8" s="511" t="s">
        <v>405</v>
      </c>
      <c r="AN8" s="57" t="e">
        <f>STRCHECKDATE(V9:AL9)</f>
        <v>#NAME?</v>
      </c>
      <c r="AO8" s="129"/>
      <c r="AP8" s="129" t="str">
        <f t="shared" si="14"/>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4"/>
        <v/>
      </c>
      <c r="AQ9" s="129"/>
      <c r="AR9" s="129"/>
      <c r="AS9" s="50">
        <v>0</v>
      </c>
    </row>
    <row r="10" ht="11.25" hidden="1" customHeight="1">
      <c r="A10" s="479"/>
      <c r="B10" s="479"/>
      <c r="C10" s="479"/>
      <c r="D10" s="479"/>
      <c r="E10" s="491"/>
      <c r="F10" s="491"/>
      <c r="G10" s="491"/>
      <c r="H10" s="491"/>
      <c r="I10" s="503"/>
      <c r="J10" s="498"/>
      <c r="K10" s="479"/>
      <c r="L10" s="481"/>
      <c r="M10" s="53"/>
      <c r="N10" s="53"/>
      <c r="P10" s="132"/>
      <c r="Q10" s="132"/>
      <c r="R10" s="499"/>
      <c r="S10" s="515"/>
      <c r="T10" s="519"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5">IF(T10="","",T10)</f>
        <v xml:space="preserve">Добавить вид теплоносителя (параметры теплоносителя)</v>
      </c>
      <c r="AQ10" s="129"/>
      <c r="AR10" s="129"/>
      <c r="AS10" s="50">
        <v>0</v>
      </c>
    </row>
    <row r="11" ht="11.25" hidden="1" customHeight="1">
      <c r="A11" s="479"/>
      <c r="B11" s="479"/>
      <c r="C11" s="479"/>
      <c r="D11" s="479"/>
      <c r="E11" s="491"/>
      <c r="F11" s="491"/>
      <c r="G11" s="491"/>
      <c r="H11" s="491"/>
      <c r="I11" s="498"/>
      <c r="J11" s="479"/>
      <c r="K11" s="479"/>
      <c r="L11" s="481"/>
      <c r="M11" s="53"/>
      <c r="P11" s="132"/>
      <c r="Q11" s="132"/>
      <c r="R11" s="499"/>
      <c r="S11" s="515"/>
      <c r="T11" s="523"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5"/>
        <v xml:space="preserve">Добавить группу потребителей</v>
      </c>
      <c r="AQ11" s="129"/>
      <c r="AR11" s="129"/>
      <c r="AS11" s="50">
        <v>0</v>
      </c>
    </row>
    <row r="12" ht="0.75" hidden="1" customHeight="1">
      <c r="A12" s="479"/>
      <c r="B12" s="479"/>
      <c r="C12" s="479"/>
      <c r="D12" s="479"/>
      <c r="E12" s="491"/>
      <c r="F12" s="491"/>
      <c r="G12" s="491"/>
      <c r="H12" s="480"/>
      <c r="I12" s="479"/>
      <c r="J12" s="479"/>
      <c r="K12" s="479"/>
      <c r="L12" s="481"/>
      <c r="M12" s="482"/>
      <c r="N12" s="482"/>
      <c r="O12" s="53"/>
      <c r="P12" s="143"/>
      <c r="Q12" s="522"/>
      <c r="R12" s="483"/>
      <c r="S12" s="592"/>
      <c r="T12" s="593"/>
      <c r="U12" s="594"/>
      <c r="V12" s="594"/>
      <c r="W12" s="594"/>
      <c r="X12" s="594"/>
      <c r="Y12" s="594"/>
      <c r="Z12" s="594"/>
      <c r="AA12" s="594"/>
      <c r="AB12" s="594"/>
      <c r="AC12" s="594"/>
      <c r="AD12" s="594"/>
      <c r="AE12" s="594"/>
      <c r="AF12" s="594"/>
      <c r="AG12" s="594"/>
      <c r="AH12" s="594"/>
      <c r="AI12" s="594"/>
      <c r="AJ12" s="594"/>
      <c r="AK12" s="594"/>
      <c r="AL12" s="594"/>
      <c r="AM12" s="595"/>
      <c r="AO12" s="129"/>
      <c r="AP12" s="129" t="str">
        <f t="shared" si="15"/>
        <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5"/>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5"/>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412</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54.75" customHeight="1">
      <c r="Q26" s="539"/>
      <c r="R26" s="539"/>
      <c r="S26" s="29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98"/>
      <c r="U26" s="298"/>
      <c r="V26" s="298"/>
      <c r="W26" s="298"/>
      <c r="X26" s="298"/>
      <c r="Y26" s="298"/>
      <c r="Z26" s="298"/>
      <c r="AA26" s="298"/>
      <c r="AB26" s="298"/>
      <c r="AC26" s="298"/>
      <c r="AD26" s="298"/>
      <c r="AE26" s="298"/>
      <c r="AF26" s="298"/>
      <c r="AG26" s="298"/>
      <c r="AH26" s="298"/>
      <c r="AI26" s="298"/>
      <c r="AJ26" s="298"/>
      <c r="AK26" s="240"/>
      <c r="AS26" s="50">
        <v>52</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c r="X40" s="73" t="s">
        <v>430</v>
      </c>
      <c r="Y40" s="72"/>
      <c r="Z40" s="73" t="s">
        <v>431</v>
      </c>
      <c r="AA40" s="145"/>
      <c r="AB40" s="72"/>
      <c r="AC40" s="557"/>
      <c r="AD40" s="307" t="s">
        <v>445</v>
      </c>
      <c r="AE40" s="556"/>
      <c r="AF40" s="73" t="s">
        <v>430</v>
      </c>
      <c r="AG40" s="72"/>
      <c r="AH40" s="73" t="s">
        <v>431</v>
      </c>
      <c r="AI40" s="145"/>
      <c r="AJ40" s="72"/>
      <c r="AK40" s="557"/>
      <c r="AL40" s="558"/>
      <c r="AM40" s="157"/>
      <c r="AS40" s="50">
        <v>34</v>
      </c>
    </row>
    <row r="41" ht="35.649999999999999" customHeight="1">
      <c r="A41" s="151"/>
      <c r="B41" s="151" t="s">
        <v>132</v>
      </c>
      <c r="C41" s="151" t="s">
        <v>133</v>
      </c>
      <c r="D41" s="151" t="s">
        <v>134</v>
      </c>
      <c r="E41" s="481" t="s">
        <v>432</v>
      </c>
      <c r="F41" s="481" t="s">
        <v>433</v>
      </c>
      <c r="G41" s="481" t="s">
        <v>434</v>
      </c>
      <c r="H41" s="481" t="s">
        <v>435</v>
      </c>
      <c r="I41" s="481" t="s">
        <v>436</v>
      </c>
      <c r="J41" s="481" t="s">
        <v>437</v>
      </c>
      <c r="K41" s="481" t="s">
        <v>438</v>
      </c>
      <c r="L41" s="481"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177</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5"/>
        <v xml:space="preserve">Наименование тарифа</v>
      </c>
      <c r="AQ43" s="129"/>
      <c r="AR43" s="129"/>
      <c r="AS43" s="50">
        <v>21</v>
      </c>
    </row>
    <row r="44" ht="22" customHeight="1">
      <c r="A44" s="479" t="s">
        <v>177</v>
      </c>
      <c r="B44" s="479" t="s">
        <v>178</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15"/>
        <v xml:space="preserve">Территория действия тарифа</v>
      </c>
      <c r="AQ44" s="129"/>
      <c r="AR44" s="129"/>
      <c r="AS44" s="50">
        <v>21</v>
      </c>
    </row>
    <row r="45" ht="24" customHeight="1">
      <c r="A45" s="479" t="s">
        <v>177</v>
      </c>
      <c r="B45" s="479" t="s">
        <v>178</v>
      </c>
      <c r="C45" s="479" t="s">
        <v>179</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15"/>
        <v xml:space="preserve">Наименование системы теплоснабжения </v>
      </c>
      <c r="AQ45" s="129"/>
      <c r="AR45" s="129"/>
      <c r="AS45" s="50">
        <v>23</v>
      </c>
    </row>
    <row r="46" ht="22" customHeight="1">
      <c r="A46" s="479" t="s">
        <v>177</v>
      </c>
      <c r="B46" s="479" t="s">
        <v>178</v>
      </c>
      <c r="C46" s="479" t="s">
        <v>179</v>
      </c>
      <c r="D46" s="479" t="s">
        <v>180</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15"/>
        <v xml:space="preserve">Источник тепловой энергии  </v>
      </c>
      <c r="AQ46" s="129"/>
      <c r="AR46" s="129"/>
      <c r="AS46" s="50">
        <v>21</v>
      </c>
    </row>
    <row r="47" s="57" customFormat="1" ht="0" customHeight="1">
      <c r="A47" s="133" t="s">
        <v>177</v>
      </c>
      <c r="B47" s="133" t="s">
        <v>178</v>
      </c>
      <c r="C47" s="133" t="s">
        <v>179</v>
      </c>
      <c r="D47" s="133" t="s">
        <v>180</v>
      </c>
      <c r="E47" s="491"/>
      <c r="F47" s="491"/>
      <c r="G47" s="491"/>
      <c r="H47" s="491"/>
      <c r="I47" s="498" t="str">
        <f>S46&amp;".1"</f>
        <v>....1</v>
      </c>
      <c r="J47" s="133"/>
      <c r="K47" s="133"/>
      <c r="L47" s="212" t="s">
        <v>398</v>
      </c>
      <c r="M47" s="596"/>
      <c r="N47" s="596"/>
      <c r="O47" s="596"/>
      <c r="P47" s="132">
        <v>1</v>
      </c>
      <c r="Q47" s="132"/>
      <c r="R47" s="499"/>
      <c r="S47" s="351"/>
      <c r="T47" s="586"/>
      <c r="U47" s="587"/>
      <c r="V47" s="588"/>
      <c r="W47" s="589"/>
      <c r="X47" s="589"/>
      <c r="Y47" s="589"/>
      <c r="Z47" s="589"/>
      <c r="AA47" s="589"/>
      <c r="AB47" s="589"/>
      <c r="AC47" s="590"/>
      <c r="AD47" s="588"/>
      <c r="AE47" s="589"/>
      <c r="AF47" s="589"/>
      <c r="AG47" s="589"/>
      <c r="AH47" s="589"/>
      <c r="AI47" s="589"/>
      <c r="AJ47" s="589"/>
      <c r="AK47" s="589"/>
      <c r="AL47" s="590"/>
      <c r="AM47" s="591"/>
      <c r="AO47" s="129"/>
      <c r="AP47" s="129" t="str">
        <f t="shared" si="15"/>
        <v/>
      </c>
      <c r="AQ47" s="129"/>
      <c r="AR47" s="129"/>
      <c r="AS47" s="57">
        <v>0</v>
      </c>
    </row>
    <row r="48" ht="22" customHeight="1">
      <c r="A48" s="479" t="s">
        <v>177</v>
      </c>
      <c r="B48" s="479" t="s">
        <v>178</v>
      </c>
      <c r="C48" s="479" t="s">
        <v>179</v>
      </c>
      <c r="D48" s="479" t="s">
        <v>180</v>
      </c>
      <c r="E48" s="491"/>
      <c r="F48" s="491"/>
      <c r="G48" s="491"/>
      <c r="H48" s="491"/>
      <c r="I48" s="503"/>
      <c r="J48" s="498" t="str">
        <f>S46&amp;".1"</f>
        <v>....1</v>
      </c>
      <c r="K48" s="479"/>
      <c r="L48" s="481" t="s">
        <v>401</v>
      </c>
      <c r="P48" s="132"/>
      <c r="Q48" s="132">
        <v>1</v>
      </c>
      <c r="R48" s="504"/>
      <c r="S48" s="484" t="str">
        <f>$J48</f>
        <v>....1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15"/>
        <v xml:space="preserve">Группа потребителей</v>
      </c>
      <c r="AQ48" s="129"/>
      <c r="AR48" s="129"/>
      <c r="AS48" s="50">
        <v>21</v>
      </c>
    </row>
    <row r="49" ht="22" customHeight="1">
      <c r="A49" s="479" t="s">
        <v>177</v>
      </c>
      <c r="B49" s="479" t="s">
        <v>178</v>
      </c>
      <c r="C49" s="479" t="s">
        <v>179</v>
      </c>
      <c r="D49" s="479" t="s">
        <v>180</v>
      </c>
      <c r="E49" s="491"/>
      <c r="F49" s="491"/>
      <c r="G49" s="491"/>
      <c r="H49" s="491"/>
      <c r="I49" s="503"/>
      <c r="J49" s="503"/>
      <c r="K49" s="498" t="str">
        <f>J48&amp;".1"</f>
        <v>....1.1</v>
      </c>
      <c r="L49" s="481" t="s">
        <v>404</v>
      </c>
      <c r="P49" s="132"/>
      <c r="Q49" s="132"/>
      <c r="R49" s="504">
        <v>1</v>
      </c>
      <c r="S49" s="484" t="str">
        <f>$K49</f>
        <v>....1.1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446</v>
      </c>
      <c r="AN49" s="57" t="e">
        <f>STRCHECKDATE(V50:AL50)</f>
        <v>#NAME?</v>
      </c>
      <c r="AO49" s="129"/>
      <c r="AP49" s="129" t="str">
        <f t="shared" si="15"/>
        <v/>
      </c>
      <c r="AQ49" s="129"/>
      <c r="AR49" s="129"/>
      <c r="AS49" s="50">
        <v>21</v>
      </c>
    </row>
    <row r="50" ht="1.05" customHeight="1">
      <c r="A50" s="479" t="s">
        <v>177</v>
      </c>
      <c r="B50" s="479" t="s">
        <v>178</v>
      </c>
      <c r="C50" s="479" t="s">
        <v>179</v>
      </c>
      <c r="D50" s="479" t="s">
        <v>180</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5"/>
        <v/>
      </c>
      <c r="AQ50" s="129"/>
      <c r="AR50" s="129"/>
      <c r="AS50" s="50">
        <v>1</v>
      </c>
    </row>
    <row r="51" ht="11.5" customHeight="1">
      <c r="A51" s="479" t="s">
        <v>177</v>
      </c>
      <c r="B51" s="479" t="s">
        <v>178</v>
      </c>
      <c r="C51" s="479" t="s">
        <v>179</v>
      </c>
      <c r="D51" s="479" t="s">
        <v>180</v>
      </c>
      <c r="E51" s="491"/>
      <c r="F51" s="491"/>
      <c r="G51" s="491"/>
      <c r="H51" s="491"/>
      <c r="I51" s="503"/>
      <c r="J51" s="498"/>
      <c r="K51" s="479"/>
      <c r="L51" s="481"/>
      <c r="P51" s="132"/>
      <c r="Q51" s="132"/>
      <c r="R51" s="499"/>
      <c r="S51" s="515"/>
      <c r="T51" s="519"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5"/>
        <v xml:space="preserve">Добавить вид теплоносителя (параметры теплоносителя)</v>
      </c>
      <c r="AQ51" s="129"/>
      <c r="AR51" s="129"/>
      <c r="AS51" s="50">
        <v>11</v>
      </c>
    </row>
    <row r="52" ht="11.5" customHeight="1">
      <c r="A52" s="479" t="s">
        <v>177</v>
      </c>
      <c r="B52" s="479" t="s">
        <v>178</v>
      </c>
      <c r="C52" s="479" t="s">
        <v>179</v>
      </c>
      <c r="D52" s="479" t="s">
        <v>180</v>
      </c>
      <c r="E52" s="491"/>
      <c r="F52" s="491"/>
      <c r="G52" s="491"/>
      <c r="H52" s="491"/>
      <c r="I52" s="498"/>
      <c r="J52" s="479"/>
      <c r="K52" s="479"/>
      <c r="L52" s="481"/>
      <c r="P52" s="132"/>
      <c r="Q52" s="132"/>
      <c r="R52" s="499"/>
      <c r="S52" s="515"/>
      <c r="T52" s="523"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5"/>
        <v xml:space="preserve">Добавить группу потребителей</v>
      </c>
      <c r="AQ52" s="129"/>
      <c r="AR52" s="129"/>
      <c r="AS52" s="50">
        <v>11</v>
      </c>
    </row>
    <row r="53" ht="0" customHeight="1">
      <c r="A53" s="479" t="s">
        <v>177</v>
      </c>
      <c r="B53" s="479" t="s">
        <v>178</v>
      </c>
      <c r="C53" s="479" t="s">
        <v>179</v>
      </c>
      <c r="D53" s="479" t="s">
        <v>180</v>
      </c>
      <c r="E53" s="491"/>
      <c r="F53" s="491"/>
      <c r="G53" s="491"/>
      <c r="H53" s="480"/>
      <c r="I53" s="479"/>
      <c r="J53" s="479"/>
      <c r="K53" s="479"/>
      <c r="L53" s="481"/>
      <c r="M53" s="482"/>
      <c r="N53" s="482"/>
      <c r="O53" s="53"/>
      <c r="P53" s="143"/>
      <c r="Q53" s="522"/>
      <c r="R53" s="483"/>
      <c r="S53" s="592"/>
      <c r="T53" s="593"/>
      <c r="U53" s="594"/>
      <c r="V53" s="594"/>
      <c r="W53" s="594"/>
      <c r="X53" s="594"/>
      <c r="Y53" s="594"/>
      <c r="Z53" s="594"/>
      <c r="AA53" s="594"/>
      <c r="AB53" s="594"/>
      <c r="AC53" s="594"/>
      <c r="AD53" s="594"/>
      <c r="AE53" s="594"/>
      <c r="AF53" s="594"/>
      <c r="AG53" s="594"/>
      <c r="AH53" s="594"/>
      <c r="AI53" s="594"/>
      <c r="AJ53" s="594"/>
      <c r="AK53" s="594"/>
      <c r="AL53" s="594"/>
      <c r="AM53" s="595"/>
      <c r="AO53" s="129"/>
      <c r="AP53" s="129" t="str">
        <f t="shared" si="15"/>
        <v/>
      </c>
      <c r="AQ53" s="129"/>
      <c r="AR53" s="129"/>
      <c r="AS53" s="50">
        <v>0</v>
      </c>
    </row>
    <row r="54" s="57" customFormat="1" ht="1.05" customHeight="1">
      <c r="A54" s="133" t="s">
        <v>177</v>
      </c>
      <c r="B54" s="133" t="s">
        <v>178</v>
      </c>
      <c r="C54" s="133" t="s">
        <v>179</v>
      </c>
      <c r="D54" s="133"/>
      <c r="E54" s="491"/>
      <c r="F54" s="491"/>
      <c r="G54" s="480"/>
      <c r="H54" s="133"/>
      <c r="I54" s="133"/>
      <c r="J54" s="133"/>
      <c r="K54" s="133"/>
      <c r="L54" s="212"/>
      <c r="M54" s="464"/>
      <c r="N54" s="464"/>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5"/>
        <v xml:space="preserve">Добавить источник для дифференциации</v>
      </c>
      <c r="AQ54" s="129"/>
      <c r="AR54" s="129"/>
      <c r="AS54" s="57">
        <v>1</v>
      </c>
    </row>
    <row r="55" s="57" customFormat="1" ht="1.05" customHeight="1">
      <c r="A55" s="133" t="s">
        <v>177</v>
      </c>
      <c r="B55" s="133" t="s">
        <v>178</v>
      </c>
      <c r="C55" s="133"/>
      <c r="D55" s="133"/>
      <c r="E55" s="491"/>
      <c r="F55" s="480"/>
      <c r="G55" s="133"/>
      <c r="H55" s="133"/>
      <c r="I55" s="133"/>
      <c r="J55" s="133"/>
      <c r="K55" s="133"/>
      <c r="L55" s="212"/>
      <c r="M55" s="528"/>
      <c r="N55" s="528"/>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5"/>
        <v xml:space="preserve">Добавить централизованную систему для дифференциации</v>
      </c>
      <c r="AQ55" s="129"/>
      <c r="AR55" s="129"/>
      <c r="AS55" s="57">
        <v>1</v>
      </c>
    </row>
    <row r="56" s="57" customFormat="1" ht="1.05" customHeight="1">
      <c r="A56" s="133" t="s">
        <v>177</v>
      </c>
      <c r="B56" s="133"/>
      <c r="C56" s="133"/>
      <c r="D56" s="133"/>
      <c r="E56" s="480"/>
      <c r="F56" s="133"/>
      <c r="G56" s="133"/>
      <c r="H56" s="133"/>
      <c r="I56" s="133"/>
      <c r="J56" s="133"/>
      <c r="K56" s="133"/>
      <c r="L56" s="212"/>
      <c r="M56" s="528"/>
      <c r="N56" s="528"/>
      <c r="O56" s="57"/>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3.2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22</v>
      </c>
    </row>
    <row r="60" ht="30.449999999999999"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29</v>
      </c>
    </row>
    <row r="61" ht="42" customHeight="1">
      <c r="O61" s="53"/>
      <c r="T61" s="574"/>
      <c r="U61" s="574"/>
      <c r="V61" s="574"/>
      <c r="W61" s="574"/>
      <c r="X61" s="574"/>
      <c r="Y61" s="574"/>
      <c r="Z61" s="574"/>
      <c r="AA61" s="574"/>
      <c r="AB61" s="574"/>
      <c r="AC61" s="574"/>
      <c r="AD61" s="574"/>
      <c r="AE61" s="574"/>
      <c r="AF61" s="574"/>
      <c r="AG61" s="574"/>
      <c r="AH61" s="574"/>
      <c r="AI61" s="574"/>
      <c r="AJ61" s="574"/>
      <c r="AK61" s="574"/>
      <c r="AL61" s="574"/>
      <c r="AM61" s="574"/>
      <c r="AS61" s="50">
        <v>40</v>
      </c>
    </row>
    <row r="62" ht="14.65" customHeight="1">
      <c r="O62" s="53"/>
      <c r="AS62" s="50">
        <v>14</v>
      </c>
    </row>
    <row r="63" ht="21" customHeight="1">
      <c r="O63" s="53"/>
      <c r="S63" s="476"/>
      <c r="T63" s="290"/>
      <c r="U63" s="574"/>
      <c r="V63" s="574"/>
      <c r="W63" s="574"/>
      <c r="X63" s="574"/>
      <c r="Y63" s="574"/>
      <c r="Z63" s="574"/>
      <c r="AA63" s="574"/>
      <c r="AB63" s="574"/>
      <c r="AC63" s="574"/>
      <c r="AD63" s="574"/>
      <c r="AE63" s="574"/>
      <c r="AF63" s="574"/>
      <c r="AG63" s="574"/>
      <c r="AH63" s="574"/>
      <c r="AI63" s="574"/>
      <c r="AJ63" s="574"/>
      <c r="AK63" s="574"/>
      <c r="AL63" s="574"/>
      <c r="AM63" s="574"/>
      <c r="AS63" s="50">
        <v>20</v>
      </c>
    </row>
    <row r="64" ht="29.25" customHeight="1">
      <c r="O64" s="53"/>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35.649999999999999" customHeight="1">
      <c r="T65" s="574"/>
      <c r="U65" s="574"/>
      <c r="V65" s="574"/>
      <c r="W65" s="574"/>
      <c r="X65" s="574"/>
      <c r="Y65" s="574"/>
      <c r="Z65" s="574"/>
      <c r="AA65" s="574"/>
      <c r="AB65" s="574"/>
      <c r="AC65" s="574"/>
      <c r="AD65" s="574"/>
      <c r="AE65" s="574"/>
      <c r="AF65" s="574"/>
      <c r="AG65" s="574"/>
      <c r="AH65" s="574"/>
      <c r="AI65" s="574"/>
      <c r="AJ65" s="574"/>
      <c r="AK65" s="574"/>
      <c r="AL65" s="574"/>
      <c r="AM65" s="574"/>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78">
        <v>3</v>
      </c>
      <c r="R66" s="47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3008D-0001-4B13-8A1B-00320015000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A00093-001D-4C15-BC93-003900D500B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500A0-00C9-460C-9F23-007E002E001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B000A-0018-4770-9C91-00570096008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391</v>
      </c>
      <c r="AO2" s="129"/>
      <c r="AP2" s="129" t="str">
        <f t="shared" ref="AP2:AP9" si="16">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393</v>
      </c>
      <c r="AO3" s="129"/>
      <c r="AP3" s="129" t="str">
        <f t="shared" si="16"/>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394</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395</v>
      </c>
      <c r="AO4" s="129"/>
      <c r="AP4" s="129" t="str">
        <f t="shared" si="16"/>
        <v xml:space="preserve">Наименование системы теплоснабжения </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396</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397</v>
      </c>
      <c r="AO5" s="129"/>
      <c r="AP5" s="129" t="str">
        <f t="shared" si="16"/>
        <v xml:space="preserve">Источник тепловой энергии  </v>
      </c>
      <c r="AQ5" s="129"/>
      <c r="AR5" s="129"/>
      <c r="AS5" s="50">
        <v>0</v>
      </c>
    </row>
    <row r="6" ht="14.25" hidden="1" customHeight="1">
      <c r="A6" s="479"/>
      <c r="B6" s="479"/>
      <c r="C6" s="479"/>
      <c r="D6" s="479"/>
      <c r="E6" s="491"/>
      <c r="F6" s="491"/>
      <c r="G6" s="491"/>
      <c r="H6" s="491"/>
      <c r="I6" s="498" t="e">
        <f>S5&amp;".1"</f>
        <v>#VALUE!</v>
      </c>
      <c r="J6" s="479"/>
      <c r="K6" s="479"/>
      <c r="L6" s="481" t="s">
        <v>398</v>
      </c>
      <c r="M6" s="53"/>
      <c r="P6" s="132">
        <v>1</v>
      </c>
      <c r="Q6" s="132"/>
      <c r="R6" s="499"/>
      <c r="S6" s="351"/>
      <c r="T6" s="586"/>
      <c r="U6" s="587"/>
      <c r="V6" s="588"/>
      <c r="W6" s="589"/>
      <c r="X6" s="589"/>
      <c r="Y6" s="589"/>
      <c r="Z6" s="589"/>
      <c r="AA6" s="589"/>
      <c r="AB6" s="589"/>
      <c r="AC6" s="590"/>
      <c r="AD6" s="588"/>
      <c r="AE6" s="589"/>
      <c r="AF6" s="589"/>
      <c r="AG6" s="589"/>
      <c r="AH6" s="589"/>
      <c r="AI6" s="589"/>
      <c r="AJ6" s="589"/>
      <c r="AK6" s="589"/>
      <c r="AL6" s="590"/>
      <c r="AM6" s="591"/>
      <c r="AO6" s="129"/>
      <c r="AP6" s="129" t="str">
        <f t="shared" si="16"/>
        <v/>
      </c>
      <c r="AQ6" s="129"/>
      <c r="AR6" s="129"/>
      <c r="AS6" s="50">
        <v>0</v>
      </c>
    </row>
    <row r="7" ht="21" hidden="1" customHeight="1">
      <c r="A7" s="479"/>
      <c r="B7" s="479"/>
      <c r="C7" s="479"/>
      <c r="D7" s="479"/>
      <c r="E7" s="491"/>
      <c r="F7" s="491"/>
      <c r="G7" s="491"/>
      <c r="H7" s="491"/>
      <c r="I7" s="503"/>
      <c r="J7" s="498" t="e">
        <f>I6&amp;".1"</f>
        <v>#VALUE!</v>
      </c>
      <c r="K7" s="479"/>
      <c r="L7" s="481" t="s">
        <v>401</v>
      </c>
      <c r="M7" s="53"/>
      <c r="N7" s="53"/>
      <c r="P7" s="132"/>
      <c r="Q7" s="132">
        <v>1</v>
      </c>
      <c r="R7" s="504"/>
      <c r="S7" s="484" t="e">
        <f>$J7</f>
        <v>#VALUE!</v>
      </c>
      <c r="T7" s="505" t="s">
        <v>402</v>
      </c>
      <c r="U7" s="486"/>
      <c r="V7" s="431"/>
      <c r="W7" s="501"/>
      <c r="X7" s="501"/>
      <c r="Y7" s="501"/>
      <c r="Z7" s="501"/>
      <c r="AA7" s="501"/>
      <c r="AB7" s="501"/>
      <c r="AC7" s="502"/>
      <c r="AD7" s="431"/>
      <c r="AE7" s="501"/>
      <c r="AF7" s="501"/>
      <c r="AG7" s="501"/>
      <c r="AH7" s="501"/>
      <c r="AI7" s="501"/>
      <c r="AJ7" s="501"/>
      <c r="AK7" s="501"/>
      <c r="AL7" s="502"/>
      <c r="AM7" s="490" t="s">
        <v>403</v>
      </c>
      <c r="AO7" s="129"/>
      <c r="AP7" s="129" t="str">
        <f t="shared" si="16"/>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404</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405</v>
      </c>
      <c r="AN8" s="57" t="e">
        <f>STRCHECKDATE(V9:AL9)</f>
        <v>#NAME?</v>
      </c>
      <c r="AO8" s="129"/>
      <c r="AP8" s="129" t="str">
        <f t="shared" si="16"/>
        <v/>
      </c>
      <c r="AQ8" s="129"/>
      <c r="AR8" s="129"/>
      <c r="AS8" s="50">
        <v>0</v>
      </c>
    </row>
    <row r="9" ht="14.2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6"/>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9" t="s">
        <v>406</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7">IF(T10="","",T10)</f>
        <v xml:space="preserve">Добавить вид теплоносителя (параметры теплоносителя)</v>
      </c>
      <c r="AQ10" s="129"/>
      <c r="AR10" s="129"/>
      <c r="AS10" s="50">
        <v>0</v>
      </c>
    </row>
    <row r="11" ht="11.25" hidden="1" customHeight="1">
      <c r="A11" s="479"/>
      <c r="B11" s="479"/>
      <c r="C11" s="479"/>
      <c r="D11" s="479"/>
      <c r="E11" s="491"/>
      <c r="F11" s="491"/>
      <c r="G11" s="491"/>
      <c r="H11" s="491"/>
      <c r="I11" s="498"/>
      <c r="J11" s="479"/>
      <c r="K11" s="479"/>
      <c r="L11" s="481"/>
      <c r="M11" s="53"/>
      <c r="P11" s="132"/>
      <c r="Q11" s="132"/>
      <c r="R11" s="499"/>
      <c r="S11" s="515"/>
      <c r="T11" s="523" t="s">
        <v>407</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7"/>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92"/>
      <c r="T12" s="593"/>
      <c r="U12" s="594"/>
      <c r="V12" s="594"/>
      <c r="W12" s="594"/>
      <c r="X12" s="594"/>
      <c r="Y12" s="594"/>
      <c r="Z12" s="594"/>
      <c r="AA12" s="594"/>
      <c r="AB12" s="594"/>
      <c r="AC12" s="594"/>
      <c r="AD12" s="594"/>
      <c r="AE12" s="594"/>
      <c r="AF12" s="594"/>
      <c r="AG12" s="594"/>
      <c r="AH12" s="594"/>
      <c r="AI12" s="594"/>
      <c r="AJ12" s="594"/>
      <c r="AK12" s="594"/>
      <c r="AL12" s="594"/>
      <c r="AM12" s="595"/>
      <c r="AO12" s="129"/>
      <c r="AP12" s="129" t="str">
        <f t="shared" si="17"/>
        <v/>
      </c>
      <c r="AQ12" s="129"/>
      <c r="AR12" s="129"/>
      <c r="AS12" s="50">
        <v>0</v>
      </c>
    </row>
    <row r="13" s="57" customFormat="1" ht="14.25" hidden="1" customHeight="1">
      <c r="A13" s="133"/>
      <c r="B13" s="133"/>
      <c r="C13" s="133"/>
      <c r="D13" s="133"/>
      <c r="E13" s="491"/>
      <c r="F13" s="491"/>
      <c r="G13" s="480"/>
      <c r="H13" s="133"/>
      <c r="I13" s="133"/>
      <c r="J13" s="133"/>
      <c r="K13" s="133"/>
      <c r="L13" s="212"/>
      <c r="M13" s="464"/>
      <c r="N13" s="464"/>
      <c r="P13" s="167"/>
      <c r="Q13" s="524"/>
      <c r="R13" s="167"/>
      <c r="S13" s="525"/>
      <c r="T13" s="526" t="s">
        <v>409</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7"/>
        <v xml:space="preserve">Добавить источник для дифференциации</v>
      </c>
      <c r="AQ13" s="129"/>
      <c r="AR13" s="129"/>
      <c r="AS13" s="57">
        <v>0</v>
      </c>
    </row>
    <row r="14" s="57" customFormat="1" ht="14.25" hidden="1" customHeight="1">
      <c r="A14" s="133"/>
      <c r="B14" s="133"/>
      <c r="C14" s="133"/>
      <c r="D14" s="133"/>
      <c r="E14" s="491"/>
      <c r="F14" s="480"/>
      <c r="G14" s="133"/>
      <c r="H14" s="133"/>
      <c r="I14" s="133"/>
      <c r="J14" s="133"/>
      <c r="K14" s="133"/>
      <c r="L14" s="212"/>
      <c r="M14" s="528"/>
      <c r="N14" s="528"/>
      <c r="P14" s="167"/>
      <c r="Q14" s="524"/>
      <c r="R14" s="167"/>
      <c r="S14" s="529"/>
      <c r="T14" s="530" t="s">
        <v>410</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7"/>
        <v xml:space="preserve">Добавить централизованную систему для дифференциации</v>
      </c>
      <c r="AQ14" s="129"/>
      <c r="AR14" s="129"/>
      <c r="AS14" s="57">
        <v>0</v>
      </c>
    </row>
    <row r="15" s="57" customFormat="1" ht="14.25" hidden="1" customHeight="1">
      <c r="A15" s="133"/>
      <c r="B15" s="133"/>
      <c r="C15" s="133"/>
      <c r="D15" s="133"/>
      <c r="E15" s="480"/>
      <c r="F15" s="133"/>
      <c r="G15" s="133"/>
      <c r="H15" s="133"/>
      <c r="I15" s="133"/>
      <c r="J15" s="133"/>
      <c r="K15" s="133"/>
      <c r="L15" s="212"/>
      <c r="M15" s="528"/>
      <c r="N15" s="528"/>
      <c r="P15" s="167"/>
      <c r="Q15" s="524"/>
      <c r="R15" s="167"/>
      <c r="S15" s="529"/>
      <c r="T15" s="532" t="s">
        <v>411</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7"/>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412</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413</v>
      </c>
      <c r="P22" s="61"/>
      <c r="Q22" s="538"/>
      <c r="R22" s="538"/>
      <c r="S22" s="482"/>
      <c r="T22" s="53" t="s">
        <v>414</v>
      </c>
      <c r="AA22" s="151" t="s">
        <v>415</v>
      </c>
      <c r="AC22" s="151" t="s">
        <v>416</v>
      </c>
      <c r="AD22" s="53" t="s">
        <v>414</v>
      </c>
      <c r="AI22" s="151" t="s">
        <v>417</v>
      </c>
      <c r="AK22" s="151" t="s">
        <v>416</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53.5" customHeight="1">
      <c r="Q26" s="539"/>
      <c r="R26" s="539"/>
      <c r="S26" s="45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2"/>
      <c r="U26" s="452"/>
      <c r="V26" s="452"/>
      <c r="W26" s="452"/>
      <c r="X26" s="452"/>
      <c r="Y26" s="452"/>
      <c r="Z26" s="452"/>
      <c r="AA26" s="452"/>
      <c r="AB26" s="452"/>
      <c r="AC26" s="452"/>
      <c r="AD26" s="452"/>
      <c r="AE26" s="452"/>
      <c r="AF26" s="452"/>
      <c r="AG26" s="452"/>
      <c r="AH26" s="452"/>
      <c r="AI26" s="452"/>
      <c r="AJ26" s="452"/>
      <c r="AK26" s="240"/>
      <c r="AS26" s="50">
        <v>51</v>
      </c>
    </row>
    <row r="27" ht="14.65" customHeight="1">
      <c r="Q27" s="539"/>
      <c r="R27" s="539"/>
      <c r="S27" s="303" t="str">
        <f>IF(org=0,"Не определено",org)</f>
        <v xml:space="preserve">АО "ДГК" СП "Биробиджанская ТЭЦ"</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418</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419</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420</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25.5" hidden="1" customHeight="1">
      <c r="A35" s="151"/>
      <c r="B35" s="151"/>
      <c r="C35" s="151"/>
      <c r="D35" s="151"/>
      <c r="E35" s="151"/>
      <c r="F35" s="151"/>
      <c r="G35" s="151"/>
      <c r="H35" s="151"/>
      <c r="I35" s="151"/>
      <c r="J35" s="151"/>
      <c r="K35" s="151"/>
      <c r="L35" s="481"/>
      <c r="M35" s="151"/>
      <c r="N35" s="151"/>
      <c r="O35" s="151"/>
      <c r="S35" s="542" t="s">
        <v>421</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422</v>
      </c>
      <c r="AD36" s="50"/>
      <c r="AE36" s="50"/>
      <c r="AF36" s="50"/>
      <c r="AG36" s="50"/>
      <c r="AH36" s="50"/>
      <c r="AI36" s="50"/>
      <c r="AJ36" s="50"/>
      <c r="AK36" s="57" t="s">
        <v>422</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295</v>
      </c>
      <c r="T38" s="157"/>
      <c r="U38" s="157"/>
      <c r="V38" s="157"/>
      <c r="W38" s="157"/>
      <c r="X38" s="157"/>
      <c r="Y38" s="157"/>
      <c r="Z38" s="157"/>
      <c r="AA38" s="157"/>
      <c r="AB38" s="157"/>
      <c r="AC38" s="157"/>
      <c r="AD38" s="157"/>
      <c r="AE38" s="157"/>
      <c r="AF38" s="157"/>
      <c r="AG38" s="157"/>
      <c r="AH38" s="157"/>
      <c r="AI38" s="157"/>
      <c r="AJ38" s="157"/>
      <c r="AK38" s="157"/>
      <c r="AL38" s="157"/>
      <c r="AM38" s="157" t="s">
        <v>296</v>
      </c>
      <c r="AS38" s="50">
        <v>14</v>
      </c>
    </row>
    <row r="39" ht="14.65" customHeight="1">
      <c r="Q39" s="539"/>
      <c r="R39" s="539"/>
      <c r="S39" s="484" t="s">
        <v>88</v>
      </c>
      <c r="T39" s="347" t="s">
        <v>423</v>
      </c>
      <c r="U39" s="549"/>
      <c r="V39" s="550" t="s">
        <v>424</v>
      </c>
      <c r="W39" s="551"/>
      <c r="X39" s="551"/>
      <c r="Y39" s="551"/>
      <c r="Z39" s="551"/>
      <c r="AA39" s="551"/>
      <c r="AB39" s="552"/>
      <c r="AC39" s="553" t="s">
        <v>425</v>
      </c>
      <c r="AD39" s="550" t="s">
        <v>424</v>
      </c>
      <c r="AE39" s="551"/>
      <c r="AF39" s="551"/>
      <c r="AG39" s="551"/>
      <c r="AH39" s="551"/>
      <c r="AI39" s="551"/>
      <c r="AJ39" s="552"/>
      <c r="AK39" s="553" t="s">
        <v>426</v>
      </c>
      <c r="AL39" s="554" t="s">
        <v>427</v>
      </c>
      <c r="AM39" s="157"/>
      <c r="AS39" s="50">
        <v>14</v>
      </c>
    </row>
    <row r="40" ht="35.649999999999999" customHeight="1">
      <c r="Q40" s="539"/>
      <c r="R40" s="539"/>
      <c r="S40" s="484"/>
      <c r="T40" s="347"/>
      <c r="U40" s="555"/>
      <c r="V40" s="307" t="s">
        <v>428</v>
      </c>
      <c r="W40" s="556"/>
      <c r="X40" s="73" t="s">
        <v>430</v>
      </c>
      <c r="Y40" s="72"/>
      <c r="Z40" s="73" t="s">
        <v>431</v>
      </c>
      <c r="AA40" s="145"/>
      <c r="AB40" s="72"/>
      <c r="AC40" s="557"/>
      <c r="AD40" s="307" t="s">
        <v>445</v>
      </c>
      <c r="AE40" s="556"/>
      <c r="AF40" s="73" t="s">
        <v>430</v>
      </c>
      <c r="AG40" s="72"/>
      <c r="AH40" s="73" t="s">
        <v>431</v>
      </c>
      <c r="AI40" s="145"/>
      <c r="AJ40" s="72"/>
      <c r="AK40" s="557"/>
      <c r="AL40" s="558"/>
      <c r="AM40" s="157"/>
      <c r="AS40" s="50">
        <v>34</v>
      </c>
    </row>
    <row r="41" ht="35.649999999999999" customHeight="1">
      <c r="A41" s="151"/>
      <c r="B41" s="151" t="s">
        <v>132</v>
      </c>
      <c r="C41" s="151" t="s">
        <v>133</v>
      </c>
      <c r="D41" s="151" t="s">
        <v>134</v>
      </c>
      <c r="E41" s="481" t="s">
        <v>432</v>
      </c>
      <c r="F41" s="481" t="s">
        <v>433</v>
      </c>
      <c r="G41" s="481" t="s">
        <v>434</v>
      </c>
      <c r="H41" s="481" t="s">
        <v>435</v>
      </c>
      <c r="I41" s="481" t="s">
        <v>436</v>
      </c>
      <c r="J41" s="481" t="s">
        <v>437</v>
      </c>
      <c r="K41" s="481" t="s">
        <v>438</v>
      </c>
      <c r="L41" s="481" t="s">
        <v>413</v>
      </c>
      <c r="Q41" s="539"/>
      <c r="R41" s="539"/>
      <c r="S41" s="484"/>
      <c r="T41" s="347"/>
      <c r="U41" s="559"/>
      <c r="V41" s="162"/>
      <c r="W41" s="560"/>
      <c r="X41" s="246" t="s">
        <v>439</v>
      </c>
      <c r="Y41" s="246" t="s">
        <v>440</v>
      </c>
      <c r="Z41" s="246" t="s">
        <v>441</v>
      </c>
      <c r="AA41" s="415" t="s">
        <v>442</v>
      </c>
      <c r="AB41" s="417"/>
      <c r="AC41" s="561"/>
      <c r="AD41" s="162"/>
      <c r="AE41" s="560"/>
      <c r="AF41" s="246" t="s">
        <v>439</v>
      </c>
      <c r="AG41" s="246" t="s">
        <v>440</v>
      </c>
      <c r="AH41" s="246" t="s">
        <v>441</v>
      </c>
      <c r="AI41" s="415" t="s">
        <v>442</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106</v>
      </c>
      <c r="T42" s="567" t="s">
        <v>107</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183</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120</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7"/>
        <v xml:space="preserve">Наименование тарифа</v>
      </c>
      <c r="AQ43" s="129"/>
      <c r="AR43" s="129"/>
      <c r="AS43" s="50">
        <v>21</v>
      </c>
    </row>
    <row r="44" ht="22" customHeight="1">
      <c r="A44" s="479" t="s">
        <v>183</v>
      </c>
      <c r="B44" s="479" t="s">
        <v>184</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392</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393</v>
      </c>
      <c r="AO44" s="129"/>
      <c r="AP44" s="129" t="str">
        <f t="shared" si="17"/>
        <v xml:space="preserve">Территория действия тарифа</v>
      </c>
      <c r="AQ44" s="129"/>
      <c r="AR44" s="129"/>
      <c r="AS44" s="50">
        <v>21</v>
      </c>
    </row>
    <row r="45" ht="24" customHeight="1">
      <c r="A45" s="479" t="s">
        <v>183</v>
      </c>
      <c r="B45" s="479" t="s">
        <v>184</v>
      </c>
      <c r="C45" s="479" t="s">
        <v>185</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394</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395</v>
      </c>
      <c r="AO45" s="129"/>
      <c r="AP45" s="129" t="str">
        <f t="shared" si="17"/>
        <v xml:space="preserve">Наименование системы теплоснабжения </v>
      </c>
      <c r="AQ45" s="129"/>
      <c r="AR45" s="129"/>
      <c r="AS45" s="50">
        <v>23</v>
      </c>
    </row>
    <row r="46" ht="22" customHeight="1">
      <c r="A46" s="479" t="s">
        <v>183</v>
      </c>
      <c r="B46" s="479" t="s">
        <v>184</v>
      </c>
      <c r="C46" s="479" t="s">
        <v>185</v>
      </c>
      <c r="D46" s="479" t="s">
        <v>186</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396</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397</v>
      </c>
      <c r="AO46" s="129"/>
      <c r="AP46" s="129" t="str">
        <f t="shared" si="17"/>
        <v xml:space="preserve">Источник тепловой энергии  </v>
      </c>
      <c r="AQ46" s="129"/>
      <c r="AR46" s="129"/>
      <c r="AS46" s="50">
        <v>21</v>
      </c>
    </row>
    <row r="47" s="57" customFormat="1" ht="0" customHeight="1">
      <c r="A47" s="133" t="s">
        <v>183</v>
      </c>
      <c r="B47" s="133" t="s">
        <v>184</v>
      </c>
      <c r="C47" s="133" t="s">
        <v>185</v>
      </c>
      <c r="D47" s="133" t="s">
        <v>186</v>
      </c>
      <c r="E47" s="491"/>
      <c r="F47" s="491"/>
      <c r="G47" s="491"/>
      <c r="H47" s="491"/>
      <c r="I47" s="498" t="str">
        <f>S46&amp;".1"</f>
        <v>....1</v>
      </c>
      <c r="J47" s="133"/>
      <c r="K47" s="133"/>
      <c r="L47" s="212" t="s">
        <v>398</v>
      </c>
      <c r="M47" s="596"/>
      <c r="N47" s="596"/>
      <c r="O47" s="596"/>
      <c r="P47" s="132">
        <v>1</v>
      </c>
      <c r="Q47" s="132"/>
      <c r="R47" s="499"/>
      <c r="S47" s="351"/>
      <c r="T47" s="586"/>
      <c r="U47" s="587"/>
      <c r="V47" s="588"/>
      <c r="W47" s="589"/>
      <c r="X47" s="589"/>
      <c r="Y47" s="589"/>
      <c r="Z47" s="589"/>
      <c r="AA47" s="589"/>
      <c r="AB47" s="589"/>
      <c r="AC47" s="590"/>
      <c r="AD47" s="588"/>
      <c r="AE47" s="589"/>
      <c r="AF47" s="589"/>
      <c r="AG47" s="589"/>
      <c r="AH47" s="589"/>
      <c r="AI47" s="589"/>
      <c r="AJ47" s="589"/>
      <c r="AK47" s="589"/>
      <c r="AL47" s="590"/>
      <c r="AM47" s="591"/>
      <c r="AO47" s="129"/>
      <c r="AP47" s="129" t="str">
        <f t="shared" si="17"/>
        <v/>
      </c>
      <c r="AQ47" s="129"/>
      <c r="AR47" s="129"/>
      <c r="AS47" s="57">
        <v>0</v>
      </c>
    </row>
    <row r="48" ht="22" customHeight="1">
      <c r="A48" s="479" t="s">
        <v>183</v>
      </c>
      <c r="B48" s="479" t="s">
        <v>184</v>
      </c>
      <c r="C48" s="479" t="s">
        <v>185</v>
      </c>
      <c r="D48" s="479" t="s">
        <v>186</v>
      </c>
      <c r="E48" s="491"/>
      <c r="F48" s="491"/>
      <c r="G48" s="491"/>
      <c r="H48" s="491"/>
      <c r="I48" s="503"/>
      <c r="J48" s="498" t="str">
        <f>S46&amp;".1"</f>
        <v>....1</v>
      </c>
      <c r="K48" s="479"/>
      <c r="L48" s="481" t="s">
        <v>401</v>
      </c>
      <c r="P48" s="132"/>
      <c r="Q48" s="132">
        <v>1</v>
      </c>
      <c r="R48" s="504"/>
      <c r="S48" s="484" t="str">
        <f>$J48</f>
        <v>....1</v>
      </c>
      <c r="T48" s="505" t="s">
        <v>402</v>
      </c>
      <c r="U48" s="486"/>
      <c r="V48" s="431"/>
      <c r="W48" s="501"/>
      <c r="X48" s="501"/>
      <c r="Y48" s="501"/>
      <c r="Z48" s="501"/>
      <c r="AA48" s="501"/>
      <c r="AB48" s="501"/>
      <c r="AC48" s="502"/>
      <c r="AD48" s="431"/>
      <c r="AE48" s="501"/>
      <c r="AF48" s="501"/>
      <c r="AG48" s="501"/>
      <c r="AH48" s="501"/>
      <c r="AI48" s="501"/>
      <c r="AJ48" s="501"/>
      <c r="AK48" s="501"/>
      <c r="AL48" s="502"/>
      <c r="AM48" s="490" t="s">
        <v>403</v>
      </c>
      <c r="AO48" s="129"/>
      <c r="AP48" s="129" t="str">
        <f t="shared" si="17"/>
        <v xml:space="preserve">Группа потребителей</v>
      </c>
      <c r="AQ48" s="129"/>
      <c r="AR48" s="129"/>
      <c r="AS48" s="50">
        <v>21</v>
      </c>
    </row>
    <row r="49" ht="22" customHeight="1">
      <c r="A49" s="479" t="s">
        <v>183</v>
      </c>
      <c r="B49" s="479" t="s">
        <v>184</v>
      </c>
      <c r="C49" s="479" t="s">
        <v>185</v>
      </c>
      <c r="D49" s="479" t="s">
        <v>186</v>
      </c>
      <c r="E49" s="491"/>
      <c r="F49" s="491"/>
      <c r="G49" s="491"/>
      <c r="H49" s="491"/>
      <c r="I49" s="503"/>
      <c r="J49" s="503"/>
      <c r="K49" s="498" t="str">
        <f>J48&amp;".1"</f>
        <v>....1.1</v>
      </c>
      <c r="L49" s="481" t="s">
        <v>404</v>
      </c>
      <c r="P49" s="132"/>
      <c r="Q49" s="132"/>
      <c r="R49" s="504">
        <v>1</v>
      </c>
      <c r="S49" s="484" t="str">
        <f>$K49</f>
        <v>....1.1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446</v>
      </c>
      <c r="AN49" s="57" t="e">
        <f>STRCHECKDATE(V50:AL50)</f>
        <v>#NAME?</v>
      </c>
      <c r="AO49" s="129"/>
      <c r="AP49" s="129" t="str">
        <f t="shared" si="17"/>
        <v/>
      </c>
      <c r="AQ49" s="129"/>
      <c r="AR49" s="129"/>
      <c r="AS49" s="50">
        <v>21</v>
      </c>
    </row>
    <row r="50" ht="0" customHeight="1">
      <c r="A50" s="479" t="s">
        <v>183</v>
      </c>
      <c r="B50" s="479" t="s">
        <v>184</v>
      </c>
      <c r="C50" s="479" t="s">
        <v>185</v>
      </c>
      <c r="D50" s="479" t="s">
        <v>186</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7"/>
        <v/>
      </c>
      <c r="AQ50" s="129"/>
      <c r="AR50" s="129"/>
      <c r="AS50" s="50">
        <v>0</v>
      </c>
    </row>
    <row r="51" ht="11.5" customHeight="1">
      <c r="A51" s="479" t="s">
        <v>183</v>
      </c>
      <c r="B51" s="479" t="s">
        <v>184</v>
      </c>
      <c r="C51" s="479" t="s">
        <v>185</v>
      </c>
      <c r="D51" s="479" t="s">
        <v>186</v>
      </c>
      <c r="E51" s="491"/>
      <c r="F51" s="491"/>
      <c r="G51" s="491"/>
      <c r="H51" s="491"/>
      <c r="I51" s="503"/>
      <c r="J51" s="498"/>
      <c r="K51" s="479"/>
      <c r="L51" s="481"/>
      <c r="P51" s="132"/>
      <c r="Q51" s="132"/>
      <c r="R51" s="499"/>
      <c r="S51" s="515"/>
      <c r="T51" s="519" t="s">
        <v>406</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7"/>
        <v xml:space="preserve">Добавить вид теплоносителя (параметры теплоносителя)</v>
      </c>
      <c r="AQ51" s="129"/>
      <c r="AR51" s="129"/>
      <c r="AS51" s="50">
        <v>11</v>
      </c>
    </row>
    <row r="52" ht="11.5" customHeight="1">
      <c r="A52" s="479" t="s">
        <v>183</v>
      </c>
      <c r="B52" s="479" t="s">
        <v>184</v>
      </c>
      <c r="C52" s="479" t="s">
        <v>185</v>
      </c>
      <c r="D52" s="479" t="s">
        <v>186</v>
      </c>
      <c r="E52" s="491"/>
      <c r="F52" s="491"/>
      <c r="G52" s="491"/>
      <c r="H52" s="491"/>
      <c r="I52" s="498"/>
      <c r="J52" s="479"/>
      <c r="K52" s="479"/>
      <c r="L52" s="481"/>
      <c r="P52" s="132"/>
      <c r="Q52" s="132"/>
      <c r="R52" s="499"/>
      <c r="S52" s="515"/>
      <c r="T52" s="523" t="s">
        <v>407</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7"/>
        <v xml:space="preserve">Добавить группу потребителей</v>
      </c>
      <c r="AQ52" s="129"/>
      <c r="AR52" s="129"/>
      <c r="AS52" s="50">
        <v>11</v>
      </c>
    </row>
    <row r="53" ht="0" customHeight="1">
      <c r="A53" s="479" t="s">
        <v>183</v>
      </c>
      <c r="B53" s="479" t="s">
        <v>184</v>
      </c>
      <c r="C53" s="479" t="s">
        <v>185</v>
      </c>
      <c r="D53" s="479" t="s">
        <v>186</v>
      </c>
      <c r="E53" s="491"/>
      <c r="F53" s="491"/>
      <c r="G53" s="491"/>
      <c r="H53" s="480"/>
      <c r="I53" s="479"/>
      <c r="J53" s="479"/>
      <c r="K53" s="479"/>
      <c r="L53" s="481"/>
      <c r="M53" s="482"/>
      <c r="N53" s="482"/>
      <c r="O53" s="53"/>
      <c r="P53" s="143"/>
      <c r="Q53" s="522"/>
      <c r="R53" s="483"/>
      <c r="S53" s="592"/>
      <c r="T53" s="593"/>
      <c r="U53" s="594"/>
      <c r="V53" s="594"/>
      <c r="W53" s="594"/>
      <c r="X53" s="594"/>
      <c r="Y53" s="594"/>
      <c r="Z53" s="594"/>
      <c r="AA53" s="594"/>
      <c r="AB53" s="594"/>
      <c r="AC53" s="594"/>
      <c r="AD53" s="594"/>
      <c r="AE53" s="594"/>
      <c r="AF53" s="594"/>
      <c r="AG53" s="594"/>
      <c r="AH53" s="594"/>
      <c r="AI53" s="594"/>
      <c r="AJ53" s="594"/>
      <c r="AK53" s="594"/>
      <c r="AL53" s="594"/>
      <c r="AM53" s="595"/>
      <c r="AO53" s="129"/>
      <c r="AP53" s="129" t="str">
        <f t="shared" si="17"/>
        <v/>
      </c>
      <c r="AQ53" s="129"/>
      <c r="AR53" s="129"/>
      <c r="AS53" s="50">
        <v>0</v>
      </c>
    </row>
    <row r="54" s="57" customFormat="1" ht="0" customHeight="1">
      <c r="A54" s="133" t="s">
        <v>183</v>
      </c>
      <c r="B54" s="133" t="s">
        <v>184</v>
      </c>
      <c r="C54" s="133" t="s">
        <v>185</v>
      </c>
      <c r="D54" s="133"/>
      <c r="E54" s="491"/>
      <c r="F54" s="491"/>
      <c r="G54" s="480"/>
      <c r="H54" s="133"/>
      <c r="I54" s="133"/>
      <c r="J54" s="133"/>
      <c r="K54" s="133"/>
      <c r="L54" s="212"/>
      <c r="M54" s="464"/>
      <c r="N54" s="464"/>
      <c r="P54" s="167"/>
      <c r="Q54" s="524"/>
      <c r="R54" s="167"/>
      <c r="S54" s="529"/>
      <c r="T54" s="532" t="s">
        <v>409</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7"/>
        <v xml:space="preserve">Добавить источник для дифференциации</v>
      </c>
      <c r="AQ54" s="129"/>
      <c r="AR54" s="129"/>
      <c r="AS54" s="57">
        <v>0</v>
      </c>
    </row>
    <row r="55" s="57" customFormat="1" ht="0" customHeight="1">
      <c r="A55" s="133" t="s">
        <v>183</v>
      </c>
      <c r="B55" s="133" t="s">
        <v>184</v>
      </c>
      <c r="C55" s="133"/>
      <c r="D55" s="133"/>
      <c r="E55" s="491"/>
      <c r="F55" s="480"/>
      <c r="G55" s="133"/>
      <c r="H55" s="133"/>
      <c r="I55" s="133"/>
      <c r="J55" s="133"/>
      <c r="K55" s="133"/>
      <c r="L55" s="212"/>
      <c r="M55" s="528"/>
      <c r="N55" s="528"/>
      <c r="P55" s="167"/>
      <c r="Q55" s="524"/>
      <c r="R55" s="167"/>
      <c r="S55" s="529"/>
      <c r="T55" s="532" t="s">
        <v>410</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7"/>
        <v xml:space="preserve">Добавить централизованную систему для дифференциации</v>
      </c>
      <c r="AQ55" s="129"/>
      <c r="AR55" s="129"/>
      <c r="AS55" s="57">
        <v>0</v>
      </c>
    </row>
    <row r="56" s="57" customFormat="1" ht="0" customHeight="1">
      <c r="A56" s="133" t="s">
        <v>183</v>
      </c>
      <c r="B56" s="133"/>
      <c r="C56" s="133"/>
      <c r="D56" s="133"/>
      <c r="E56" s="480"/>
      <c r="F56" s="133"/>
      <c r="G56" s="133"/>
      <c r="H56" s="133"/>
      <c r="I56" s="133"/>
      <c r="J56" s="133"/>
      <c r="K56" s="133"/>
      <c r="L56" s="212"/>
      <c r="M56" s="528"/>
      <c r="N56" s="528"/>
      <c r="O56" s="57"/>
      <c r="P56" s="167"/>
      <c r="Q56" s="524"/>
      <c r="R56" s="167"/>
      <c r="S56" s="529"/>
      <c r="T56" s="532" t="s">
        <v>411</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7"/>
        <v xml:space="preserve">Добавить территорию для дифференциации</v>
      </c>
      <c r="AQ56" s="129"/>
      <c r="AR56" s="129"/>
      <c r="AS56" s="57">
        <v>0</v>
      </c>
    </row>
    <row r="57" s="57" customFormat="1" ht="4.2000000000000002" customHeight="1">
      <c r="A57" s="133"/>
      <c r="B57" s="133"/>
      <c r="C57" s="133"/>
      <c r="D57" s="133"/>
      <c r="E57" s="133"/>
      <c r="F57" s="133"/>
      <c r="G57" s="133"/>
      <c r="H57" s="133"/>
      <c r="I57" s="133"/>
      <c r="J57" s="133"/>
      <c r="K57" s="133"/>
      <c r="L57" s="212"/>
      <c r="M57" s="528"/>
      <c r="N57" s="528"/>
      <c r="P57" s="167"/>
      <c r="Q57" s="524"/>
      <c r="R57" s="167"/>
      <c r="S57" s="529"/>
      <c r="T57" s="532" t="s">
        <v>443</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7"/>
        <v xml:space="preserve">Добавить наименование тарифа</v>
      </c>
      <c r="AQ57" s="129"/>
      <c r="AR57" s="129"/>
      <c r="AS57" s="57">
        <v>4</v>
      </c>
    </row>
    <row r="58" ht="11.5" customHeight="1">
      <c r="M58" s="53"/>
      <c r="N58" s="53"/>
      <c r="O58" s="53"/>
      <c r="P58" s="50"/>
      <c r="Q58" s="50"/>
      <c r="R58" s="50"/>
      <c r="S58" s="50"/>
      <c r="AN58" s="50"/>
      <c r="AO58" s="50"/>
      <c r="AP58" s="50"/>
      <c r="AQ58" s="50"/>
      <c r="AR58" s="50"/>
      <c r="AS58" s="50">
        <v>11</v>
      </c>
    </row>
    <row r="59" ht="14.6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14</v>
      </c>
    </row>
    <row r="60" ht="14.6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14</v>
      </c>
    </row>
    <row r="61" ht="14.65" customHeight="1">
      <c r="O61" s="53"/>
      <c r="T61" s="574"/>
      <c r="U61" s="574"/>
      <c r="V61" s="574"/>
      <c r="W61" s="574"/>
      <c r="X61" s="574"/>
      <c r="Y61" s="574"/>
      <c r="Z61" s="574"/>
      <c r="AA61" s="574"/>
      <c r="AB61" s="574"/>
      <c r="AC61" s="574"/>
      <c r="AD61" s="574"/>
      <c r="AE61" s="574"/>
      <c r="AF61" s="574"/>
      <c r="AG61" s="574"/>
      <c r="AH61" s="574"/>
      <c r="AI61" s="574"/>
      <c r="AJ61" s="574"/>
      <c r="AK61" s="574"/>
      <c r="AL61" s="574"/>
      <c r="AM61" s="574"/>
      <c r="AS61" s="50">
        <v>14</v>
      </c>
    </row>
    <row r="62" ht="14.65" customHeight="1">
      <c r="O62" s="53"/>
      <c r="AS62" s="50">
        <v>14</v>
      </c>
    </row>
    <row r="63" ht="14.65" customHeight="1">
      <c r="O63" s="53"/>
      <c r="S63" s="476"/>
      <c r="T63" s="290"/>
      <c r="U63" s="574"/>
      <c r="V63" s="574"/>
      <c r="W63" s="574"/>
      <c r="X63" s="574"/>
      <c r="Y63" s="574"/>
      <c r="Z63" s="574"/>
      <c r="AA63" s="574"/>
      <c r="AB63" s="574"/>
      <c r="AC63" s="574"/>
      <c r="AD63" s="574"/>
      <c r="AE63" s="574"/>
      <c r="AF63" s="574"/>
      <c r="AG63" s="574"/>
      <c r="AH63" s="574"/>
      <c r="AI63" s="574"/>
      <c r="AJ63" s="574"/>
      <c r="AK63" s="574"/>
      <c r="AL63" s="574"/>
      <c r="AM63" s="574"/>
      <c r="AS63" s="50">
        <v>14</v>
      </c>
    </row>
    <row r="64" ht="14.65" customHeight="1">
      <c r="O64" s="53"/>
      <c r="T64" s="574"/>
      <c r="U64" s="574"/>
      <c r="V64" s="574"/>
      <c r="W64" s="574"/>
      <c r="X64" s="574"/>
      <c r="Y64" s="574"/>
      <c r="Z64" s="574"/>
      <c r="AA64" s="574"/>
      <c r="AB64" s="574"/>
      <c r="AC64" s="574"/>
      <c r="AD64" s="574"/>
      <c r="AE64" s="574"/>
      <c r="AF64" s="574"/>
      <c r="AG64" s="574"/>
      <c r="AH64" s="574"/>
      <c r="AI64" s="574"/>
      <c r="AJ64" s="574"/>
      <c r="AK64" s="574"/>
      <c r="AL64" s="574"/>
      <c r="AM64" s="574"/>
      <c r="AS64" s="50">
        <v>14</v>
      </c>
    </row>
    <row r="65" ht="14.65" customHeight="1">
      <c r="T65" s="574"/>
      <c r="U65" s="574"/>
      <c r="V65" s="574"/>
      <c r="W65" s="574"/>
      <c r="X65" s="574"/>
      <c r="Y65" s="574"/>
      <c r="Z65" s="574"/>
      <c r="AA65" s="574"/>
      <c r="AB65" s="574"/>
      <c r="AC65" s="574"/>
      <c r="AD65" s="574"/>
      <c r="AE65" s="574"/>
      <c r="AF65" s="574"/>
      <c r="AG65" s="574"/>
      <c r="AH65" s="574"/>
      <c r="AI65" s="574"/>
      <c r="AJ65" s="574"/>
      <c r="AK65" s="574"/>
      <c r="AL65" s="574"/>
      <c r="AM65" s="574"/>
      <c r="AS65" s="50">
        <v>14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78">
        <v>3</v>
      </c>
      <c r="R66" s="47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F0034-0025-413E-A910-0097003C002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9F00AF-00D4-4F8B-8B5C-0041006D00FA}"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80073-0088-4AF7-B3A1-00E8002E000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1000A-00C5-40E3-B8EE-00BB00CB001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78"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4"/>
      <c r="B2" s="264"/>
      <c r="C2" s="264"/>
      <c r="D2" s="264"/>
      <c r="E2" s="575">
        <v>1</v>
      </c>
      <c r="F2" s="264"/>
      <c r="G2" s="264"/>
      <c r="H2" s="264"/>
      <c r="I2" s="264"/>
      <c r="J2" s="264"/>
      <c r="K2" s="264"/>
      <c r="L2" s="264"/>
      <c r="M2" s="322"/>
      <c r="N2" s="86"/>
      <c r="O2" s="86"/>
      <c r="P2" s="86"/>
      <c r="Q2" s="60"/>
      <c r="R2" s="143"/>
      <c r="S2" s="143"/>
      <c r="T2" s="483"/>
      <c r="U2" s="484" t="e">
        <f>INDEX(PT_DIFFERENTIATION_NUM_NTAR,MATCH(A2,PT_DIFFERENTIATION_NTAR_ID,0))</f>
        <v>#VALUE!</v>
      </c>
      <c r="V2" s="485" t="s">
        <v>120</v>
      </c>
      <c r="W2" s="486"/>
      <c r="X2" s="487"/>
      <c r="Y2" s="488"/>
      <c r="Z2" s="488"/>
      <c r="AA2" s="488"/>
      <c r="AB2" s="488"/>
      <c r="AC2" s="488"/>
      <c r="AD2" s="488"/>
      <c r="AE2" s="488"/>
      <c r="AF2" s="489"/>
      <c r="AG2" s="487" t="e">
        <f>INDEX(PT_DIFFERENTIATION_NTAR,MATCH(A2,PT_DIFFERENTIATION_NTAR_ID,0))</f>
        <v>#VALUE!</v>
      </c>
      <c r="AH2" s="488"/>
      <c r="AI2" s="488"/>
      <c r="AJ2" s="488"/>
      <c r="AK2" s="488"/>
      <c r="AL2" s="488"/>
      <c r="AM2" s="488"/>
      <c r="AN2" s="488"/>
      <c r="AO2" s="488"/>
      <c r="AP2" s="489"/>
      <c r="AQ2" s="490" t="s">
        <v>391</v>
      </c>
      <c r="AS2" s="129"/>
      <c r="AT2" s="129" t="str">
        <f t="shared" ref="AT2:AT8" si="18">IF(V2="","",V2)</f>
        <v xml:space="preserve">Наименование тарифа</v>
      </c>
      <c r="AU2" s="129"/>
      <c r="AV2" s="129"/>
      <c r="AW2" s="50">
        <v>0</v>
      </c>
    </row>
    <row r="3" ht="21" hidden="1" customHeight="1">
      <c r="A3" s="264"/>
      <c r="B3" s="264"/>
      <c r="C3" s="264"/>
      <c r="D3" s="264"/>
      <c r="E3" s="576"/>
      <c r="F3" s="575">
        <v>1</v>
      </c>
      <c r="G3" s="264"/>
      <c r="H3" s="264"/>
      <c r="I3" s="264"/>
      <c r="J3" s="264"/>
      <c r="K3" s="264"/>
      <c r="L3" s="264"/>
      <c r="M3" s="322"/>
      <c r="N3" s="86"/>
      <c r="O3" s="86"/>
      <c r="P3" s="86"/>
      <c r="Q3" s="51"/>
      <c r="R3" s="492"/>
      <c r="S3" s="50"/>
      <c r="T3" s="493"/>
      <c r="U3" s="484" t="e">
        <f>INDEX(PT_DIFFERENTIATION_NUM_TER,MATCH(B3,PT_DIFFERENTIATION_TER_ID,0))</f>
        <v>#VALUE!</v>
      </c>
      <c r="V3" s="494" t="s">
        <v>392</v>
      </c>
      <c r="W3" s="486"/>
      <c r="X3" s="487"/>
      <c r="Y3" s="488"/>
      <c r="Z3" s="488"/>
      <c r="AA3" s="488"/>
      <c r="AB3" s="488"/>
      <c r="AC3" s="488"/>
      <c r="AD3" s="488"/>
      <c r="AE3" s="488"/>
      <c r="AF3" s="489"/>
      <c r="AG3" s="487" t="e">
        <f>INDEX(PT_DIFFERENTIATION_TER,MATCH(B3,PT_DIFFERENTIATION_TER_ID,0))</f>
        <v>#VALUE!</v>
      </c>
      <c r="AH3" s="488"/>
      <c r="AI3" s="488"/>
      <c r="AJ3" s="488"/>
      <c r="AK3" s="488"/>
      <c r="AL3" s="488"/>
      <c r="AM3" s="488"/>
      <c r="AN3" s="488"/>
      <c r="AO3" s="488"/>
      <c r="AP3" s="489"/>
      <c r="AQ3" s="490" t="s">
        <v>393</v>
      </c>
      <c r="AS3" s="129"/>
      <c r="AT3" s="129" t="str">
        <f t="shared" si="18"/>
        <v xml:space="preserve">Территория действия тарифа</v>
      </c>
      <c r="AU3" s="129"/>
      <c r="AV3" s="129"/>
      <c r="AW3" s="50">
        <v>0</v>
      </c>
    </row>
    <row r="4" ht="22.5" hidden="1" customHeight="1">
      <c r="A4" s="264"/>
      <c r="B4" s="264"/>
      <c r="C4" s="264"/>
      <c r="D4" s="264"/>
      <c r="E4" s="576"/>
      <c r="F4" s="576"/>
      <c r="G4" s="575">
        <v>1</v>
      </c>
      <c r="H4" s="264"/>
      <c r="I4" s="264"/>
      <c r="J4" s="264"/>
      <c r="K4" s="264"/>
      <c r="L4" s="264"/>
      <c r="M4" s="322"/>
      <c r="N4" s="86"/>
      <c r="O4" s="86"/>
      <c r="P4" s="86"/>
      <c r="Q4" s="495"/>
      <c r="R4" s="492"/>
      <c r="S4" s="50"/>
      <c r="T4" s="493"/>
      <c r="U4" s="484" t="e">
        <f>INDEX(PT_DIFFERENTIATION_NUM_CS,MATCH(C4,PT_DIFFERENTIATION_CS_ID,0))</f>
        <v>#VALUE!</v>
      </c>
      <c r="V4" s="496" t="s">
        <v>394</v>
      </c>
      <c r="W4" s="486"/>
      <c r="X4" s="487"/>
      <c r="Y4" s="488"/>
      <c r="Z4" s="488"/>
      <c r="AA4" s="488"/>
      <c r="AB4" s="488"/>
      <c r="AC4" s="488"/>
      <c r="AD4" s="488"/>
      <c r="AE4" s="488"/>
      <c r="AF4" s="489"/>
      <c r="AG4" s="487" t="e">
        <f>INDEX(PT_DIFFERENTIATION_CS,MATCH(C4,PT_DIFFERENTIATION_CS_ID,0))</f>
        <v>#VALUE!</v>
      </c>
      <c r="AH4" s="488"/>
      <c r="AI4" s="488"/>
      <c r="AJ4" s="488"/>
      <c r="AK4" s="488"/>
      <c r="AL4" s="488"/>
      <c r="AM4" s="488"/>
      <c r="AN4" s="488"/>
      <c r="AO4" s="488"/>
      <c r="AP4" s="489"/>
      <c r="AQ4" s="490" t="s">
        <v>395</v>
      </c>
      <c r="AS4" s="129"/>
      <c r="AT4" s="129" t="str">
        <f t="shared" si="18"/>
        <v xml:space="preserve">Наименование системы теплоснабжения </v>
      </c>
      <c r="AU4" s="129"/>
      <c r="AV4" s="129"/>
      <c r="AW4" s="50">
        <v>0</v>
      </c>
    </row>
    <row r="5" ht="21" hidden="1" customHeight="1">
      <c r="A5" s="264"/>
      <c r="B5" s="264"/>
      <c r="C5" s="264"/>
      <c r="D5" s="264"/>
      <c r="E5" s="576"/>
      <c r="F5" s="576"/>
      <c r="G5" s="576"/>
      <c r="H5" s="575">
        <v>1</v>
      </c>
      <c r="I5" s="264"/>
      <c r="J5" s="264"/>
      <c r="K5" s="264"/>
      <c r="L5" s="264"/>
      <c r="M5" s="322"/>
      <c r="N5" s="86"/>
      <c r="O5" s="86"/>
      <c r="P5" s="86"/>
      <c r="Q5" s="495"/>
      <c r="R5" s="492"/>
      <c r="S5" s="50"/>
      <c r="T5" s="493"/>
      <c r="U5" s="484" t="e">
        <f>INDEX(PT_DIFFERENTIATION_NUM_IST_TE,MATCH(D5,PT_DIFFERENTIATION_IST_TE_ID,0))</f>
        <v>#VALUE!</v>
      </c>
      <c r="V5" s="497" t="s">
        <v>396</v>
      </c>
      <c r="W5" s="486"/>
      <c r="X5" s="487"/>
      <c r="Y5" s="488"/>
      <c r="Z5" s="488"/>
      <c r="AA5" s="488"/>
      <c r="AB5" s="488"/>
      <c r="AC5" s="488"/>
      <c r="AD5" s="488"/>
      <c r="AE5" s="488"/>
      <c r="AF5" s="489"/>
      <c r="AG5" s="487" t="e">
        <f>INDEX(PT_DIFFERENTIATION_IST_TE,MATCH(D5,PT_DIFFERENTIATION_IST_TE_ID,0))</f>
        <v>#VALUE!</v>
      </c>
      <c r="AH5" s="488"/>
      <c r="AI5" s="488"/>
      <c r="AJ5" s="488"/>
      <c r="AK5" s="488"/>
      <c r="AL5" s="488"/>
      <c r="AM5" s="488"/>
      <c r="AN5" s="488"/>
      <c r="AO5" s="488"/>
      <c r="AP5" s="489"/>
      <c r="AQ5" s="490" t="s">
        <v>397</v>
      </c>
      <c r="AS5" s="129"/>
      <c r="AT5" s="129" t="str">
        <f t="shared" si="18"/>
        <v xml:space="preserve">Источник тепловой энергии  </v>
      </c>
      <c r="AU5" s="129"/>
      <c r="AV5" s="129"/>
      <c r="AW5" s="50">
        <v>0</v>
      </c>
    </row>
    <row r="6" ht="14.25" hidden="1" customHeight="1">
      <c r="A6" s="264"/>
      <c r="B6" s="264"/>
      <c r="C6" s="264"/>
      <c r="D6" s="264"/>
      <c r="E6" s="576"/>
      <c r="F6" s="576"/>
      <c r="G6" s="576"/>
      <c r="H6" s="576"/>
      <c r="I6" s="157" t="e">
        <f>U5&amp;".1"</f>
        <v>#VALUE!</v>
      </c>
      <c r="J6" s="264"/>
      <c r="K6" s="264"/>
      <c r="L6" s="264"/>
      <c r="M6" s="322" t="s">
        <v>398</v>
      </c>
      <c r="N6" s="50"/>
      <c r="Q6" s="132">
        <v>1</v>
      </c>
      <c r="R6" s="132"/>
      <c r="S6" s="132"/>
      <c r="T6" s="499"/>
      <c r="U6" s="351"/>
      <c r="V6" s="586"/>
      <c r="W6" s="587"/>
      <c r="X6" s="588"/>
      <c r="Y6" s="589"/>
      <c r="Z6" s="589"/>
      <c r="AA6" s="589"/>
      <c r="AB6" s="589"/>
      <c r="AC6" s="589"/>
      <c r="AD6" s="589"/>
      <c r="AE6" s="589"/>
      <c r="AF6" s="590"/>
      <c r="AG6" s="588"/>
      <c r="AH6" s="589"/>
      <c r="AI6" s="589"/>
      <c r="AJ6" s="589"/>
      <c r="AK6" s="589"/>
      <c r="AL6" s="589"/>
      <c r="AM6" s="589"/>
      <c r="AN6" s="589"/>
      <c r="AO6" s="589"/>
      <c r="AP6" s="590"/>
      <c r="AQ6" s="591"/>
      <c r="AS6" s="129"/>
      <c r="AT6" s="129" t="str">
        <f t="shared" si="18"/>
        <v/>
      </c>
      <c r="AU6" s="129"/>
      <c r="AV6" s="129"/>
      <c r="AW6" s="50">
        <v>0</v>
      </c>
    </row>
    <row r="7" ht="21" hidden="1" customHeight="1">
      <c r="A7" s="264"/>
      <c r="B7" s="264"/>
      <c r="C7" s="264"/>
      <c r="D7" s="264"/>
      <c r="E7" s="576"/>
      <c r="F7" s="576"/>
      <c r="G7" s="576"/>
      <c r="H7" s="576"/>
      <c r="I7" s="73"/>
      <c r="J7" s="157" t="e">
        <f>I6&amp;".1"</f>
        <v>#VALUE!</v>
      </c>
      <c r="K7" s="264"/>
      <c r="L7" s="264"/>
      <c r="M7" s="322" t="s">
        <v>401</v>
      </c>
      <c r="N7" s="50"/>
      <c r="O7" s="50"/>
      <c r="Q7" s="132"/>
      <c r="R7" s="132">
        <v>1</v>
      </c>
      <c r="S7" s="57"/>
      <c r="T7" s="504"/>
      <c r="U7" s="484" t="e">
        <f>$J7</f>
        <v>#VALUE!</v>
      </c>
      <c r="V7" s="505" t="s">
        <v>402</v>
      </c>
      <c r="W7" s="486"/>
      <c r="X7" s="431"/>
      <c r="Y7" s="501"/>
      <c r="Z7" s="501"/>
      <c r="AA7" s="501"/>
      <c r="AB7" s="501"/>
      <c r="AC7" s="446"/>
      <c r="AD7" s="446"/>
      <c r="AE7" s="446"/>
      <c r="AF7" s="614"/>
      <c r="AG7" s="431"/>
      <c r="AH7" s="501"/>
      <c r="AI7" s="501"/>
      <c r="AJ7" s="501"/>
      <c r="AK7" s="501"/>
      <c r="AL7" s="501"/>
      <c r="AM7" s="501"/>
      <c r="AN7" s="501"/>
      <c r="AO7" s="501"/>
      <c r="AP7" s="502"/>
      <c r="AQ7" s="490" t="s">
        <v>403</v>
      </c>
      <c r="AS7" s="129"/>
      <c r="AT7" s="129" t="str">
        <f t="shared" si="18"/>
        <v xml:space="preserve">Группа потребителей</v>
      </c>
      <c r="AU7" s="129"/>
      <c r="AV7" s="129"/>
      <c r="AW7" s="50">
        <v>0</v>
      </c>
    </row>
    <row r="8" ht="21" hidden="1" customHeight="1">
      <c r="A8" s="264"/>
      <c r="B8" s="264"/>
      <c r="C8" s="264"/>
      <c r="D8" s="264"/>
      <c r="E8" s="576"/>
      <c r="F8" s="576"/>
      <c r="G8" s="576"/>
      <c r="H8" s="576"/>
      <c r="I8" s="73"/>
      <c r="J8" s="73"/>
      <c r="K8" s="157" t="e">
        <f>J7&amp;".1"</f>
        <v>#VALUE!</v>
      </c>
      <c r="L8" s="51"/>
      <c r="M8" s="322" t="s">
        <v>404</v>
      </c>
      <c r="N8" s="50"/>
      <c r="O8" s="50"/>
      <c r="P8" s="50"/>
      <c r="Q8" s="132"/>
      <c r="R8" s="132"/>
      <c r="S8" s="132">
        <v>1</v>
      </c>
      <c r="T8" s="504"/>
      <c r="U8" s="484" t="e">
        <f>$K8</f>
        <v>#VALUE!</v>
      </c>
      <c r="V8" s="506"/>
      <c r="W8" s="486"/>
      <c r="X8" s="507"/>
      <c r="Y8" s="507"/>
      <c r="Z8" s="507"/>
      <c r="AA8" s="507"/>
      <c r="AB8" s="615"/>
      <c r="AC8" s="510"/>
      <c r="AD8" s="224" t="s">
        <v>65</v>
      </c>
      <c r="AE8" s="510"/>
      <c r="AF8" s="224" t="s">
        <v>65</v>
      </c>
      <c r="AG8" s="616"/>
      <c r="AH8" s="507"/>
      <c r="AI8" s="507"/>
      <c r="AJ8" s="507"/>
      <c r="AK8" s="509"/>
      <c r="AL8" s="510"/>
      <c r="AM8" s="224" t="s">
        <v>65</v>
      </c>
      <c r="AN8" s="510"/>
      <c r="AO8" s="224" t="s">
        <v>65</v>
      </c>
      <c r="AP8" s="508"/>
      <c r="AQ8" s="617" t="s">
        <v>447</v>
      </c>
      <c r="AR8" s="57" t="e">
        <f>STRCHECKDATE(X10:AP10)</f>
        <v>#NAME?</v>
      </c>
      <c r="AS8" s="129"/>
      <c r="AT8" s="129" t="str">
        <f t="shared" si="18"/>
        <v/>
      </c>
      <c r="AU8" s="129"/>
      <c r="AV8" s="129"/>
      <c r="AW8" s="50">
        <v>0</v>
      </c>
    </row>
    <row r="9" ht="21" hidden="1" customHeight="1">
      <c r="A9" s="264"/>
      <c r="B9" s="264"/>
      <c r="C9" s="264"/>
      <c r="D9" s="264"/>
      <c r="E9" s="576"/>
      <c r="F9" s="576"/>
      <c r="G9" s="576"/>
      <c r="H9" s="576"/>
      <c r="I9" s="73"/>
      <c r="J9" s="73"/>
      <c r="K9" s="73"/>
      <c r="L9" s="157" t="e">
        <f>K8&amp;".1"</f>
        <v>#VALUE!</v>
      </c>
      <c r="M9" s="322"/>
      <c r="N9" s="50"/>
      <c r="O9" s="50"/>
      <c r="P9" s="50"/>
      <c r="Q9" s="132"/>
      <c r="R9" s="132"/>
      <c r="S9" s="132"/>
      <c r="T9" s="504"/>
      <c r="U9" s="484" t="e">
        <f>$L9</f>
        <v>#VALUE!</v>
      </c>
      <c r="V9" s="618"/>
      <c r="W9" s="486"/>
      <c r="X9" s="508"/>
      <c r="Y9" s="507"/>
      <c r="Z9" s="507"/>
      <c r="AA9" s="507"/>
      <c r="AB9" s="615"/>
      <c r="AC9" s="513"/>
      <c r="AD9" s="224"/>
      <c r="AE9" s="513"/>
      <c r="AF9" s="224"/>
      <c r="AG9" s="616"/>
      <c r="AH9" s="507"/>
      <c r="AI9" s="507"/>
      <c r="AJ9" s="507"/>
      <c r="AK9" s="509"/>
      <c r="AL9" s="513"/>
      <c r="AM9" s="224"/>
      <c r="AN9" s="513"/>
      <c r="AO9" s="224"/>
      <c r="AP9" s="508"/>
      <c r="AQ9" s="511" t="s">
        <v>448</v>
      </c>
      <c r="AS9" s="129"/>
      <c r="AT9" s="129"/>
      <c r="AU9" s="129"/>
      <c r="AV9" s="129"/>
      <c r="AW9" s="50">
        <v>0</v>
      </c>
    </row>
    <row r="10" ht="14.25" hidden="1" customHeight="1">
      <c r="A10" s="264"/>
      <c r="B10" s="264"/>
      <c r="C10" s="264"/>
      <c r="D10" s="264"/>
      <c r="E10" s="576"/>
      <c r="F10" s="576"/>
      <c r="G10" s="576"/>
      <c r="H10" s="576"/>
      <c r="I10" s="73"/>
      <c r="J10" s="73"/>
      <c r="K10" s="73"/>
      <c r="L10" s="157"/>
      <c r="M10" s="322"/>
      <c r="N10" s="50"/>
      <c r="O10" s="50"/>
      <c r="P10" s="50"/>
      <c r="Q10" s="132"/>
      <c r="R10" s="132"/>
      <c r="S10" s="132"/>
      <c r="T10" s="504"/>
      <c r="U10" s="458"/>
      <c r="V10" s="486"/>
      <c r="W10" s="486"/>
      <c r="X10" s="508"/>
      <c r="Y10" s="508"/>
      <c r="Z10" s="508"/>
      <c r="AA10" s="508"/>
      <c r="AB10" s="619" t="str">
        <f>AC8&amp;"-"&amp;AE8</f>
        <v>-</v>
      </c>
      <c r="AC10" s="513"/>
      <c r="AD10" s="224"/>
      <c r="AE10" s="513"/>
      <c r="AF10" s="224"/>
      <c r="AG10" s="620"/>
      <c r="AH10" s="508"/>
      <c r="AI10" s="508"/>
      <c r="AJ10" s="508"/>
      <c r="AK10" s="512" t="str">
        <f>AL8&amp;"-"&amp;AN8</f>
        <v>-</v>
      </c>
      <c r="AL10" s="513"/>
      <c r="AM10" s="224"/>
      <c r="AN10" s="513"/>
      <c r="AO10" s="224"/>
      <c r="AP10" s="508"/>
      <c r="AQ10" s="514"/>
      <c r="AS10" s="129"/>
      <c r="AT10" s="129" t="str">
        <f>IF(V10="","",V10)</f>
        <v/>
      </c>
      <c r="AU10" s="129"/>
      <c r="AV10" s="129"/>
      <c r="AW10" s="50">
        <v>0</v>
      </c>
    </row>
    <row r="11" ht="11.25" hidden="1" customHeight="1">
      <c r="A11" s="264"/>
      <c r="B11" s="264"/>
      <c r="C11" s="264"/>
      <c r="D11" s="264"/>
      <c r="E11" s="576"/>
      <c r="F11" s="576"/>
      <c r="G11" s="576"/>
      <c r="H11" s="576"/>
      <c r="I11" s="73"/>
      <c r="J11" s="73"/>
      <c r="K11" s="157"/>
      <c r="L11" s="264"/>
      <c r="M11" s="322"/>
      <c r="N11" s="50"/>
      <c r="O11" s="50"/>
      <c r="P11" s="50"/>
      <c r="Q11" s="132"/>
      <c r="R11" s="132"/>
      <c r="S11" s="132"/>
      <c r="T11" s="504"/>
      <c r="U11" s="515"/>
      <c r="V11" s="516" t="s">
        <v>449</v>
      </c>
      <c r="W11" s="621"/>
      <c r="X11" s="622"/>
      <c r="Y11" s="622"/>
      <c r="Z11" s="622"/>
      <c r="AA11" s="622"/>
      <c r="AB11" s="623"/>
      <c r="AC11" s="513"/>
      <c r="AD11" s="224"/>
      <c r="AE11" s="513"/>
      <c r="AF11" s="224"/>
      <c r="AG11" s="622"/>
      <c r="AH11" s="622"/>
      <c r="AI11" s="622"/>
      <c r="AJ11" s="622"/>
      <c r="AK11" s="623"/>
      <c r="AL11" s="513"/>
      <c r="AM11" s="224"/>
      <c r="AN11" s="513"/>
      <c r="AO11" s="224"/>
      <c r="AP11" s="624"/>
      <c r="AQ11" s="514"/>
      <c r="AS11" s="129"/>
      <c r="AT11" s="129"/>
      <c r="AU11" s="129"/>
      <c r="AV11" s="129"/>
      <c r="AW11" s="50">
        <v>0</v>
      </c>
    </row>
    <row r="12" ht="15" hidden="1" customHeight="1">
      <c r="A12" s="264"/>
      <c r="B12" s="264"/>
      <c r="C12" s="264"/>
      <c r="D12" s="264"/>
      <c r="E12" s="576"/>
      <c r="F12" s="576"/>
      <c r="G12" s="576"/>
      <c r="H12" s="576"/>
      <c r="I12" s="73"/>
      <c r="J12" s="157"/>
      <c r="K12" s="264"/>
      <c r="L12" s="264"/>
      <c r="M12" s="322"/>
      <c r="N12" s="50"/>
      <c r="O12" s="50"/>
      <c r="Q12" s="132"/>
      <c r="R12" s="132"/>
      <c r="S12" s="132"/>
      <c r="T12" s="499"/>
      <c r="U12" s="515"/>
      <c r="V12" s="519" t="s">
        <v>406</v>
      </c>
      <c r="W12" s="214"/>
      <c r="X12" s="214"/>
      <c r="Y12" s="214"/>
      <c r="Z12" s="214"/>
      <c r="AA12" s="214"/>
      <c r="AB12" s="214"/>
      <c r="AC12" s="625"/>
      <c r="AD12" s="625"/>
      <c r="AE12" s="625"/>
      <c r="AF12" s="625"/>
      <c r="AG12" s="214"/>
      <c r="AH12" s="214"/>
      <c r="AI12" s="214"/>
      <c r="AJ12" s="214"/>
      <c r="AK12" s="214"/>
      <c r="AL12" s="214"/>
      <c r="AM12" s="214"/>
      <c r="AN12" s="214"/>
      <c r="AO12" s="214"/>
      <c r="AP12" s="517"/>
      <c r="AQ12" s="518"/>
      <c r="AS12" s="129"/>
      <c r="AT12" s="129" t="str">
        <f t="shared" ref="AT12:AT65" si="19">IF(V12="","",V12)</f>
        <v xml:space="preserve">Добавить вид теплоносителя (параметры теплоносителя)</v>
      </c>
      <c r="AU12" s="129"/>
      <c r="AV12" s="129"/>
      <c r="AW12" s="50">
        <v>0</v>
      </c>
    </row>
    <row r="13" ht="11.25" hidden="1" customHeight="1">
      <c r="A13" s="264"/>
      <c r="B13" s="264"/>
      <c r="C13" s="264"/>
      <c r="D13" s="264"/>
      <c r="E13" s="576"/>
      <c r="F13" s="576"/>
      <c r="G13" s="576"/>
      <c r="H13" s="576"/>
      <c r="I13" s="157"/>
      <c r="J13" s="264"/>
      <c r="K13" s="264"/>
      <c r="L13" s="264"/>
      <c r="M13" s="322"/>
      <c r="N13" s="50"/>
      <c r="Q13" s="132"/>
      <c r="R13" s="132"/>
      <c r="S13" s="132"/>
      <c r="T13" s="499"/>
      <c r="U13" s="515"/>
      <c r="V13" s="523" t="s">
        <v>407</v>
      </c>
      <c r="W13" s="214"/>
      <c r="X13" s="214"/>
      <c r="Y13" s="214"/>
      <c r="Z13" s="214"/>
      <c r="AA13" s="214"/>
      <c r="AB13" s="214"/>
      <c r="AC13" s="214"/>
      <c r="AD13" s="214"/>
      <c r="AE13" s="214"/>
      <c r="AF13" s="520"/>
      <c r="AG13" s="214"/>
      <c r="AH13" s="214"/>
      <c r="AI13" s="214"/>
      <c r="AJ13" s="214"/>
      <c r="AK13" s="214"/>
      <c r="AL13" s="214"/>
      <c r="AM13" s="214"/>
      <c r="AN13" s="214"/>
      <c r="AO13" s="520"/>
      <c r="AP13" s="214"/>
      <c r="AQ13" s="521"/>
      <c r="AS13" s="129"/>
      <c r="AT13" s="129" t="str">
        <f t="shared" si="19"/>
        <v xml:space="preserve">Добавить группу потребителей</v>
      </c>
      <c r="AU13" s="129"/>
      <c r="AV13" s="129"/>
      <c r="AW13" s="50">
        <v>0</v>
      </c>
    </row>
    <row r="14" ht="14.25" hidden="1" customHeight="1">
      <c r="A14" s="264"/>
      <c r="B14" s="264"/>
      <c r="C14" s="264"/>
      <c r="D14" s="264"/>
      <c r="E14" s="576"/>
      <c r="F14" s="576"/>
      <c r="G14" s="576"/>
      <c r="H14" s="575"/>
      <c r="I14" s="264"/>
      <c r="J14" s="264"/>
      <c r="K14" s="264"/>
      <c r="L14" s="264"/>
      <c r="M14" s="322"/>
      <c r="N14" s="86"/>
      <c r="O14" s="86"/>
      <c r="P14" s="50"/>
      <c r="Q14" s="143"/>
      <c r="R14" s="522"/>
      <c r="S14" s="483"/>
      <c r="T14" s="143"/>
      <c r="U14" s="592"/>
      <c r="V14" s="593"/>
      <c r="W14" s="594"/>
      <c r="X14" s="594"/>
      <c r="Y14" s="594"/>
      <c r="Z14" s="594"/>
      <c r="AA14" s="594"/>
      <c r="AB14" s="594"/>
      <c r="AC14" s="594"/>
      <c r="AD14" s="594"/>
      <c r="AE14" s="594"/>
      <c r="AF14" s="594"/>
      <c r="AG14" s="594"/>
      <c r="AH14" s="594"/>
      <c r="AI14" s="594"/>
      <c r="AJ14" s="594"/>
      <c r="AK14" s="594"/>
      <c r="AL14" s="594"/>
      <c r="AM14" s="594"/>
      <c r="AN14" s="594"/>
      <c r="AO14" s="594"/>
      <c r="AP14" s="594"/>
      <c r="AQ14" s="595"/>
      <c r="AS14" s="129"/>
      <c r="AT14" s="129" t="str">
        <f t="shared" si="19"/>
        <v/>
      </c>
      <c r="AU14" s="129"/>
      <c r="AV14" s="129"/>
      <c r="AW14" s="50">
        <v>0</v>
      </c>
    </row>
    <row r="15" s="57" customFormat="1" ht="14.25" hidden="1" customHeight="1">
      <c r="A15" s="577"/>
      <c r="B15" s="577"/>
      <c r="C15" s="577"/>
      <c r="D15" s="577"/>
      <c r="E15" s="576"/>
      <c r="F15" s="576"/>
      <c r="G15" s="575"/>
      <c r="H15" s="577"/>
      <c r="I15" s="577"/>
      <c r="J15" s="577"/>
      <c r="K15" s="577"/>
      <c r="L15" s="577"/>
      <c r="M15" s="578"/>
      <c r="N15" s="579"/>
      <c r="O15" s="579"/>
      <c r="P15" s="131"/>
      <c r="Q15" s="167"/>
      <c r="R15" s="524"/>
      <c r="S15" s="167"/>
      <c r="T15" s="167"/>
      <c r="U15" s="525"/>
      <c r="V15" s="526" t="s">
        <v>409</v>
      </c>
      <c r="W15" s="527"/>
      <c r="X15" s="527"/>
      <c r="Y15" s="527"/>
      <c r="Z15" s="527"/>
      <c r="AA15" s="527"/>
      <c r="AB15" s="527"/>
      <c r="AC15" s="527"/>
      <c r="AD15" s="527"/>
      <c r="AE15" s="527"/>
      <c r="AF15" s="527"/>
      <c r="AG15" s="527"/>
      <c r="AH15" s="527"/>
      <c r="AI15" s="527"/>
      <c r="AJ15" s="527"/>
      <c r="AK15" s="527"/>
      <c r="AL15" s="527"/>
      <c r="AM15" s="527"/>
      <c r="AN15" s="527"/>
      <c r="AO15" s="527"/>
      <c r="AP15" s="527"/>
      <c r="AQ15" s="527"/>
      <c r="AS15" s="129"/>
      <c r="AT15" s="129" t="str">
        <f t="shared" si="19"/>
        <v xml:space="preserve">Добавить источник для дифференциации</v>
      </c>
      <c r="AU15" s="129"/>
      <c r="AV15" s="129"/>
      <c r="AW15" s="57">
        <v>0</v>
      </c>
    </row>
    <row r="16" s="57" customFormat="1" ht="14.25" hidden="1" customHeight="1">
      <c r="A16" s="577"/>
      <c r="B16" s="577"/>
      <c r="C16" s="577"/>
      <c r="D16" s="577"/>
      <c r="E16" s="576"/>
      <c r="F16" s="575"/>
      <c r="G16" s="577"/>
      <c r="H16" s="577"/>
      <c r="I16" s="577"/>
      <c r="J16" s="577"/>
      <c r="K16" s="577"/>
      <c r="L16" s="577"/>
      <c r="M16" s="578"/>
      <c r="N16" s="580"/>
      <c r="O16" s="580"/>
      <c r="P16" s="131"/>
      <c r="Q16" s="167"/>
      <c r="R16" s="524"/>
      <c r="S16" s="167"/>
      <c r="T16" s="167"/>
      <c r="U16" s="529"/>
      <c r="V16" s="530" t="s">
        <v>410</v>
      </c>
      <c r="W16" s="531"/>
      <c r="X16" s="531"/>
      <c r="Y16" s="531"/>
      <c r="Z16" s="531"/>
      <c r="AA16" s="531"/>
      <c r="AB16" s="531"/>
      <c r="AC16" s="531"/>
      <c r="AD16" s="531"/>
      <c r="AE16" s="531"/>
      <c r="AF16" s="531"/>
      <c r="AG16" s="531"/>
      <c r="AH16" s="531"/>
      <c r="AI16" s="531"/>
      <c r="AJ16" s="531"/>
      <c r="AK16" s="531"/>
      <c r="AL16" s="531"/>
      <c r="AM16" s="531"/>
      <c r="AN16" s="531"/>
      <c r="AO16" s="531"/>
      <c r="AP16" s="531"/>
      <c r="AQ16" s="531"/>
      <c r="AS16" s="129"/>
      <c r="AT16" s="129" t="str">
        <f t="shared" si="19"/>
        <v xml:space="preserve">Добавить централизованную систему для дифференциации</v>
      </c>
      <c r="AU16" s="129"/>
      <c r="AV16" s="129"/>
      <c r="AW16" s="57">
        <v>0</v>
      </c>
    </row>
    <row r="17" s="57" customFormat="1" ht="14.25" hidden="1" customHeight="1">
      <c r="A17" s="577"/>
      <c r="B17" s="577"/>
      <c r="C17" s="577"/>
      <c r="D17" s="577"/>
      <c r="E17" s="575"/>
      <c r="F17" s="577"/>
      <c r="G17" s="577"/>
      <c r="H17" s="577"/>
      <c r="I17" s="577"/>
      <c r="J17" s="577"/>
      <c r="K17" s="577"/>
      <c r="L17" s="577"/>
      <c r="M17" s="578"/>
      <c r="N17" s="580"/>
      <c r="O17" s="580"/>
      <c r="P17" s="131"/>
      <c r="Q17" s="167"/>
      <c r="R17" s="524"/>
      <c r="S17" s="167"/>
      <c r="T17" s="167"/>
      <c r="U17" s="529"/>
      <c r="V17" s="532" t="s">
        <v>411</v>
      </c>
      <c r="W17" s="531"/>
      <c r="X17" s="531"/>
      <c r="Y17" s="531"/>
      <c r="Z17" s="531"/>
      <c r="AA17" s="531"/>
      <c r="AB17" s="531"/>
      <c r="AC17" s="531"/>
      <c r="AD17" s="531"/>
      <c r="AE17" s="531"/>
      <c r="AF17" s="531"/>
      <c r="AG17" s="531"/>
      <c r="AH17" s="531"/>
      <c r="AI17" s="531"/>
      <c r="AJ17" s="531"/>
      <c r="AK17" s="531"/>
      <c r="AL17" s="531"/>
      <c r="AM17" s="531"/>
      <c r="AN17" s="531"/>
      <c r="AO17" s="531"/>
      <c r="AP17" s="531"/>
      <c r="AQ17" s="531"/>
      <c r="AS17" s="129"/>
      <c r="AT17" s="129" t="str">
        <f t="shared" si="19"/>
        <v xml:space="preserve">Добавить территорию для дифференциации</v>
      </c>
      <c r="AU17" s="129"/>
      <c r="AV17" s="129"/>
      <c r="AW17" s="57">
        <v>0</v>
      </c>
    </row>
    <row r="18" ht="14.25" hidden="1" customHeight="1">
      <c r="AF18" s="50"/>
      <c r="AO18" s="50"/>
      <c r="AW18" s="50">
        <v>0</v>
      </c>
    </row>
    <row r="19" ht="14.25" hidden="1" customHeight="1">
      <c r="AG19" s="533"/>
      <c r="AH19" s="533"/>
      <c r="AI19" s="533"/>
      <c r="AJ19" s="533"/>
      <c r="AK19" s="534"/>
      <c r="AL19" s="535"/>
      <c r="AM19" s="536" t="s">
        <v>65</v>
      </c>
      <c r="AN19" s="535"/>
      <c r="AO19" s="536" t="s">
        <v>65</v>
      </c>
      <c r="AW19" s="50">
        <v>0</v>
      </c>
    </row>
    <row r="20" ht="14.25" hidden="1" customHeight="1">
      <c r="AG20" s="533"/>
      <c r="AH20" s="533"/>
      <c r="AI20" s="533"/>
      <c r="AJ20" s="533"/>
      <c r="AK20" s="534"/>
      <c r="AL20" s="535"/>
      <c r="AM20" s="536"/>
      <c r="AN20" s="535"/>
      <c r="AO20" s="536"/>
      <c r="AW20" s="50">
        <v>0</v>
      </c>
    </row>
    <row r="21" ht="14.25" hidden="1" customHeight="1">
      <c r="AG21" s="533"/>
      <c r="AH21" s="533"/>
      <c r="AI21" s="533"/>
      <c r="AJ21" s="533"/>
      <c r="AK21" s="534"/>
      <c r="AL21" s="535"/>
      <c r="AM21" s="536"/>
      <c r="AN21" s="535"/>
      <c r="AO21" s="536"/>
      <c r="AW21" s="50">
        <v>0</v>
      </c>
    </row>
    <row r="22" ht="14.25" hidden="1" customHeight="1">
      <c r="AG22" s="533"/>
      <c r="AH22" s="533"/>
      <c r="AI22" s="533"/>
      <c r="AJ22" s="533"/>
      <c r="AK22" s="512" t="str">
        <f>AL19&amp;"-"&amp;AN19</f>
        <v>-</v>
      </c>
      <c r="AL22" s="536"/>
      <c r="AM22" s="536"/>
      <c r="AN22" s="536"/>
      <c r="AO22" s="536"/>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81" t="s">
        <v>412</v>
      </c>
      <c r="Q24" s="61"/>
      <c r="R24" s="538"/>
      <c r="S24" s="538"/>
      <c r="T24" s="538"/>
      <c r="U24" s="482"/>
      <c r="AC24" s="537"/>
      <c r="AE24" s="537"/>
      <c r="AF24" s="53"/>
      <c r="AL24" s="537"/>
      <c r="AN24" s="537"/>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38"/>
      <c r="S25" s="538"/>
      <c r="T25" s="538"/>
      <c r="U25" s="482"/>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22" t="s">
        <v>413</v>
      </c>
      <c r="Q26" s="61"/>
      <c r="R26" s="538"/>
      <c r="S26" s="538"/>
      <c r="T26" s="538"/>
      <c r="U26" s="482"/>
      <c r="V26" s="53" t="s">
        <v>414</v>
      </c>
      <c r="AD26" s="151" t="s">
        <v>415</v>
      </c>
      <c r="AF26" s="151" t="s">
        <v>416</v>
      </c>
      <c r="AG26" s="53" t="s">
        <v>414</v>
      </c>
      <c r="AM26" s="151" t="s">
        <v>417</v>
      </c>
      <c r="AO26" s="151" t="s">
        <v>416</v>
      </c>
      <c r="AR26" s="57"/>
      <c r="AS26" s="57"/>
      <c r="AT26" s="57"/>
      <c r="AU26" s="57"/>
      <c r="AV26" s="57"/>
      <c r="AW26" s="53">
        <v>0</v>
      </c>
    </row>
    <row r="27" ht="14.25" hidden="1" customHeight="1">
      <c r="P27" s="322"/>
      <c r="AW27" s="50">
        <v>0</v>
      </c>
    </row>
    <row r="28" ht="14.25" hidden="1" customHeight="1">
      <c r="P28" s="322"/>
      <c r="AW28" s="50">
        <v>0</v>
      </c>
    </row>
    <row r="29" ht="14.65" customHeight="1">
      <c r="R29" s="539"/>
      <c r="S29" s="539"/>
      <c r="T29" s="539"/>
      <c r="U29" s="540"/>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39"/>
      <c r="S30" s="539"/>
      <c r="T30" s="539"/>
      <c r="U30" s="452"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52"/>
      <c r="W30" s="452"/>
      <c r="X30" s="452"/>
      <c r="Y30" s="452"/>
      <c r="Z30" s="452"/>
      <c r="AA30" s="452"/>
      <c r="AB30" s="452"/>
      <c r="AC30" s="452"/>
      <c r="AD30" s="452"/>
      <c r="AE30" s="452"/>
      <c r="AF30" s="452"/>
      <c r="AG30" s="452"/>
      <c r="AH30" s="452"/>
      <c r="AI30" s="452"/>
      <c r="AJ30" s="452"/>
      <c r="AK30" s="452"/>
      <c r="AL30" s="452"/>
      <c r="AM30" s="452"/>
      <c r="AN30" s="452"/>
      <c r="AO30" s="240"/>
      <c r="AW30" s="50">
        <v>54</v>
      </c>
    </row>
    <row r="31" ht="14.65" customHeight="1">
      <c r="R31" s="539"/>
      <c r="S31" s="539"/>
      <c r="T31" s="539"/>
      <c r="U31" s="303" t="str">
        <f>IF(org=0,"Не определено",org)</f>
        <v xml:space="preserve">АО "ДГК" СП "Биробиджанская ТЭЦ"</v>
      </c>
      <c r="V31" s="303"/>
      <c r="W31" s="303"/>
      <c r="X31" s="303"/>
      <c r="Y31" s="303"/>
      <c r="Z31" s="303"/>
      <c r="AA31" s="303"/>
      <c r="AB31" s="303"/>
      <c r="AC31" s="303"/>
      <c r="AD31" s="303"/>
      <c r="AE31" s="303"/>
      <c r="AF31" s="303"/>
      <c r="AG31" s="303"/>
      <c r="AH31" s="303"/>
      <c r="AI31" s="303"/>
      <c r="AJ31" s="303"/>
      <c r="AK31" s="303"/>
      <c r="AL31" s="303"/>
      <c r="AM31" s="303"/>
      <c r="AN31" s="303"/>
      <c r="AO31" s="240"/>
      <c r="AW31" s="50">
        <v>14</v>
      </c>
    </row>
    <row r="32" ht="14.25" hidden="1" customHeight="1">
      <c r="R32" s="539"/>
      <c r="S32" s="539"/>
      <c r="T32" s="539"/>
      <c r="U32" s="540"/>
      <c r="V32" s="91"/>
      <c r="W32" s="91"/>
      <c r="X32" s="541"/>
      <c r="Y32" s="541"/>
      <c r="Z32" s="541"/>
      <c r="AA32" s="541"/>
      <c r="AB32" s="541"/>
      <c r="AC32" s="541"/>
      <c r="AD32" s="541"/>
      <c r="AE32" s="541"/>
      <c r="AF32" s="541"/>
      <c r="AG32" s="541"/>
      <c r="AH32" s="541"/>
      <c r="AI32" s="541"/>
      <c r="AJ32" s="541"/>
      <c r="AK32" s="541"/>
      <c r="AL32" s="541"/>
      <c r="AM32" s="541"/>
      <c r="AN32" s="541"/>
      <c r="AO32" s="541"/>
      <c r="AP32" s="50"/>
      <c r="AW32" s="50">
        <v>0</v>
      </c>
    </row>
    <row r="33" s="184" customFormat="1" ht="25.5" hidden="1" customHeight="1">
      <c r="A33" s="107"/>
      <c r="B33" s="107"/>
      <c r="C33" s="107"/>
      <c r="D33" s="107"/>
      <c r="E33" s="107"/>
      <c r="F33" s="107"/>
      <c r="G33" s="107"/>
      <c r="H33" s="107"/>
      <c r="I33" s="107"/>
      <c r="J33" s="107"/>
      <c r="K33" s="107"/>
      <c r="L33" s="107"/>
      <c r="M33" s="322"/>
      <c r="N33" s="107"/>
      <c r="O33" s="107"/>
      <c r="P33" s="107"/>
      <c r="U33" s="542" t="s">
        <v>41</v>
      </c>
      <c r="V33" s="542"/>
      <c r="W33" s="543"/>
      <c r="X33" s="544" t="str">
        <f>IF(TITLE_NAME_OR_PR_CHANGE="",IF(TITLE_NAME_OR_PR="","",TITLE_NAME_OR_PR),TITLE_NAME_OR_PR_CHANGE)</f>
        <v/>
      </c>
      <c r="Y33" s="544"/>
      <c r="Z33" s="544"/>
      <c r="AA33" s="544"/>
      <c r="AB33" s="544"/>
      <c r="AC33" s="544"/>
      <c r="AD33" s="544"/>
      <c r="AE33" s="544"/>
      <c r="AF33" s="50"/>
      <c r="AG33" s="544" t="str">
        <f>IF(TITLE_NAME_OR_PR_CHANGE="",IF(TITLE_NAME_OR_PR="","",TITLE_NAME_OR_PR),TITLE_NAME_OR_PR_CHANGE)</f>
        <v/>
      </c>
      <c r="AH33" s="544"/>
      <c r="AI33" s="544"/>
      <c r="AJ33" s="544"/>
      <c r="AK33" s="544"/>
      <c r="AL33" s="544"/>
      <c r="AM33" s="544"/>
      <c r="AN33" s="544"/>
      <c r="AO33" s="50"/>
      <c r="AP33" s="50"/>
      <c r="AQ33" s="545"/>
      <c r="AR33" s="129"/>
      <c r="AS33" s="129"/>
      <c r="AT33" s="129"/>
      <c r="AU33" s="129"/>
      <c r="AV33" s="129"/>
      <c r="AW33" s="184">
        <v>0</v>
      </c>
    </row>
    <row r="34" s="184" customFormat="1" ht="18.75" hidden="1" customHeight="1">
      <c r="A34" s="107"/>
      <c r="B34" s="107"/>
      <c r="C34" s="107"/>
      <c r="D34" s="107"/>
      <c r="E34" s="107"/>
      <c r="F34" s="107"/>
      <c r="G34" s="107"/>
      <c r="H34" s="107"/>
      <c r="I34" s="107"/>
      <c r="J34" s="107"/>
      <c r="K34" s="107"/>
      <c r="L34" s="107"/>
      <c r="M34" s="322"/>
      <c r="N34" s="107"/>
      <c r="O34" s="107"/>
      <c r="P34" s="107"/>
      <c r="U34" s="542" t="s">
        <v>418</v>
      </c>
      <c r="V34" s="542"/>
      <c r="W34" s="543"/>
      <c r="X34" s="546" t="str">
        <f>IF(TITLE_DATE_PR_CHANGE="",IF(TITLE_DATE_PR="","",TITLE_DATE_PR),TITLE_DATE_PR_CHANGE)</f>
        <v/>
      </c>
      <c r="Y34" s="546"/>
      <c r="Z34" s="546"/>
      <c r="AA34" s="546"/>
      <c r="AB34" s="546"/>
      <c r="AC34" s="546"/>
      <c r="AD34" s="546"/>
      <c r="AE34" s="546"/>
      <c r="AF34" s="50"/>
      <c r="AG34" s="546" t="str">
        <f>IF(TITLE_DATE_PR_CHANGE="",IF(TITLE_DATE_PR="","",TITLE_DATE_PR),TITLE_DATE_PR_CHANGE)</f>
        <v/>
      </c>
      <c r="AH34" s="546"/>
      <c r="AI34" s="546"/>
      <c r="AJ34" s="546"/>
      <c r="AK34" s="546"/>
      <c r="AL34" s="546"/>
      <c r="AM34" s="546"/>
      <c r="AN34" s="546"/>
      <c r="AO34" s="50"/>
      <c r="AP34" s="50"/>
      <c r="AQ34" s="545"/>
      <c r="AR34" s="129"/>
      <c r="AS34" s="129"/>
      <c r="AT34" s="129"/>
      <c r="AU34" s="129"/>
      <c r="AV34" s="129"/>
      <c r="AW34" s="184">
        <v>0</v>
      </c>
    </row>
    <row r="35" s="184" customFormat="1" ht="18.75" hidden="1" customHeight="1">
      <c r="A35" s="107"/>
      <c r="B35" s="107"/>
      <c r="C35" s="107"/>
      <c r="D35" s="107"/>
      <c r="E35" s="107"/>
      <c r="F35" s="107"/>
      <c r="G35" s="107"/>
      <c r="H35" s="107"/>
      <c r="I35" s="107"/>
      <c r="J35" s="107"/>
      <c r="K35" s="107"/>
      <c r="L35" s="107"/>
      <c r="M35" s="322"/>
      <c r="N35" s="107"/>
      <c r="O35" s="107"/>
      <c r="P35" s="107"/>
      <c r="U35" s="542" t="s">
        <v>419</v>
      </c>
      <c r="V35" s="542"/>
      <c r="W35" s="543"/>
      <c r="X35" s="544" t="str">
        <f>IF(TITLE_NUMBER_PR_CHANGE="",IF(TITLE_NUMBER_PR="","",TITLE_NUMBER_PR),TITLE_NUMBER_PR_CHANGE)</f>
        <v/>
      </c>
      <c r="Y35" s="544"/>
      <c r="Z35" s="544"/>
      <c r="AA35" s="544"/>
      <c r="AB35" s="544"/>
      <c r="AC35" s="544"/>
      <c r="AD35" s="544"/>
      <c r="AE35" s="544"/>
      <c r="AF35" s="50"/>
      <c r="AG35" s="544" t="str">
        <f>IF(TITLE_NUMBER_PR_CHANGE="",IF(TITLE_NUMBER_PR="","",TITLE_NUMBER_PR),TITLE_NUMBER_PR_CHANGE)</f>
        <v/>
      </c>
      <c r="AH35" s="544"/>
      <c r="AI35" s="544"/>
      <c r="AJ35" s="544"/>
      <c r="AK35" s="544"/>
      <c r="AL35" s="544"/>
      <c r="AM35" s="544"/>
      <c r="AN35" s="544"/>
      <c r="AO35" s="50"/>
      <c r="AP35" s="50"/>
      <c r="AQ35" s="545"/>
      <c r="AR35" s="129"/>
      <c r="AS35" s="129"/>
      <c r="AT35" s="129"/>
      <c r="AU35" s="129"/>
      <c r="AV35" s="129"/>
      <c r="AW35" s="184">
        <v>0</v>
      </c>
    </row>
    <row r="36" s="184" customFormat="1" ht="18.75" hidden="1" customHeight="1">
      <c r="A36" s="107"/>
      <c r="B36" s="107"/>
      <c r="C36" s="107"/>
      <c r="D36" s="107"/>
      <c r="E36" s="107"/>
      <c r="F36" s="107"/>
      <c r="G36" s="107"/>
      <c r="H36" s="107"/>
      <c r="I36" s="107"/>
      <c r="J36" s="107"/>
      <c r="K36" s="107"/>
      <c r="L36" s="107"/>
      <c r="M36" s="322"/>
      <c r="N36" s="107"/>
      <c r="O36" s="107"/>
      <c r="P36" s="107"/>
      <c r="U36" s="542" t="s">
        <v>42</v>
      </c>
      <c r="V36" s="542"/>
      <c r="W36" s="543"/>
      <c r="X36" s="544" t="str">
        <f>IF(TITLE_IST_PUB_CHANGE="",IF(TITLE_IST_PUB="","",TITLE_IST_PUB),TITLE_IST_PUB_CHANGE)</f>
        <v/>
      </c>
      <c r="Y36" s="544"/>
      <c r="Z36" s="544"/>
      <c r="AA36" s="544"/>
      <c r="AB36" s="544"/>
      <c r="AC36" s="544"/>
      <c r="AD36" s="544"/>
      <c r="AE36" s="544"/>
      <c r="AF36" s="50"/>
      <c r="AG36" s="544" t="str">
        <f>IF(TITLE_IST_PUB_CHANGE="",IF(TITLE_IST_PUB="","",TITLE_IST_PUB),TITLE_IST_PUB_CHANGE)</f>
        <v/>
      </c>
      <c r="AH36" s="544"/>
      <c r="AI36" s="544"/>
      <c r="AJ36" s="544"/>
      <c r="AK36" s="544"/>
      <c r="AL36" s="544"/>
      <c r="AM36" s="544"/>
      <c r="AN36" s="544"/>
      <c r="AO36" s="50"/>
      <c r="AP36" s="50"/>
      <c r="AQ36" s="545"/>
      <c r="AR36" s="129"/>
      <c r="AS36" s="129"/>
      <c r="AT36" s="129"/>
      <c r="AU36" s="129"/>
      <c r="AV36" s="129"/>
      <c r="AW36" s="184">
        <v>0</v>
      </c>
    </row>
    <row r="37" ht="14.25" hidden="1" customHeight="1">
      <c r="R37" s="539"/>
      <c r="S37" s="539"/>
      <c r="T37" s="539"/>
      <c r="U37" s="540"/>
      <c r="V37" s="91"/>
      <c r="W37" s="91"/>
      <c r="X37" s="541"/>
      <c r="Y37" s="541"/>
      <c r="Z37" s="541"/>
      <c r="AA37" s="541"/>
      <c r="AB37" s="541"/>
      <c r="AC37" s="541"/>
      <c r="AD37" s="541"/>
      <c r="AE37" s="541"/>
      <c r="AF37" s="541"/>
      <c r="AG37" s="541"/>
      <c r="AH37" s="541"/>
      <c r="AI37" s="541"/>
      <c r="AJ37" s="541"/>
      <c r="AK37" s="541"/>
      <c r="AL37" s="541"/>
      <c r="AM37" s="541"/>
      <c r="AN37" s="541"/>
      <c r="AO37" s="541"/>
      <c r="AP37" s="50"/>
      <c r="AW37" s="50">
        <v>0</v>
      </c>
    </row>
    <row r="38" s="184" customFormat="1" ht="18.75" hidden="1" customHeight="1">
      <c r="A38" s="107"/>
      <c r="B38" s="107"/>
      <c r="C38" s="107"/>
      <c r="D38" s="107"/>
      <c r="E38" s="107"/>
      <c r="F38" s="107"/>
      <c r="G38" s="107"/>
      <c r="H38" s="107"/>
      <c r="I38" s="107"/>
      <c r="J38" s="107"/>
      <c r="K38" s="107"/>
      <c r="L38" s="107"/>
      <c r="M38" s="322"/>
      <c r="N38" s="107"/>
      <c r="O38" s="107"/>
      <c r="P38" s="107"/>
      <c r="U38" s="542" t="s">
        <v>420</v>
      </c>
      <c r="V38" s="542"/>
      <c r="W38" s="543"/>
      <c r="X38" s="546" t="str">
        <f>IF(TITLE_DATE_PR_CHANGE="",IF(TITLE_DATE_PR="","",TITLE_DATE_PR),TITLE_DATE_PR_CHANGE)</f>
        <v/>
      </c>
      <c r="Y38" s="546"/>
      <c r="Z38" s="546"/>
      <c r="AA38" s="546"/>
      <c r="AB38" s="546"/>
      <c r="AC38" s="546"/>
      <c r="AD38" s="546"/>
      <c r="AE38" s="546"/>
      <c r="AF38" s="50"/>
      <c r="AG38" s="546" t="str">
        <f>IF(TITLE_DATE_PR_CHANGE="",IF(TITLE_DATE_PR="","",TITLE_DATE_PR),TITLE_DATE_PR_CHANGE)</f>
        <v/>
      </c>
      <c r="AH38" s="546"/>
      <c r="AI38" s="546"/>
      <c r="AJ38" s="546"/>
      <c r="AK38" s="546"/>
      <c r="AL38" s="546"/>
      <c r="AM38" s="546"/>
      <c r="AN38" s="546"/>
      <c r="AO38" s="50"/>
      <c r="AP38" s="50"/>
      <c r="AQ38" s="545"/>
      <c r="AR38" s="129"/>
      <c r="AS38" s="129"/>
      <c r="AT38" s="129"/>
      <c r="AU38" s="129"/>
      <c r="AV38" s="129"/>
      <c r="AW38" s="184">
        <v>0</v>
      </c>
    </row>
    <row r="39" s="184" customFormat="1" ht="18.75" hidden="1" customHeight="1">
      <c r="A39" s="107"/>
      <c r="B39" s="107"/>
      <c r="C39" s="107"/>
      <c r="D39" s="107"/>
      <c r="E39" s="107"/>
      <c r="F39" s="107"/>
      <c r="G39" s="107"/>
      <c r="H39" s="107"/>
      <c r="I39" s="107"/>
      <c r="J39" s="107"/>
      <c r="K39" s="107"/>
      <c r="L39" s="107"/>
      <c r="M39" s="322"/>
      <c r="N39" s="107"/>
      <c r="O39" s="107"/>
      <c r="P39" s="107"/>
      <c r="U39" s="542" t="s">
        <v>421</v>
      </c>
      <c r="V39" s="542"/>
      <c r="W39" s="543"/>
      <c r="X39" s="544" t="str">
        <f>IF(TITLE_NUMBER_PR_CHANGE="",IF(TITLE_NUMBER_PR="","",TITLE_NUMBER_PR),TITLE_NUMBER_PR_CHANGE)</f>
        <v/>
      </c>
      <c r="Y39" s="544"/>
      <c r="Z39" s="544"/>
      <c r="AA39" s="544"/>
      <c r="AB39" s="544"/>
      <c r="AC39" s="544"/>
      <c r="AD39" s="544"/>
      <c r="AE39" s="544"/>
      <c r="AF39" s="50"/>
      <c r="AG39" s="544" t="str">
        <f>IF(TITLE_NUMBER_PR_CHANGE="",IF(TITLE_NUMBER_PR="","",TITLE_NUMBER_PR),TITLE_NUMBER_PR_CHANGE)</f>
        <v/>
      </c>
      <c r="AH39" s="544"/>
      <c r="AI39" s="544"/>
      <c r="AJ39" s="544"/>
      <c r="AK39" s="544"/>
      <c r="AL39" s="544"/>
      <c r="AM39" s="544"/>
      <c r="AN39" s="544"/>
      <c r="AO39" s="50"/>
      <c r="AP39" s="50"/>
      <c r="AQ39" s="545"/>
      <c r="AR39" s="129"/>
      <c r="AS39" s="129"/>
      <c r="AT39" s="129"/>
      <c r="AU39" s="129"/>
      <c r="AV39" s="129"/>
      <c r="AW39" s="184">
        <v>0</v>
      </c>
    </row>
    <row r="40" s="184" customFormat="1" ht="0" customHeight="1">
      <c r="A40" s="107"/>
      <c r="B40" s="107"/>
      <c r="C40" s="107"/>
      <c r="D40" s="107"/>
      <c r="E40" s="107"/>
      <c r="F40" s="107"/>
      <c r="G40" s="107"/>
      <c r="H40" s="107"/>
      <c r="I40" s="107"/>
      <c r="J40" s="107"/>
      <c r="K40" s="107"/>
      <c r="L40" s="107"/>
      <c r="M40" s="322"/>
      <c r="N40" s="107"/>
      <c r="O40" s="107"/>
      <c r="P40" s="107"/>
      <c r="U40" s="50"/>
      <c r="V40" s="50"/>
      <c r="W40" s="140"/>
      <c r="X40" s="50"/>
      <c r="Y40" s="50"/>
      <c r="Z40" s="50"/>
      <c r="AA40" s="50"/>
      <c r="AB40" s="50"/>
      <c r="AC40" s="50"/>
      <c r="AD40" s="50"/>
      <c r="AE40" s="50"/>
      <c r="AF40" s="57" t="s">
        <v>422</v>
      </c>
      <c r="AG40" s="50"/>
      <c r="AH40" s="50"/>
      <c r="AI40" s="50"/>
      <c r="AJ40" s="50"/>
      <c r="AK40" s="50"/>
      <c r="AL40" s="50"/>
      <c r="AM40" s="50"/>
      <c r="AN40" s="50"/>
      <c r="AO40" s="57" t="s">
        <v>422</v>
      </c>
      <c r="AR40" s="129"/>
      <c r="AS40" s="129"/>
      <c r="AT40" s="129"/>
      <c r="AU40" s="129"/>
      <c r="AV40" s="129"/>
      <c r="AW40" s="184">
        <v>0</v>
      </c>
    </row>
    <row r="41" ht="14.65" customHeight="1">
      <c r="R41" s="539"/>
      <c r="S41" s="539"/>
      <c r="T41" s="539"/>
      <c r="U41" s="540"/>
      <c r="V41" s="91"/>
      <c r="W41" s="547"/>
      <c r="X41" s="548"/>
      <c r="Y41" s="548"/>
      <c r="Z41" s="548"/>
      <c r="AA41" s="548"/>
      <c r="AB41" s="548"/>
      <c r="AC41" s="548"/>
      <c r="AD41" s="548"/>
      <c r="AE41" s="548"/>
      <c r="AF41" s="548"/>
      <c r="AG41" s="548"/>
      <c r="AH41" s="548"/>
      <c r="AI41" s="548"/>
      <c r="AJ41" s="548"/>
      <c r="AK41" s="548"/>
      <c r="AL41" s="548"/>
      <c r="AM41" s="548"/>
      <c r="AN41" s="548"/>
      <c r="AO41" s="548"/>
      <c r="AW41" s="50">
        <v>14</v>
      </c>
    </row>
    <row r="42" ht="14.65" customHeight="1">
      <c r="R42" s="539"/>
      <c r="S42" s="539"/>
      <c r="T42" s="539"/>
      <c r="U42" s="157" t="s">
        <v>295</v>
      </c>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t="s">
        <v>296</v>
      </c>
      <c r="AW42" s="50">
        <v>14</v>
      </c>
    </row>
    <row r="43" ht="14.65" customHeight="1">
      <c r="R43" s="539"/>
      <c r="S43" s="539"/>
      <c r="T43" s="539"/>
      <c r="U43" s="484" t="s">
        <v>88</v>
      </c>
      <c r="V43" s="347" t="s">
        <v>423</v>
      </c>
      <c r="W43" s="549"/>
      <c r="X43" s="550" t="s">
        <v>424</v>
      </c>
      <c r="Y43" s="584"/>
      <c r="Z43" s="584"/>
      <c r="AA43" s="584"/>
      <c r="AB43" s="584"/>
      <c r="AC43" s="551"/>
      <c r="AD43" s="551"/>
      <c r="AE43" s="552"/>
      <c r="AF43" s="553" t="s">
        <v>425</v>
      </c>
      <c r="AG43" s="550" t="s">
        <v>424</v>
      </c>
      <c r="AH43" s="584"/>
      <c r="AI43" s="584"/>
      <c r="AJ43" s="584"/>
      <c r="AK43" s="584"/>
      <c r="AL43" s="551"/>
      <c r="AM43" s="551"/>
      <c r="AN43" s="552"/>
      <c r="AO43" s="553" t="s">
        <v>426</v>
      </c>
      <c r="AP43" s="554" t="s">
        <v>427</v>
      </c>
      <c r="AQ43" s="157"/>
      <c r="AW43" s="50">
        <v>14</v>
      </c>
    </row>
    <row r="44" ht="35.649999999999999" customHeight="1">
      <c r="R44" s="539"/>
      <c r="S44" s="539"/>
      <c r="T44" s="539"/>
      <c r="U44" s="484"/>
      <c r="V44" s="347"/>
      <c r="W44" s="555"/>
      <c r="X44" s="304" t="s">
        <v>450</v>
      </c>
      <c r="Y44" s="157" t="s">
        <v>451</v>
      </c>
      <c r="Z44" s="157"/>
      <c r="AA44" s="157"/>
      <c r="AB44" s="157"/>
      <c r="AC44" s="304" t="s">
        <v>431</v>
      </c>
      <c r="AD44" s="626"/>
      <c r="AE44" s="305"/>
      <c r="AF44" s="557"/>
      <c r="AG44" s="304" t="s">
        <v>450</v>
      </c>
      <c r="AH44" s="157" t="s">
        <v>451</v>
      </c>
      <c r="AI44" s="157"/>
      <c r="AJ44" s="157"/>
      <c r="AK44" s="157"/>
      <c r="AL44" s="304" t="s">
        <v>431</v>
      </c>
      <c r="AM44" s="626"/>
      <c r="AN44" s="305"/>
      <c r="AO44" s="557"/>
      <c r="AP44" s="558"/>
      <c r="AQ44" s="157"/>
      <c r="AW44" s="50">
        <v>34</v>
      </c>
    </row>
    <row r="45" ht="14.65" customHeight="1">
      <c r="R45" s="539"/>
      <c r="S45" s="539"/>
      <c r="T45" s="539"/>
      <c r="U45" s="484"/>
      <c r="V45" s="347"/>
      <c r="W45" s="555"/>
      <c r="X45" s="308"/>
      <c r="Y45" s="418" t="s">
        <v>452</v>
      </c>
      <c r="Z45" s="415" t="s">
        <v>453</v>
      </c>
      <c r="AA45" s="416"/>
      <c r="AB45" s="417"/>
      <c r="AC45" s="310"/>
      <c r="AD45" s="627"/>
      <c r="AE45" s="311"/>
      <c r="AF45" s="557"/>
      <c r="AG45" s="308"/>
      <c r="AH45" s="418" t="s">
        <v>452</v>
      </c>
      <c r="AI45" s="415" t="s">
        <v>453</v>
      </c>
      <c r="AJ45" s="416"/>
      <c r="AK45" s="417"/>
      <c r="AL45" s="310"/>
      <c r="AM45" s="627"/>
      <c r="AN45" s="311"/>
      <c r="AO45" s="557"/>
      <c r="AP45" s="558"/>
      <c r="AQ45" s="157"/>
      <c r="AW45" s="50">
        <v>14</v>
      </c>
    </row>
    <row r="46" ht="27.300000000000001" customHeight="1">
      <c r="R46" s="539"/>
      <c r="S46" s="539"/>
      <c r="T46" s="539"/>
      <c r="U46" s="484"/>
      <c r="V46" s="347"/>
      <c r="W46" s="555"/>
      <c r="X46" s="308"/>
      <c r="Y46" s="628"/>
      <c r="Z46" s="418" t="s">
        <v>454</v>
      </c>
      <c r="AA46" s="415" t="s">
        <v>455</v>
      </c>
      <c r="AB46" s="417"/>
      <c r="AC46" s="418" t="s">
        <v>441</v>
      </c>
      <c r="AD46" s="419" t="s">
        <v>442</v>
      </c>
      <c r="AE46" s="420"/>
      <c r="AF46" s="557"/>
      <c r="AG46" s="308"/>
      <c r="AH46" s="628"/>
      <c r="AI46" s="418" t="s">
        <v>454</v>
      </c>
      <c r="AJ46" s="415" t="s">
        <v>455</v>
      </c>
      <c r="AK46" s="417"/>
      <c r="AL46" s="418" t="s">
        <v>441</v>
      </c>
      <c r="AM46" s="419" t="s">
        <v>442</v>
      </c>
      <c r="AN46" s="420"/>
      <c r="AO46" s="557"/>
      <c r="AP46" s="558"/>
      <c r="AQ46" s="157"/>
      <c r="AW46" s="50">
        <v>26</v>
      </c>
    </row>
    <row r="47" ht="65.25" customHeight="1">
      <c r="A47" s="107"/>
      <c r="B47" s="107" t="s">
        <v>132</v>
      </c>
      <c r="C47" s="107" t="s">
        <v>133</v>
      </c>
      <c r="D47" s="107" t="s">
        <v>134</v>
      </c>
      <c r="E47" s="322" t="s">
        <v>432</v>
      </c>
      <c r="F47" s="322" t="s">
        <v>433</v>
      </c>
      <c r="G47" s="322" t="s">
        <v>434</v>
      </c>
      <c r="H47" s="322" t="s">
        <v>435</v>
      </c>
      <c r="I47" s="322" t="s">
        <v>436</v>
      </c>
      <c r="J47" s="322" t="s">
        <v>437</v>
      </c>
      <c r="K47" s="322" t="s">
        <v>438</v>
      </c>
      <c r="L47" s="322" t="s">
        <v>456</v>
      </c>
      <c r="M47" s="322" t="s">
        <v>413</v>
      </c>
      <c r="R47" s="539"/>
      <c r="S47" s="539"/>
      <c r="T47" s="539"/>
      <c r="U47" s="484"/>
      <c r="V47" s="347"/>
      <c r="W47" s="559"/>
      <c r="X47" s="310"/>
      <c r="Y47" s="421"/>
      <c r="Z47" s="421"/>
      <c r="AA47" s="246" t="s">
        <v>457</v>
      </c>
      <c r="AB47" s="246" t="s">
        <v>458</v>
      </c>
      <c r="AC47" s="421"/>
      <c r="AD47" s="422"/>
      <c r="AE47" s="423"/>
      <c r="AF47" s="561"/>
      <c r="AG47" s="310"/>
      <c r="AH47" s="421"/>
      <c r="AI47" s="421"/>
      <c r="AJ47" s="246" t="s">
        <v>457</v>
      </c>
      <c r="AK47" s="246" t="s">
        <v>458</v>
      </c>
      <c r="AL47" s="421"/>
      <c r="AM47" s="422"/>
      <c r="AN47" s="423"/>
      <c r="AO47" s="561"/>
      <c r="AP47" s="562"/>
      <c r="AQ47" s="157"/>
      <c r="AW47" s="50">
        <v>62</v>
      </c>
    </row>
    <row r="48" s="131" customFormat="1" ht="11.25" hidden="1" customHeight="1">
      <c r="A48" s="107"/>
      <c r="B48" s="107"/>
      <c r="C48" s="107"/>
      <c r="D48" s="107"/>
      <c r="E48" s="107"/>
      <c r="F48" s="107"/>
      <c r="G48" s="107"/>
      <c r="H48" s="107"/>
      <c r="I48" s="107"/>
      <c r="J48" s="107"/>
      <c r="K48" s="107"/>
      <c r="L48" s="107"/>
      <c r="M48" s="322"/>
      <c r="N48" s="60"/>
      <c r="O48" s="60"/>
      <c r="P48" s="60"/>
      <c r="Q48" s="563"/>
      <c r="R48" s="564"/>
      <c r="S48" s="565">
        <v>1</v>
      </c>
      <c r="T48" s="565"/>
      <c r="U48" s="566" t="s">
        <v>106</v>
      </c>
      <c r="V48" s="567" t="s">
        <v>107</v>
      </c>
      <c r="W48" s="568" t="str">
        <f ca="1">OFFSET(W48,0,-1)</f>
        <v>2</v>
      </c>
      <c r="X48" s="569">
        <f ca="1">OFFSET(X48,0,-1)+1</f>
        <v>3</v>
      </c>
      <c r="Y48" s="426"/>
      <c r="Z48" s="426"/>
      <c r="AA48" s="426">
        <f ca="1">OFFSET(AA48,0,-1)+1</f>
        <v>1</v>
      </c>
      <c r="AB48" s="426">
        <f ca="1">OFFSET(AB48,0,-1)+1</f>
        <v>2</v>
      </c>
      <c r="AC48" s="569">
        <f ca="1">OFFSET(AC48,0,-1)+1</f>
        <v>3</v>
      </c>
      <c r="AD48" s="569">
        <f ca="1">OFFSET(AD48,0,-1)+1</f>
        <v>4</v>
      </c>
      <c r="AE48" s="569"/>
      <c r="AF48" s="569">
        <f ca="1">OFFSET(AF48,0,-2)+1</f>
        <v>5</v>
      </c>
      <c r="AG48" s="569">
        <f ca="1">OFFSET(AG48,0,-1)+1</f>
        <v>6</v>
      </c>
      <c r="AH48" s="569"/>
      <c r="AI48" s="569"/>
      <c r="AJ48" s="569">
        <f ca="1">OFFSET(AJ48,0,-1)+1</f>
        <v>1</v>
      </c>
      <c r="AK48" s="569">
        <f ca="1">OFFSET(AK48,0,-1)+1</f>
        <v>2</v>
      </c>
      <c r="AL48" s="569">
        <f ca="1">OFFSET(AL48,0,-1)+1</f>
        <v>3</v>
      </c>
      <c r="AM48" s="569">
        <f ca="1">OFFSET(AM48,0,-1)+1</f>
        <v>4</v>
      </c>
      <c r="AN48" s="569"/>
      <c r="AO48" s="569">
        <f ca="1">OFFSET(AO48,0,-2)+1</f>
        <v>5</v>
      </c>
      <c r="AP48" s="568">
        <f ca="1">OFFSET(AP48,0,-1)</f>
        <v>5</v>
      </c>
      <c r="AQ48" s="569">
        <f ca="1">OFFSET(AQ48,0,-1)+1</f>
        <v>6</v>
      </c>
      <c r="AR48" s="57"/>
      <c r="AS48" s="57"/>
      <c r="AT48" s="57"/>
      <c r="AU48" s="57"/>
      <c r="AV48" s="57"/>
      <c r="AW48" s="131">
        <v>0</v>
      </c>
    </row>
    <row r="49" ht="22" customHeight="1">
      <c r="A49" s="264" t="s">
        <v>171</v>
      </c>
      <c r="B49" s="264"/>
      <c r="C49" s="264"/>
      <c r="D49" s="264"/>
      <c r="E49" s="575">
        <v>1</v>
      </c>
      <c r="F49" s="264"/>
      <c r="G49" s="264"/>
      <c r="H49" s="264"/>
      <c r="I49" s="264"/>
      <c r="J49" s="264"/>
      <c r="K49" s="264"/>
      <c r="L49" s="264"/>
      <c r="M49" s="322"/>
      <c r="N49" s="86"/>
      <c r="O49" s="86"/>
      <c r="P49" s="86"/>
      <c r="Q49" s="60"/>
      <c r="R49" s="143"/>
      <c r="S49" s="143"/>
      <c r="T49" s="483"/>
      <c r="U49" s="484">
        <f>INDEX(PT_DIFFERENTIATION_NUM_NTAR,MATCH(A49,PT_DIFFERENTIATION_NTAR_ID,0))</f>
        <v>0</v>
      </c>
      <c r="V49" s="485" t="s">
        <v>120</v>
      </c>
      <c r="W49" s="486"/>
      <c r="X49" s="487"/>
      <c r="Y49" s="488"/>
      <c r="Z49" s="488"/>
      <c r="AA49" s="488"/>
      <c r="AB49" s="488"/>
      <c r="AC49" s="488"/>
      <c r="AD49" s="488"/>
      <c r="AE49" s="488"/>
      <c r="AF49" s="489"/>
      <c r="AG49" s="487" t="str">
        <f>INDEX(PT_DIFFERENTIATION_NTAR,MATCH(A49,PT_DIFFERENTIATION_NTAR_ID,0))</f>
        <v/>
      </c>
      <c r="AH49" s="488"/>
      <c r="AI49" s="488"/>
      <c r="AJ49" s="488"/>
      <c r="AK49" s="488"/>
      <c r="AL49" s="488"/>
      <c r="AM49" s="488"/>
      <c r="AN49" s="488"/>
      <c r="AO49" s="488"/>
      <c r="AP49" s="489"/>
      <c r="AQ49" s="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9"/>
      <c r="AT49" s="129" t="str">
        <f t="shared" si="19"/>
        <v xml:space="preserve">Наименование тарифа</v>
      </c>
      <c r="AU49" s="129"/>
      <c r="AV49" s="129"/>
      <c r="AW49" s="50">
        <v>21</v>
      </c>
    </row>
    <row r="50" ht="22" customHeight="1">
      <c r="A50" s="264" t="s">
        <v>171</v>
      </c>
      <c r="B50" s="264" t="s">
        <v>172</v>
      </c>
      <c r="C50" s="264"/>
      <c r="D50" s="264"/>
      <c r="E50" s="576"/>
      <c r="F50" s="575">
        <v>1</v>
      </c>
      <c r="G50" s="264"/>
      <c r="H50" s="264"/>
      <c r="I50" s="264"/>
      <c r="J50" s="264"/>
      <c r="K50" s="264"/>
      <c r="L50" s="264"/>
      <c r="M50" s="322"/>
      <c r="N50" s="86"/>
      <c r="O50" s="86"/>
      <c r="P50" s="86"/>
      <c r="Q50" s="51"/>
      <c r="R50" s="492"/>
      <c r="S50" s="50"/>
      <c r="T50" s="493"/>
      <c r="U50" s="484" t="str">
        <f>INDEX(PT_DIFFERENTIATION_NUM_TER,MATCH(B50,PT_DIFFERENTIATION_TER_ID,0))</f>
        <v>.</v>
      </c>
      <c r="V50" s="494" t="s">
        <v>392</v>
      </c>
      <c r="W50" s="486"/>
      <c r="X50" s="487"/>
      <c r="Y50" s="488"/>
      <c r="Z50" s="488"/>
      <c r="AA50" s="488"/>
      <c r="AB50" s="488"/>
      <c r="AC50" s="488"/>
      <c r="AD50" s="488"/>
      <c r="AE50" s="488"/>
      <c r="AF50" s="489"/>
      <c r="AG50" s="487" t="str">
        <f>INDEX(PT_DIFFERENTIATION_TER,MATCH(B50,PT_DIFFERENTIATION_TER_ID,0))</f>
        <v/>
      </c>
      <c r="AH50" s="488"/>
      <c r="AI50" s="488"/>
      <c r="AJ50" s="488"/>
      <c r="AK50" s="488"/>
      <c r="AL50" s="488"/>
      <c r="AM50" s="488"/>
      <c r="AN50" s="488"/>
      <c r="AO50" s="488"/>
      <c r="AP50" s="489"/>
      <c r="AQ50" s="490" t="s">
        <v>393</v>
      </c>
      <c r="AS50" s="129"/>
      <c r="AT50" s="129" t="str">
        <f t="shared" si="19"/>
        <v xml:space="preserve">Территория действия тарифа</v>
      </c>
      <c r="AU50" s="129"/>
      <c r="AV50" s="129"/>
      <c r="AW50" s="50">
        <v>21</v>
      </c>
    </row>
    <row r="51" ht="24" customHeight="1">
      <c r="A51" s="264" t="s">
        <v>171</v>
      </c>
      <c r="B51" s="264" t="s">
        <v>172</v>
      </c>
      <c r="C51" s="264" t="s">
        <v>173</v>
      </c>
      <c r="D51" s="264"/>
      <c r="E51" s="576"/>
      <c r="F51" s="576"/>
      <c r="G51" s="575">
        <v>1</v>
      </c>
      <c r="H51" s="264"/>
      <c r="I51" s="264"/>
      <c r="J51" s="264"/>
      <c r="K51" s="264"/>
      <c r="L51" s="264"/>
      <c r="M51" s="322"/>
      <c r="N51" s="86"/>
      <c r="O51" s="86"/>
      <c r="P51" s="86"/>
      <c r="Q51" s="495"/>
      <c r="R51" s="492"/>
      <c r="S51" s="50"/>
      <c r="T51" s="493"/>
      <c r="U51" s="484" t="str">
        <f>INDEX(PT_DIFFERENTIATION_NUM_CS,MATCH(C51,PT_DIFFERENTIATION_CS_ID,0))</f>
        <v>..</v>
      </c>
      <c r="V51" s="496" t="s">
        <v>394</v>
      </c>
      <c r="W51" s="486"/>
      <c r="X51" s="487"/>
      <c r="Y51" s="488"/>
      <c r="Z51" s="488"/>
      <c r="AA51" s="488"/>
      <c r="AB51" s="488"/>
      <c r="AC51" s="488"/>
      <c r="AD51" s="488"/>
      <c r="AE51" s="488"/>
      <c r="AF51" s="489"/>
      <c r="AG51" s="487" t="str">
        <f>INDEX(PT_DIFFERENTIATION_CS,MATCH(C51,PT_DIFFERENTIATION_CS_ID,0))</f>
        <v/>
      </c>
      <c r="AH51" s="488"/>
      <c r="AI51" s="488"/>
      <c r="AJ51" s="488"/>
      <c r="AK51" s="488"/>
      <c r="AL51" s="488"/>
      <c r="AM51" s="488"/>
      <c r="AN51" s="488"/>
      <c r="AO51" s="488"/>
      <c r="AP51" s="489"/>
      <c r="AQ51" s="490" t="s">
        <v>395</v>
      </c>
      <c r="AS51" s="129"/>
      <c r="AT51" s="129" t="str">
        <f t="shared" si="19"/>
        <v xml:space="preserve">Наименование системы теплоснабжения </v>
      </c>
      <c r="AU51" s="129"/>
      <c r="AV51" s="129"/>
      <c r="AW51" s="50">
        <v>23</v>
      </c>
    </row>
    <row r="52" ht="22" customHeight="1">
      <c r="A52" s="264" t="s">
        <v>171</v>
      </c>
      <c r="B52" s="264" t="s">
        <v>172</v>
      </c>
      <c r="C52" s="264" t="s">
        <v>173</v>
      </c>
      <c r="D52" s="264" t="s">
        <v>174</v>
      </c>
      <c r="E52" s="576"/>
      <c r="F52" s="576"/>
      <c r="G52" s="576"/>
      <c r="H52" s="575">
        <v>1</v>
      </c>
      <c r="I52" s="264"/>
      <c r="J52" s="264"/>
      <c r="K52" s="264"/>
      <c r="L52" s="264"/>
      <c r="M52" s="322"/>
      <c r="N52" s="86"/>
      <c r="O52" s="86"/>
      <c r="P52" s="86"/>
      <c r="Q52" s="495"/>
      <c r="R52" s="492"/>
      <c r="S52" s="50"/>
      <c r="T52" s="493"/>
      <c r="U52" s="484" t="str">
        <f>INDEX(PT_DIFFERENTIATION_NUM_IST_TE,MATCH(D52,PT_DIFFERENTIATION_IST_TE_ID,0))</f>
        <v>...</v>
      </c>
      <c r="V52" s="497" t="s">
        <v>396</v>
      </c>
      <c r="W52" s="486"/>
      <c r="X52" s="487"/>
      <c r="Y52" s="488"/>
      <c r="Z52" s="488"/>
      <c r="AA52" s="488"/>
      <c r="AB52" s="488"/>
      <c r="AC52" s="488"/>
      <c r="AD52" s="488"/>
      <c r="AE52" s="488"/>
      <c r="AF52" s="489"/>
      <c r="AG52" s="487" t="str">
        <f>INDEX(PT_DIFFERENTIATION_IST_TE,MATCH(D52,PT_DIFFERENTIATION_IST_TE_ID,0))</f>
        <v/>
      </c>
      <c r="AH52" s="488"/>
      <c r="AI52" s="488"/>
      <c r="AJ52" s="488"/>
      <c r="AK52" s="488"/>
      <c r="AL52" s="488"/>
      <c r="AM52" s="488"/>
      <c r="AN52" s="488"/>
      <c r="AO52" s="488"/>
      <c r="AP52" s="489"/>
      <c r="AQ52" s="490" t="s">
        <v>397</v>
      </c>
      <c r="AS52" s="129"/>
      <c r="AT52" s="129" t="str">
        <f t="shared" si="19"/>
        <v xml:space="preserve">Источник тепловой энергии  </v>
      </c>
      <c r="AU52" s="129"/>
      <c r="AV52" s="129"/>
      <c r="AW52" s="50">
        <v>21</v>
      </c>
    </row>
    <row r="53" s="57" customFormat="1" ht="0" customHeight="1">
      <c r="A53" s="577" t="s">
        <v>171</v>
      </c>
      <c r="B53" s="577" t="s">
        <v>172</v>
      </c>
      <c r="C53" s="577" t="s">
        <v>173</v>
      </c>
      <c r="D53" s="577" t="s">
        <v>174</v>
      </c>
      <c r="E53" s="576"/>
      <c r="F53" s="576"/>
      <c r="G53" s="576"/>
      <c r="H53" s="576"/>
      <c r="I53" s="157" t="str">
        <f>U52&amp;".1"</f>
        <v>....1</v>
      </c>
      <c r="J53" s="577"/>
      <c r="K53" s="577"/>
      <c r="L53" s="577"/>
      <c r="M53" s="578" t="s">
        <v>398</v>
      </c>
      <c r="N53" s="563"/>
      <c r="O53" s="563"/>
      <c r="P53" s="563"/>
      <c r="Q53" s="132">
        <v>1</v>
      </c>
      <c r="R53" s="132"/>
      <c r="S53" s="132"/>
      <c r="T53" s="499"/>
      <c r="U53" s="351"/>
      <c r="V53" s="586"/>
      <c r="W53" s="587"/>
      <c r="X53" s="588"/>
      <c r="Y53" s="589"/>
      <c r="Z53" s="589"/>
      <c r="AA53" s="589"/>
      <c r="AB53" s="589"/>
      <c r="AC53" s="589"/>
      <c r="AD53" s="589"/>
      <c r="AE53" s="589"/>
      <c r="AF53" s="590"/>
      <c r="AG53" s="588"/>
      <c r="AH53" s="589"/>
      <c r="AI53" s="589"/>
      <c r="AJ53" s="589"/>
      <c r="AK53" s="589"/>
      <c r="AL53" s="589"/>
      <c r="AM53" s="589"/>
      <c r="AN53" s="589"/>
      <c r="AO53" s="589"/>
      <c r="AP53" s="590"/>
      <c r="AQ53" s="591"/>
      <c r="AS53" s="129"/>
      <c r="AT53" s="129" t="str">
        <f t="shared" si="19"/>
        <v/>
      </c>
      <c r="AU53" s="129"/>
      <c r="AV53" s="129"/>
      <c r="AW53" s="57">
        <v>0</v>
      </c>
    </row>
    <row r="54" ht="22" customHeight="1">
      <c r="A54" s="264" t="s">
        <v>171</v>
      </c>
      <c r="B54" s="264" t="s">
        <v>172</v>
      </c>
      <c r="C54" s="264" t="s">
        <v>173</v>
      </c>
      <c r="D54" s="264" t="s">
        <v>174</v>
      </c>
      <c r="E54" s="576"/>
      <c r="F54" s="576"/>
      <c r="G54" s="576"/>
      <c r="H54" s="576"/>
      <c r="I54" s="73"/>
      <c r="J54" s="157" t="str">
        <f>I53&amp;".1"</f>
        <v>....1.1</v>
      </c>
      <c r="K54" s="264"/>
      <c r="L54" s="264"/>
      <c r="M54" s="322" t="s">
        <v>401</v>
      </c>
      <c r="Q54" s="132"/>
      <c r="R54" s="132">
        <v>1</v>
      </c>
      <c r="S54" s="57"/>
      <c r="T54" s="504"/>
      <c r="U54" s="484" t="str">
        <f>$J54</f>
        <v>....1.1</v>
      </c>
      <c r="V54" s="505" t="s">
        <v>402</v>
      </c>
      <c r="W54" s="486"/>
      <c r="X54" s="431"/>
      <c r="Y54" s="501"/>
      <c r="Z54" s="501"/>
      <c r="AA54" s="501"/>
      <c r="AB54" s="501"/>
      <c r="AC54" s="446"/>
      <c r="AD54" s="446"/>
      <c r="AE54" s="446"/>
      <c r="AF54" s="614"/>
      <c r="AG54" s="431"/>
      <c r="AH54" s="501"/>
      <c r="AI54" s="501"/>
      <c r="AJ54" s="501"/>
      <c r="AK54" s="501"/>
      <c r="AL54" s="501"/>
      <c r="AM54" s="501"/>
      <c r="AN54" s="501"/>
      <c r="AO54" s="501"/>
      <c r="AP54" s="502"/>
      <c r="AQ54" s="490" t="s">
        <v>403</v>
      </c>
      <c r="AS54" s="129"/>
      <c r="AT54" s="129" t="str">
        <f t="shared" si="19"/>
        <v xml:space="preserve">Группа потребителей</v>
      </c>
      <c r="AU54" s="129"/>
      <c r="AV54" s="129"/>
      <c r="AW54" s="50">
        <v>21</v>
      </c>
    </row>
    <row r="55" ht="22" customHeight="1">
      <c r="A55" s="264" t="s">
        <v>171</v>
      </c>
      <c r="B55" s="264" t="s">
        <v>172</v>
      </c>
      <c r="C55" s="264" t="s">
        <v>173</v>
      </c>
      <c r="D55" s="264" t="s">
        <v>174</v>
      </c>
      <c r="E55" s="576"/>
      <c r="F55" s="576"/>
      <c r="G55" s="576"/>
      <c r="H55" s="576"/>
      <c r="I55" s="73"/>
      <c r="J55" s="73"/>
      <c r="K55" s="157" t="str">
        <f>J54&amp;".1"</f>
        <v>....1.1.1</v>
      </c>
      <c r="L55" s="51"/>
      <c r="M55" s="322" t="s">
        <v>404</v>
      </c>
      <c r="Q55" s="132"/>
      <c r="R55" s="132"/>
      <c r="S55" s="57">
        <v>1</v>
      </c>
      <c r="T55" s="504"/>
      <c r="U55" s="484" t="str">
        <f>$K55</f>
        <v>....1.1.1</v>
      </c>
      <c r="V55" s="506"/>
      <c r="W55" s="486"/>
      <c r="X55" s="507"/>
      <c r="Y55" s="507"/>
      <c r="Z55" s="507"/>
      <c r="AA55" s="507"/>
      <c r="AB55" s="615"/>
      <c r="AC55" s="510"/>
      <c r="AD55" s="224" t="s">
        <v>65</v>
      </c>
      <c r="AE55" s="510"/>
      <c r="AF55" s="224" t="s">
        <v>65</v>
      </c>
      <c r="AG55" s="616"/>
      <c r="AH55" s="507"/>
      <c r="AI55" s="507"/>
      <c r="AJ55" s="507"/>
      <c r="AK55" s="509"/>
      <c r="AL55" s="510"/>
      <c r="AM55" s="224" t="s">
        <v>65</v>
      </c>
      <c r="AN55" s="510"/>
      <c r="AO55" s="224" t="s">
        <v>65</v>
      </c>
      <c r="AP55" s="571"/>
      <c r="AQ55" s="617" t="s">
        <v>447</v>
      </c>
      <c r="AR55" s="57" t="e">
        <f t="shared" ref="AR55:AR56" si="20">STRCHECKDATE(X57:AP57)</f>
        <v>#NAME?</v>
      </c>
      <c r="AS55" s="129"/>
      <c r="AT55" s="129" t="str">
        <f t="shared" si="19"/>
        <v/>
      </c>
      <c r="AU55" s="129"/>
      <c r="AV55" s="129"/>
      <c r="AW55" s="50">
        <v>21</v>
      </c>
    </row>
    <row r="56" ht="11.5" customHeight="1">
      <c r="A56" s="264" t="s">
        <v>171</v>
      </c>
      <c r="B56" s="264" t="s">
        <v>172</v>
      </c>
      <c r="C56" s="264" t="s">
        <v>173</v>
      </c>
      <c r="D56" s="264" t="s">
        <v>174</v>
      </c>
      <c r="E56" s="576"/>
      <c r="F56" s="576"/>
      <c r="G56" s="576"/>
      <c r="H56" s="576"/>
      <c r="I56" s="73"/>
      <c r="J56" s="73"/>
      <c r="K56" s="73"/>
      <c r="L56" s="157" t="str">
        <f>K55&amp;".1"</f>
        <v>....1.1.1.1</v>
      </c>
      <c r="M56" s="322"/>
      <c r="Q56" s="132"/>
      <c r="R56" s="132"/>
      <c r="S56" s="57">
        <v>1</v>
      </c>
      <c r="T56" s="504"/>
      <c r="U56" s="484" t="str">
        <f>$L56</f>
        <v>....1.1.1.1</v>
      </c>
      <c r="V56" s="618"/>
      <c r="W56" s="486"/>
      <c r="X56" s="508"/>
      <c r="Y56" s="507"/>
      <c r="Z56" s="507"/>
      <c r="AA56" s="507"/>
      <c r="AB56" s="615"/>
      <c r="AC56" s="513"/>
      <c r="AD56" s="224"/>
      <c r="AE56" s="513"/>
      <c r="AF56" s="224"/>
      <c r="AG56" s="616"/>
      <c r="AH56" s="507"/>
      <c r="AI56" s="507"/>
      <c r="AJ56" s="507"/>
      <c r="AK56" s="509"/>
      <c r="AL56" s="513"/>
      <c r="AM56" s="224"/>
      <c r="AN56" s="513"/>
      <c r="AO56" s="224"/>
      <c r="AP56" s="571"/>
      <c r="AQ56" s="511" t="s">
        <v>448</v>
      </c>
      <c r="AR56" s="57" t="e">
        <f t="shared" si="20"/>
        <v>#NAME?</v>
      </c>
      <c r="AS56" s="129"/>
      <c r="AT56" s="129" t="str">
        <f t="shared" si="19"/>
        <v/>
      </c>
      <c r="AU56" s="129"/>
      <c r="AV56" s="129"/>
      <c r="AW56" s="50">
        <v>11</v>
      </c>
    </row>
    <row r="57" ht="0" customHeight="1">
      <c r="A57" s="264" t="s">
        <v>171</v>
      </c>
      <c r="B57" s="264" t="s">
        <v>172</v>
      </c>
      <c r="C57" s="264" t="s">
        <v>173</v>
      </c>
      <c r="D57" s="264" t="s">
        <v>174</v>
      </c>
      <c r="E57" s="576"/>
      <c r="F57" s="576"/>
      <c r="G57" s="576"/>
      <c r="H57" s="576"/>
      <c r="I57" s="73"/>
      <c r="J57" s="73"/>
      <c r="K57" s="73"/>
      <c r="L57" s="157"/>
      <c r="M57" s="322"/>
      <c r="Q57" s="132"/>
      <c r="R57" s="132"/>
      <c r="S57" s="57"/>
      <c r="T57" s="504"/>
      <c r="U57" s="458"/>
      <c r="V57" s="486"/>
      <c r="W57" s="486"/>
      <c r="X57" s="508"/>
      <c r="Y57" s="508"/>
      <c r="Z57" s="508"/>
      <c r="AA57" s="508"/>
      <c r="AB57" s="619" t="str">
        <f>AC55&amp;"-"&amp;AE55</f>
        <v>-</v>
      </c>
      <c r="AC57" s="513"/>
      <c r="AD57" s="224"/>
      <c r="AE57" s="513"/>
      <c r="AF57" s="224"/>
      <c r="AG57" s="620"/>
      <c r="AH57" s="508"/>
      <c r="AI57" s="508"/>
      <c r="AJ57" s="508"/>
      <c r="AK57" s="512" t="str">
        <f>AL55&amp;"-"&amp;AN55</f>
        <v>-</v>
      </c>
      <c r="AL57" s="513"/>
      <c r="AM57" s="224"/>
      <c r="AN57" s="513"/>
      <c r="AO57" s="224"/>
      <c r="AP57" s="573"/>
      <c r="AQ57" s="514"/>
      <c r="AS57" s="129"/>
      <c r="AT57" s="129" t="str">
        <f t="shared" si="19"/>
        <v/>
      </c>
      <c r="AU57" s="129"/>
      <c r="AV57" s="129"/>
      <c r="AW57" s="50">
        <v>0</v>
      </c>
    </row>
    <row r="58" ht="11.5" customHeight="1">
      <c r="A58" s="264" t="s">
        <v>171</v>
      </c>
      <c r="B58" s="264" t="s">
        <v>172</v>
      </c>
      <c r="C58" s="264" t="s">
        <v>173</v>
      </c>
      <c r="D58" s="264" t="s">
        <v>174</v>
      </c>
      <c r="E58" s="576"/>
      <c r="F58" s="576"/>
      <c r="G58" s="576"/>
      <c r="H58" s="576"/>
      <c r="I58" s="73"/>
      <c r="J58" s="73"/>
      <c r="K58" s="157"/>
      <c r="L58" s="264"/>
      <c r="M58" s="322"/>
      <c r="Q58" s="132"/>
      <c r="R58" s="132"/>
      <c r="S58" s="132"/>
      <c r="T58" s="499"/>
      <c r="U58" s="515"/>
      <c r="V58" s="516" t="s">
        <v>449</v>
      </c>
      <c r="W58" s="214"/>
      <c r="X58" s="214"/>
      <c r="Y58" s="214"/>
      <c r="Z58" s="214"/>
      <c r="AA58" s="214"/>
      <c r="AB58" s="214"/>
      <c r="AC58" s="513"/>
      <c r="AD58" s="224"/>
      <c r="AE58" s="513"/>
      <c r="AF58" s="224"/>
      <c r="AG58" s="214"/>
      <c r="AH58" s="214"/>
      <c r="AI58" s="214"/>
      <c r="AJ58" s="214"/>
      <c r="AK58" s="214"/>
      <c r="AL58" s="513"/>
      <c r="AM58" s="224"/>
      <c r="AN58" s="513"/>
      <c r="AO58" s="224"/>
      <c r="AP58" s="517"/>
      <c r="AQ58" s="514"/>
      <c r="AS58" s="129"/>
      <c r="AT58" s="129" t="str">
        <f t="shared" si="19"/>
        <v xml:space="preserve">Добавить наименование поставщика</v>
      </c>
      <c r="AU58" s="129"/>
      <c r="AV58" s="129"/>
      <c r="AW58" s="50">
        <v>11</v>
      </c>
    </row>
    <row r="59" ht="11.5" customHeight="1">
      <c r="A59" s="264" t="s">
        <v>171</v>
      </c>
      <c r="B59" s="264" t="s">
        <v>172</v>
      </c>
      <c r="C59" s="264" t="s">
        <v>173</v>
      </c>
      <c r="D59" s="264" t="s">
        <v>174</v>
      </c>
      <c r="E59" s="576"/>
      <c r="F59" s="576"/>
      <c r="G59" s="576"/>
      <c r="H59" s="576"/>
      <c r="I59" s="73"/>
      <c r="J59" s="157"/>
      <c r="K59" s="264"/>
      <c r="L59" s="264"/>
      <c r="M59" s="322"/>
      <c r="Q59" s="132"/>
      <c r="R59" s="132"/>
      <c r="S59" s="132"/>
      <c r="T59" s="499"/>
      <c r="U59" s="515"/>
      <c r="V59" s="519" t="s">
        <v>406</v>
      </c>
      <c r="W59" s="214"/>
      <c r="X59" s="214"/>
      <c r="Y59" s="214"/>
      <c r="Z59" s="214"/>
      <c r="AA59" s="214"/>
      <c r="AB59" s="214"/>
      <c r="AC59" s="625"/>
      <c r="AD59" s="625"/>
      <c r="AE59" s="625"/>
      <c r="AF59" s="625"/>
      <c r="AG59" s="214"/>
      <c r="AH59" s="214"/>
      <c r="AI59" s="214"/>
      <c r="AJ59" s="214"/>
      <c r="AK59" s="214"/>
      <c r="AL59" s="214"/>
      <c r="AM59" s="214"/>
      <c r="AN59" s="214"/>
      <c r="AO59" s="214"/>
      <c r="AP59" s="517"/>
      <c r="AQ59" s="518"/>
      <c r="AS59" s="129"/>
      <c r="AT59" s="129" t="str">
        <f t="shared" si="19"/>
        <v xml:space="preserve">Добавить вид теплоносителя (параметры теплоносителя)</v>
      </c>
      <c r="AU59" s="129"/>
      <c r="AV59" s="129"/>
      <c r="AW59" s="50">
        <v>11</v>
      </c>
    </row>
    <row r="60" ht="11.5" customHeight="1">
      <c r="A60" s="264" t="s">
        <v>171</v>
      </c>
      <c r="B60" s="264" t="s">
        <v>172</v>
      </c>
      <c r="C60" s="264" t="s">
        <v>173</v>
      </c>
      <c r="D60" s="264" t="s">
        <v>174</v>
      </c>
      <c r="E60" s="576"/>
      <c r="F60" s="576"/>
      <c r="G60" s="576"/>
      <c r="H60" s="576"/>
      <c r="I60" s="157"/>
      <c r="J60" s="264"/>
      <c r="K60" s="264"/>
      <c r="L60" s="264"/>
      <c r="M60" s="322"/>
      <c r="Q60" s="132"/>
      <c r="R60" s="132"/>
      <c r="S60" s="132"/>
      <c r="T60" s="499"/>
      <c r="U60" s="515"/>
      <c r="V60" s="523" t="s">
        <v>407</v>
      </c>
      <c r="W60" s="214"/>
      <c r="X60" s="214"/>
      <c r="Y60" s="214"/>
      <c r="Z60" s="214"/>
      <c r="AA60" s="214"/>
      <c r="AB60" s="214"/>
      <c r="AC60" s="214"/>
      <c r="AD60" s="214"/>
      <c r="AE60" s="214"/>
      <c r="AF60" s="520"/>
      <c r="AG60" s="214"/>
      <c r="AH60" s="214"/>
      <c r="AI60" s="214"/>
      <c r="AJ60" s="214"/>
      <c r="AK60" s="214"/>
      <c r="AL60" s="214"/>
      <c r="AM60" s="214"/>
      <c r="AN60" s="214"/>
      <c r="AO60" s="520"/>
      <c r="AP60" s="214"/>
      <c r="AQ60" s="521"/>
      <c r="AS60" s="129"/>
      <c r="AT60" s="129" t="str">
        <f t="shared" si="19"/>
        <v xml:space="preserve">Добавить группу потребителей</v>
      </c>
      <c r="AU60" s="129"/>
      <c r="AV60" s="129"/>
      <c r="AW60" s="50">
        <v>11</v>
      </c>
    </row>
    <row r="61" ht="0" customHeight="1">
      <c r="A61" s="264" t="s">
        <v>171</v>
      </c>
      <c r="B61" s="264" t="s">
        <v>172</v>
      </c>
      <c r="C61" s="264" t="s">
        <v>173</v>
      </c>
      <c r="D61" s="264" t="s">
        <v>174</v>
      </c>
      <c r="E61" s="576"/>
      <c r="F61" s="576"/>
      <c r="G61" s="576"/>
      <c r="H61" s="575"/>
      <c r="I61" s="264"/>
      <c r="J61" s="264"/>
      <c r="K61" s="264"/>
      <c r="L61" s="264"/>
      <c r="M61" s="322"/>
      <c r="N61" s="86"/>
      <c r="O61" s="86"/>
      <c r="P61" s="50"/>
      <c r="Q61" s="143"/>
      <c r="R61" s="522"/>
      <c r="S61" s="483"/>
      <c r="T61" s="143"/>
      <c r="U61" s="592"/>
      <c r="V61" s="593"/>
      <c r="W61" s="594"/>
      <c r="X61" s="594"/>
      <c r="Y61" s="594"/>
      <c r="Z61" s="594"/>
      <c r="AA61" s="594"/>
      <c r="AB61" s="594"/>
      <c r="AC61" s="594"/>
      <c r="AD61" s="594"/>
      <c r="AE61" s="594"/>
      <c r="AF61" s="594"/>
      <c r="AG61" s="594"/>
      <c r="AH61" s="594"/>
      <c r="AI61" s="594"/>
      <c r="AJ61" s="594"/>
      <c r="AK61" s="594"/>
      <c r="AL61" s="594"/>
      <c r="AM61" s="594"/>
      <c r="AN61" s="594"/>
      <c r="AO61" s="594"/>
      <c r="AP61" s="594"/>
      <c r="AQ61" s="595"/>
      <c r="AS61" s="129"/>
      <c r="AT61" s="129" t="str">
        <f t="shared" si="19"/>
        <v/>
      </c>
      <c r="AU61" s="129"/>
      <c r="AV61" s="129"/>
      <c r="AW61" s="50">
        <v>0</v>
      </c>
    </row>
    <row r="62" s="57" customFormat="1" ht="0" customHeight="1">
      <c r="A62" s="577" t="s">
        <v>171</v>
      </c>
      <c r="B62" s="577" t="s">
        <v>172</v>
      </c>
      <c r="C62" s="577" t="s">
        <v>173</v>
      </c>
      <c r="D62" s="577"/>
      <c r="E62" s="576"/>
      <c r="F62" s="576"/>
      <c r="G62" s="575"/>
      <c r="H62" s="577"/>
      <c r="I62" s="577"/>
      <c r="J62" s="577"/>
      <c r="K62" s="577"/>
      <c r="L62" s="577"/>
      <c r="M62" s="578"/>
      <c r="N62" s="579"/>
      <c r="O62" s="579"/>
      <c r="P62" s="131"/>
      <c r="Q62" s="167"/>
      <c r="R62" s="524"/>
      <c r="S62" s="167"/>
      <c r="T62" s="167"/>
      <c r="U62" s="529"/>
      <c r="V62" s="532" t="s">
        <v>409</v>
      </c>
      <c r="W62" s="531"/>
      <c r="X62" s="531"/>
      <c r="Y62" s="531"/>
      <c r="Z62" s="531"/>
      <c r="AA62" s="531"/>
      <c r="AB62" s="531"/>
      <c r="AC62" s="531"/>
      <c r="AD62" s="531"/>
      <c r="AE62" s="531"/>
      <c r="AF62" s="531"/>
      <c r="AG62" s="531"/>
      <c r="AH62" s="531"/>
      <c r="AI62" s="531"/>
      <c r="AJ62" s="531"/>
      <c r="AK62" s="531"/>
      <c r="AL62" s="531"/>
      <c r="AM62" s="531"/>
      <c r="AN62" s="531"/>
      <c r="AO62" s="531"/>
      <c r="AP62" s="531"/>
      <c r="AQ62" s="531"/>
      <c r="AS62" s="129"/>
      <c r="AT62" s="129" t="str">
        <f t="shared" si="19"/>
        <v xml:space="preserve">Добавить источник для дифференциации</v>
      </c>
      <c r="AU62" s="129"/>
      <c r="AV62" s="129"/>
      <c r="AW62" s="57">
        <v>0</v>
      </c>
    </row>
    <row r="63" s="57" customFormat="1" ht="0" customHeight="1">
      <c r="A63" s="577" t="s">
        <v>171</v>
      </c>
      <c r="B63" s="577" t="s">
        <v>172</v>
      </c>
      <c r="C63" s="577"/>
      <c r="D63" s="577"/>
      <c r="E63" s="576"/>
      <c r="F63" s="575"/>
      <c r="G63" s="577"/>
      <c r="H63" s="577"/>
      <c r="I63" s="577"/>
      <c r="J63" s="577"/>
      <c r="K63" s="577"/>
      <c r="L63" s="577"/>
      <c r="M63" s="578"/>
      <c r="N63" s="580"/>
      <c r="O63" s="580"/>
      <c r="P63" s="131"/>
      <c r="Q63" s="167"/>
      <c r="R63" s="524"/>
      <c r="S63" s="167"/>
      <c r="T63" s="167"/>
      <c r="U63" s="529"/>
      <c r="V63" s="532" t="s">
        <v>410</v>
      </c>
      <c r="W63" s="531"/>
      <c r="X63" s="531"/>
      <c r="Y63" s="531"/>
      <c r="Z63" s="531"/>
      <c r="AA63" s="531"/>
      <c r="AB63" s="531"/>
      <c r="AC63" s="531"/>
      <c r="AD63" s="531"/>
      <c r="AE63" s="531"/>
      <c r="AF63" s="531"/>
      <c r="AG63" s="531"/>
      <c r="AH63" s="531"/>
      <c r="AI63" s="531"/>
      <c r="AJ63" s="531"/>
      <c r="AK63" s="531"/>
      <c r="AL63" s="531"/>
      <c r="AM63" s="531"/>
      <c r="AN63" s="531"/>
      <c r="AO63" s="531"/>
      <c r="AP63" s="531"/>
      <c r="AQ63" s="531"/>
      <c r="AS63" s="129"/>
      <c r="AT63" s="129" t="str">
        <f t="shared" si="19"/>
        <v xml:space="preserve">Добавить централизованную систему для дифференциации</v>
      </c>
      <c r="AU63" s="129"/>
      <c r="AV63" s="129"/>
      <c r="AW63" s="57">
        <v>0</v>
      </c>
    </row>
    <row r="64" s="57" customFormat="1" ht="0" customHeight="1">
      <c r="A64" s="577" t="s">
        <v>171</v>
      </c>
      <c r="B64" s="577"/>
      <c r="C64" s="577"/>
      <c r="D64" s="577"/>
      <c r="E64" s="575"/>
      <c r="F64" s="577"/>
      <c r="G64" s="577"/>
      <c r="H64" s="577"/>
      <c r="I64" s="577"/>
      <c r="J64" s="577"/>
      <c r="K64" s="577"/>
      <c r="L64" s="577"/>
      <c r="M64" s="578"/>
      <c r="N64" s="580"/>
      <c r="O64" s="580"/>
      <c r="P64" s="131"/>
      <c r="Q64" s="167"/>
      <c r="R64" s="524"/>
      <c r="S64" s="167"/>
      <c r="T64" s="167"/>
      <c r="U64" s="529"/>
      <c r="V64" s="532" t="s">
        <v>411</v>
      </c>
      <c r="W64" s="531"/>
      <c r="X64" s="531"/>
      <c r="Y64" s="531"/>
      <c r="Z64" s="531"/>
      <c r="AA64" s="531"/>
      <c r="AB64" s="531"/>
      <c r="AC64" s="531"/>
      <c r="AD64" s="531"/>
      <c r="AE64" s="531"/>
      <c r="AF64" s="531"/>
      <c r="AG64" s="531"/>
      <c r="AH64" s="531"/>
      <c r="AI64" s="531"/>
      <c r="AJ64" s="531"/>
      <c r="AK64" s="531"/>
      <c r="AL64" s="531"/>
      <c r="AM64" s="531"/>
      <c r="AN64" s="531"/>
      <c r="AO64" s="531"/>
      <c r="AP64" s="531"/>
      <c r="AQ64" s="531"/>
      <c r="AS64" s="129"/>
      <c r="AT64" s="129" t="str">
        <f t="shared" si="19"/>
        <v xml:space="preserve">Добавить территорию для дифференциации</v>
      </c>
      <c r="AU64" s="129"/>
      <c r="AV64" s="129"/>
      <c r="AW64" s="57">
        <v>0</v>
      </c>
    </row>
    <row r="65" s="57" customFormat="1" ht="4.2000000000000002" customHeight="1">
      <c r="A65" s="577"/>
      <c r="B65" s="577"/>
      <c r="C65" s="577"/>
      <c r="D65" s="577"/>
      <c r="E65" s="577"/>
      <c r="F65" s="577"/>
      <c r="G65" s="577"/>
      <c r="H65" s="577"/>
      <c r="I65" s="577"/>
      <c r="J65" s="577"/>
      <c r="K65" s="577"/>
      <c r="L65" s="577"/>
      <c r="M65" s="578"/>
      <c r="N65" s="580"/>
      <c r="O65" s="580"/>
      <c r="P65" s="131"/>
      <c r="Q65" s="167"/>
      <c r="R65" s="524"/>
      <c r="S65" s="167"/>
      <c r="T65" s="167"/>
      <c r="U65" s="529"/>
      <c r="V65" s="532" t="s">
        <v>443</v>
      </c>
      <c r="W65" s="531"/>
      <c r="X65" s="531"/>
      <c r="Y65" s="531"/>
      <c r="Z65" s="531"/>
      <c r="AA65" s="531"/>
      <c r="AB65" s="531"/>
      <c r="AC65" s="531"/>
      <c r="AD65" s="531"/>
      <c r="AE65" s="531"/>
      <c r="AF65" s="531"/>
      <c r="AG65" s="531"/>
      <c r="AH65" s="531"/>
      <c r="AI65" s="531"/>
      <c r="AJ65" s="531"/>
      <c r="AK65" s="531"/>
      <c r="AL65" s="531"/>
      <c r="AM65" s="531"/>
      <c r="AN65" s="531"/>
      <c r="AO65" s="531"/>
      <c r="AP65" s="531"/>
      <c r="AQ65" s="531"/>
      <c r="AS65" s="129"/>
      <c r="AT65" s="129" t="str">
        <f t="shared" si="19"/>
        <v xml:space="preserve">Добавить наименование тарифа</v>
      </c>
      <c r="AU65" s="129"/>
      <c r="AV65" s="129"/>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76"/>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W67" s="50">
        <v>34</v>
      </c>
    </row>
    <row r="68" ht="21" customHeight="1">
      <c r="P68" s="50"/>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W68" s="50">
        <v>20</v>
      </c>
    </row>
    <row r="69" ht="14.65" customHeight="1">
      <c r="P69" s="50"/>
      <c r="AW69" s="50">
        <v>14</v>
      </c>
    </row>
    <row r="70" ht="28.5" customHeight="1">
      <c r="P70" s="50"/>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W70" s="50">
        <v>27</v>
      </c>
    </row>
    <row r="71" ht="18.75" customHeight="1">
      <c r="P71" s="50"/>
      <c r="V71" s="574"/>
      <c r="W71" s="574"/>
      <c r="X71" s="574"/>
      <c r="Y71" s="574"/>
      <c r="Z71" s="574"/>
      <c r="AA71" s="574"/>
      <c r="AB71" s="574"/>
      <c r="AC71" s="574"/>
      <c r="AD71" s="574"/>
      <c r="AE71" s="574"/>
      <c r="AF71" s="574"/>
      <c r="AG71" s="574"/>
      <c r="AH71" s="574"/>
      <c r="AI71" s="574"/>
      <c r="AJ71" s="574"/>
      <c r="AK71" s="574"/>
      <c r="AL71" s="574"/>
      <c r="AM71" s="574"/>
      <c r="AN71" s="574"/>
      <c r="AO71" s="574"/>
      <c r="AP71" s="574"/>
      <c r="AQ71" s="574"/>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78">
        <v>3</v>
      </c>
      <c r="S72" s="478">
        <v>3</v>
      </c>
      <c r="T72" s="478">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1002F-0086-44C7-9978-005200A20002}"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47001E-0080-4044-AF6F-00D0007000F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AD001E-00C9-468E-B424-0055000600AE}"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A00088-0046-4B9E-9278-003C00D90094}"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2" zoomScale="90" workbookViewId="0">
      <selection activeCell="L59" activeCellId="0" sqref="L59"/>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PP110.OPEN.INFO.INVEST.HEAT.EIAS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Информация об инвестиционных программах регулируемой организации в области теплоснабжения</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hidden="1" customHeight="1">
      <c r="A11" s="88" t="s">
        <v>20</v>
      </c>
      <c r="D11" s="71"/>
      <c r="E11" s="78" t="s">
        <v>21</v>
      </c>
      <c r="F11" s="89" t="s">
        <v>22</v>
      </c>
      <c r="G11" s="83"/>
      <c r="H11" s="90" t="s">
        <v>23</v>
      </c>
      <c r="J11" s="53" t="s">
        <v>24</v>
      </c>
      <c r="Q11" s="50">
        <v>0</v>
      </c>
    </row>
    <row r="12" ht="22.5" hidden="1" customHeight="1">
      <c r="A12" s="88"/>
      <c r="D12" s="71"/>
      <c r="E12" s="78" t="s">
        <v>25</v>
      </c>
      <c r="F12" s="89"/>
      <c r="G12" s="91"/>
      <c r="J12" s="53" t="s">
        <v>26</v>
      </c>
      <c r="Q12" s="50">
        <v>0</v>
      </c>
    </row>
    <row r="13" s="50" customFormat="1" ht="22.5" hidden="1" customHeight="1">
      <c r="A13" s="92" t="s">
        <v>27</v>
      </c>
      <c r="B13" s="48"/>
      <c r="C13" s="49"/>
      <c r="D13" s="71"/>
      <c r="E13" s="93" t="s">
        <v>28</v>
      </c>
      <c r="F13" s="89" t="s">
        <v>22</v>
      </c>
      <c r="G13" s="83"/>
      <c r="H13" s="63"/>
      <c r="I13" s="52"/>
      <c r="J13" s="61" t="s">
        <v>29</v>
      </c>
      <c r="Q13" s="50">
        <v>0</v>
      </c>
    </row>
    <row r="14" s="50" customFormat="1" ht="27" customHeight="1">
      <c r="A14" s="92" t="s">
        <v>30</v>
      </c>
      <c r="B14" s="48"/>
      <c r="C14" s="49"/>
      <c r="D14" s="71"/>
      <c r="E14" s="78" t="s">
        <v>31</v>
      </c>
      <c r="F14" s="94">
        <v>2025</v>
      </c>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23</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96"/>
      <c r="G19" s="91"/>
      <c r="I19" s="97"/>
      <c r="J19" s="98"/>
      <c r="Q19" s="50">
        <v>0</v>
      </c>
    </row>
    <row r="20" ht="22.5" hidden="1" customHeight="1">
      <c r="D20" s="71"/>
      <c r="E20" s="99"/>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hidden="1"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c r="G21" s="91"/>
      <c r="I21" s="100"/>
      <c r="Q21" s="50">
        <v>0</v>
      </c>
    </row>
    <row r="22" ht="19.5" hidden="1"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c r="G22" s="91"/>
      <c r="I22" s="100"/>
      <c r="Q22" s="50">
        <v>0</v>
      </c>
    </row>
    <row r="23" ht="22.5" hidden="1" customHeight="1">
      <c r="D23" s="71"/>
      <c r="E23" s="78" t="s">
        <v>41</v>
      </c>
      <c r="F23" s="95"/>
      <c r="G23" s="91"/>
      <c r="Q23" s="50">
        <v>0</v>
      </c>
    </row>
    <row r="24" ht="19.5" hidden="1" customHeight="1">
      <c r="D24" s="71"/>
      <c r="E24" s="78" t="s">
        <v>42</v>
      </c>
      <c r="F24" s="95"/>
      <c r="G24" s="91"/>
      <c r="Q24" s="50">
        <v>0</v>
      </c>
    </row>
    <row r="25" ht="22.5" hidden="1" customHeight="1">
      <c r="D25" s="71"/>
      <c r="E25" s="99"/>
      <c r="F25" s="51" t="str">
        <f>"Изменение "&amp;IF(TEMPLATE_GROUP="P","тарифов","предложения по тарифам")</f>
        <v xml:space="preserve">Изменение предложения по тарифам</v>
      </c>
      <c r="G25" s="91"/>
      <c r="J25" s="75" t="s">
        <v>43</v>
      </c>
      <c r="Q25" s="50">
        <v>0</v>
      </c>
    </row>
    <row r="26" ht="19.5" hidden="1"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заявления об изменении тарифов</v>
      </c>
      <c r="F27" s="101"/>
      <c r="G27" s="91"/>
      <c r="Q27" s="50">
        <v>0</v>
      </c>
    </row>
    <row r="28" ht="24.75" hidden="1" customHeight="1">
      <c r="D28" s="71"/>
      <c r="E28" s="78" t="s">
        <v>44</v>
      </c>
      <c r="F28" s="101"/>
      <c r="G28" s="91"/>
      <c r="Q28" s="50">
        <v>0</v>
      </c>
    </row>
    <row r="29" ht="19.5" hidden="1" customHeight="1">
      <c r="D29" s="71"/>
      <c r="E29" s="78" t="s">
        <v>42</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45</v>
      </c>
      <c r="G31" s="105"/>
      <c r="Q31" s="50">
        <v>20</v>
      </c>
    </row>
    <row r="32" ht="21" hidden="1" customHeight="1">
      <c r="C32" s="102"/>
      <c r="D32" s="103"/>
      <c r="E32" s="106" t="s">
        <v>46</v>
      </c>
      <c r="F32" s="104"/>
      <c r="G32" s="105"/>
      <c r="Q32" s="50">
        <v>20</v>
      </c>
    </row>
    <row r="33" ht="21" customHeight="1">
      <c r="C33" s="102"/>
      <c r="D33" s="103"/>
      <c r="E33" s="78" t="s">
        <v>47</v>
      </c>
      <c r="F33" s="104" t="s">
        <v>48</v>
      </c>
      <c r="G33" s="105"/>
      <c r="Q33" s="50">
        <v>20</v>
      </c>
    </row>
    <row r="34" ht="21" customHeight="1">
      <c r="C34" s="102"/>
      <c r="D34" s="103"/>
      <c r="E34" s="78" t="s">
        <v>49</v>
      </c>
      <c r="F34" s="104" t="s">
        <v>50</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51</v>
      </c>
      <c r="F36" s="109" t="s">
        <v>52</v>
      </c>
      <c r="G36" s="83"/>
      <c r="Q36" s="50">
        <v>0</v>
      </c>
    </row>
    <row r="37" ht="21" customHeight="1">
      <c r="A37" s="108"/>
      <c r="D37" s="103"/>
      <c r="E37" s="78" t="s">
        <v>53</v>
      </c>
      <c r="F37" s="109" t="s">
        <v>54</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55</v>
      </c>
      <c r="F39" s="87" t="s">
        <v>19</v>
      </c>
      <c r="G39" s="91"/>
      <c r="H39" s="90" t="s">
        <v>23</v>
      </c>
      <c r="Q39" s="50">
        <v>35</v>
      </c>
    </row>
    <row r="40" s="65" customFormat="1" ht="6" hidden="1" customHeight="1">
      <c r="A40" s="47"/>
      <c r="B40" s="66"/>
      <c r="C40" s="67"/>
      <c r="D40" s="68"/>
      <c r="E40" s="110"/>
      <c r="F40" s="111"/>
      <c r="G40" s="91"/>
      <c r="H40" s="50"/>
      <c r="I40" s="52"/>
      <c r="J40" s="53"/>
      <c r="Q40" s="65">
        <v>6</v>
      </c>
    </row>
    <row r="41" s="50" customFormat="1" ht="26.25" hidden="1" customHeight="1">
      <c r="A41" s="92" t="s">
        <v>27</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hidden="1" customHeight="1">
      <c r="A42" s="47"/>
      <c r="B42" s="66"/>
      <c r="C42" s="67"/>
      <c r="D42" s="68"/>
      <c r="E42" s="110"/>
      <c r="F42" s="111"/>
      <c r="G42" s="91"/>
      <c r="H42" s="50"/>
      <c r="I42" s="52"/>
      <c r="J42" s="70"/>
      <c r="Q42" s="65">
        <v>0</v>
      </c>
    </row>
    <row r="43" s="50" customFormat="1" ht="27" hidden="1" customHeight="1">
      <c r="A43" s="47"/>
      <c r="B43" s="48"/>
      <c r="C43" s="49"/>
      <c r="D43" s="71"/>
      <c r="E43" s="78" t="s">
        <v>56</v>
      </c>
      <c r="F43" s="87" t="s">
        <v>19</v>
      </c>
      <c r="G43" s="91"/>
      <c r="I43" s="52"/>
      <c r="J43" s="53"/>
      <c r="Q43" s="50">
        <v>0</v>
      </c>
    </row>
    <row r="44" s="50" customFormat="1" ht="27" hidden="1" customHeight="1">
      <c r="A44" s="47"/>
      <c r="B44" s="48"/>
      <c r="C44" s="49"/>
      <c r="D44" s="71"/>
      <c r="E44" s="78" t="s">
        <v>57</v>
      </c>
      <c r="F44" s="112"/>
      <c r="G44" s="91"/>
      <c r="I44" s="52"/>
      <c r="J44" s="53"/>
      <c r="Q44" s="50">
        <v>0</v>
      </c>
    </row>
    <row r="45" s="65" customFormat="1" ht="6" hidden="1" customHeight="1">
      <c r="A45" s="47"/>
      <c r="B45" s="66"/>
      <c r="C45" s="67"/>
      <c r="D45" s="68"/>
      <c r="E45" s="110"/>
      <c r="F45" s="111"/>
      <c r="G45" s="91"/>
      <c r="H45" s="50"/>
      <c r="I45" s="52"/>
      <c r="J45" s="53"/>
      <c r="Q45" s="65">
        <v>0</v>
      </c>
    </row>
    <row r="46" s="65" customFormat="1" ht="24.75" hidden="1" customHeight="1">
      <c r="A46" s="47"/>
      <c r="B46" s="66"/>
      <c r="C46" s="67"/>
      <c r="D46" s="68"/>
      <c r="E46" s="78" t="s">
        <v>58</v>
      </c>
      <c r="F46" s="87" t="s">
        <v>19</v>
      </c>
      <c r="G46" s="91"/>
      <c r="H46" s="50"/>
      <c r="I46" s="52"/>
      <c r="J46" s="53"/>
      <c r="Q46" s="65">
        <v>0</v>
      </c>
    </row>
    <row r="47" s="50" customFormat="1" ht="24.75" hidden="1" customHeight="1">
      <c r="A47" s="47"/>
      <c r="B47" s="48"/>
      <c r="C47" s="49"/>
      <c r="D47" s="71"/>
      <c r="E47" s="78" t="s">
        <v>59</v>
      </c>
      <c r="F47" s="87" t="s">
        <v>19</v>
      </c>
      <c r="G47" s="91"/>
      <c r="I47" s="52"/>
      <c r="J47" s="53"/>
      <c r="Q47" s="50">
        <v>0</v>
      </c>
    </row>
    <row r="48" s="65" customFormat="1" ht="6" hidden="1" customHeight="1">
      <c r="A48" s="47"/>
      <c r="B48" s="66"/>
      <c r="C48" s="67"/>
      <c r="D48" s="68"/>
      <c r="E48" s="110"/>
      <c r="F48" s="111"/>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60</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61</v>
      </c>
      <c r="F53" s="116" t="s">
        <v>19</v>
      </c>
      <c r="G53" s="51"/>
      <c r="I53" s="114"/>
      <c r="J53" s="53"/>
      <c r="P53" s="115"/>
      <c r="Q53" s="50">
        <v>0</v>
      </c>
    </row>
    <row r="54" s="50" customFormat="1" ht="27" hidden="1" customHeight="1">
      <c r="A54" s="113"/>
      <c r="B54" s="48"/>
      <c r="C54" s="49"/>
      <c r="D54" s="52"/>
      <c r="E54" s="78" t="s">
        <v>62</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63</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64</v>
      </c>
      <c r="F58" s="116" t="s">
        <v>65</v>
      </c>
      <c r="G58" s="51"/>
      <c r="I58" s="114"/>
      <c r="J58" s="53"/>
      <c r="P58" s="115"/>
      <c r="Q58" s="50">
        <v>0</v>
      </c>
    </row>
    <row r="59" s="50" customFormat="1" ht="75"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t="s">
        <v>65</v>
      </c>
      <c r="G59" s="51"/>
      <c r="I59" s="114"/>
      <c r="J59" s="53"/>
      <c r="P59" s="115"/>
      <c r="Q59" s="50">
        <v>0</v>
      </c>
    </row>
    <row r="60" s="50" customFormat="1" ht="15" customHeight="1">
      <c r="A60" s="113"/>
      <c r="B60" s="48"/>
      <c r="C60" s="49"/>
      <c r="D60" s="52"/>
      <c r="E60" s="78" t="s">
        <v>66</v>
      </c>
      <c r="F60" s="109" t="s">
        <v>67</v>
      </c>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68</v>
      </c>
      <c r="F62" s="87" t="s">
        <v>65</v>
      </c>
      <c r="G62" s="91"/>
      <c r="H62" s="90" t="s">
        <v>23</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69</v>
      </c>
      <c r="F64" s="95" t="s">
        <v>70</v>
      </c>
      <c r="G64" s="83"/>
      <c r="Q64" s="50">
        <v>20</v>
      </c>
    </row>
    <row r="65" ht="21" customHeight="1">
      <c r="A65" s="47"/>
      <c r="B65" s="118"/>
      <c r="D65" s="119"/>
      <c r="E65" s="78" t="s">
        <v>71</v>
      </c>
      <c r="F65" s="95" t="s">
        <v>72</v>
      </c>
      <c r="G65" s="83"/>
      <c r="Q65" s="50">
        <v>20</v>
      </c>
    </row>
    <row r="66" ht="36.75" customHeight="1">
      <c r="D66" s="71"/>
      <c r="E66" s="120" t="s">
        <v>73</v>
      </c>
      <c r="F66" s="121"/>
      <c r="G66" s="91"/>
      <c r="Q66" s="50">
        <v>35</v>
      </c>
    </row>
    <row r="67" ht="21" customHeight="1">
      <c r="A67" s="47"/>
      <c r="D67" s="71"/>
      <c r="E67" s="78" t="s">
        <v>74</v>
      </c>
      <c r="F67" s="95" t="s">
        <v>75</v>
      </c>
      <c r="G67" s="83"/>
      <c r="Q67" s="50">
        <v>20</v>
      </c>
    </row>
    <row r="68" ht="21" customHeight="1">
      <c r="A68" s="47"/>
      <c r="B68" s="118"/>
      <c r="D68" s="119"/>
      <c r="E68" s="78" t="s">
        <v>76</v>
      </c>
      <c r="F68" s="95" t="s">
        <v>77</v>
      </c>
      <c r="G68" s="83"/>
      <c r="Q68" s="50">
        <v>20</v>
      </c>
    </row>
    <row r="69" ht="21" customHeight="1">
      <c r="A69" s="47"/>
      <c r="B69" s="118"/>
      <c r="D69" s="119"/>
      <c r="E69" s="78" t="s">
        <v>78</v>
      </c>
      <c r="F69" s="95" t="s">
        <v>79</v>
      </c>
      <c r="G69" s="83"/>
      <c r="Q69" s="50">
        <v>20</v>
      </c>
    </row>
    <row r="70" ht="21" customHeight="1">
      <c r="D70" s="71"/>
      <c r="E70" s="78" t="s">
        <v>80</v>
      </c>
      <c r="F70" s="95" t="s">
        <v>81</v>
      </c>
      <c r="G70" s="91"/>
      <c r="Q70" s="50">
        <v>20</v>
      </c>
    </row>
    <row r="71" ht="21" customHeight="1">
      <c r="A71" s="47"/>
      <c r="D71" s="91"/>
      <c r="F71" s="122"/>
      <c r="G71" s="83"/>
      <c r="Q71" s="50">
        <v>20</v>
      </c>
    </row>
    <row r="72" ht="21" customHeight="1">
      <c r="A72" s="47"/>
      <c r="B72" s="118"/>
      <c r="D72" s="119"/>
      <c r="E72" s="123"/>
      <c r="F72" s="124" t="s">
        <v>13</v>
      </c>
      <c r="G72" s="83"/>
      <c r="Q72" s="50">
        <v>20</v>
      </c>
    </row>
    <row r="73" ht="21" customHeight="1">
      <c r="A73" s="47"/>
      <c r="B73" s="118"/>
      <c r="D73" s="119"/>
      <c r="E73" s="123"/>
      <c r="F73" s="125"/>
      <c r="G73" s="83"/>
      <c r="Q73" s="50">
        <v>20</v>
      </c>
    </row>
    <row r="74" ht="21" customHeight="1">
      <c r="A74" s="47"/>
      <c r="B74" s="118"/>
      <c r="D74" s="119"/>
      <c r="E74" s="126"/>
      <c r="F74" s="125"/>
      <c r="G74" s="83"/>
      <c r="Q74" s="50">
        <v>20</v>
      </c>
    </row>
    <row r="75" ht="21" customHeight="1">
      <c r="A75" s="47"/>
      <c r="B75" s="118"/>
      <c r="D75" s="119"/>
      <c r="E75" s="123"/>
      <c r="F75" s="125"/>
      <c r="G75" s="83"/>
      <c r="Q75" s="50">
        <v>20</v>
      </c>
    </row>
    <row r="76" ht="11.5" customHeight="1">
      <c r="Q76" s="50">
        <v>11</v>
      </c>
    </row>
    <row r="77" ht="11.5" customHeight="1">
      <c r="Q77" s="50">
        <v>11</v>
      </c>
    </row>
    <row r="78" ht="11.5" customHeight="1">
      <c r="E78" s="127"/>
      <c r="F78" s="127"/>
      <c r="G78" s="127"/>
      <c r="H78" s="127"/>
      <c r="I78" s="127"/>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1" deleteRows="1" formatCells="1" formatColumns="0" formatRows="0" insertColumns="1" insertHyperlinks="1" insertRows="1" objects="0" pivotTables="1" scenarios="0" selectLockedCells="0" selectUnlockedCells="0" sheet="1" sort="1"/>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980030-00B3-4AB1-A84C-00EB0030008A}"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100078-00BC-41E3-B084-008100060064}"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1200BD-003E-4D9F-B676-0088003E00C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930018-0043-4C09-8FC7-0080007200E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1A00BD-00C0-47B6-967D-009000030074}"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BB00BA-000B-4BFB-8903-0093003F00C7}"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6900FA-003A-4C81-8270-007D00430049}"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32004A-00FF-44BE-82E2-00E7007B00AD}"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6200D2-0015-479B-BBF6-005800DA0002}"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38" width="3.00390625"/>
    <col customWidth="1" min="18" max="18" style="478"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120</v>
      </c>
      <c r="U2" s="486"/>
      <c r="V2" s="488"/>
      <c r="W2" s="488"/>
      <c r="X2" s="488"/>
      <c r="Y2" s="488"/>
      <c r="Z2" s="488"/>
      <c r="AA2" s="489"/>
      <c r="AB2" s="487" t="e">
        <f>INDEX(PT_DIFFERENTIATION_NTAR,MATCH(A2,PT_DIFFERENTIATION_NTAR_ID,0))</f>
        <v>#VALUE!</v>
      </c>
      <c r="AC2" s="488"/>
      <c r="AD2" s="488"/>
      <c r="AE2" s="488"/>
      <c r="AF2" s="488"/>
      <c r="AG2" s="488"/>
      <c r="AH2" s="488"/>
      <c r="AI2" s="488"/>
      <c r="AJ2" s="488"/>
      <c r="AK2" s="488"/>
      <c r="AL2" s="488"/>
      <c r="AM2" s="488"/>
      <c r="AN2" s="488"/>
      <c r="AO2" s="488"/>
      <c r="AP2" s="488"/>
      <c r="AQ2" s="488"/>
      <c r="AR2" s="488"/>
      <c r="AS2" s="488"/>
      <c r="AT2" s="489"/>
      <c r="AU2" s="490" t="s">
        <v>391</v>
      </c>
      <c r="AW2" s="129"/>
      <c r="AX2" s="129" t="str">
        <f t="shared" ref="AX2:AX8" si="21">IF(T2="","",T2)</f>
        <v xml:space="preserve">Наименование тарифа</v>
      </c>
      <c r="AY2" s="129"/>
      <c r="AZ2" s="129"/>
      <c r="BA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392</v>
      </c>
      <c r="U3" s="486"/>
      <c r="V3" s="488"/>
      <c r="W3" s="488"/>
      <c r="X3" s="488"/>
      <c r="Y3" s="488"/>
      <c r="Z3" s="488"/>
      <c r="AA3" s="489"/>
      <c r="AB3" s="487" t="e">
        <f>INDEX(PT_DIFFERENTIATION_TER,MATCH(B3,PT_DIFFERENTIATION_TER_ID,0))</f>
        <v>#VALUE!</v>
      </c>
      <c r="AC3" s="488"/>
      <c r="AD3" s="488"/>
      <c r="AE3" s="488"/>
      <c r="AF3" s="488"/>
      <c r="AG3" s="488"/>
      <c r="AH3" s="488"/>
      <c r="AI3" s="488"/>
      <c r="AJ3" s="488"/>
      <c r="AK3" s="488"/>
      <c r="AL3" s="488"/>
      <c r="AM3" s="488"/>
      <c r="AN3" s="488"/>
      <c r="AO3" s="488"/>
      <c r="AP3" s="488"/>
      <c r="AQ3" s="488"/>
      <c r="AR3" s="488"/>
      <c r="AS3" s="488"/>
      <c r="AT3" s="489"/>
      <c r="AU3" s="490" t="s">
        <v>393</v>
      </c>
      <c r="AW3" s="129"/>
      <c r="AX3" s="129" t="str">
        <f t="shared" si="21"/>
        <v xml:space="preserve">Территория действия тарифа</v>
      </c>
      <c r="AY3" s="129"/>
      <c r="AZ3" s="129"/>
      <c r="BA3" s="50">
        <v>0</v>
      </c>
    </row>
    <row r="4" ht="22.5"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394</v>
      </c>
      <c r="U4" s="486"/>
      <c r="V4" s="488"/>
      <c r="W4" s="488"/>
      <c r="X4" s="488"/>
      <c r="Y4" s="488"/>
      <c r="Z4" s="488"/>
      <c r="AA4" s="489"/>
      <c r="AB4" s="487" t="e">
        <f>INDEX(PT_DIFFERENTIATION_CS,MATCH(C4,PT_DIFFERENTIATION_CS_ID,0))</f>
        <v>#VALUE!</v>
      </c>
      <c r="AC4" s="488"/>
      <c r="AD4" s="488"/>
      <c r="AE4" s="488"/>
      <c r="AF4" s="488"/>
      <c r="AG4" s="488"/>
      <c r="AH4" s="488"/>
      <c r="AI4" s="488"/>
      <c r="AJ4" s="488"/>
      <c r="AK4" s="488"/>
      <c r="AL4" s="488"/>
      <c r="AM4" s="488"/>
      <c r="AN4" s="488"/>
      <c r="AO4" s="488"/>
      <c r="AP4" s="488"/>
      <c r="AQ4" s="488"/>
      <c r="AR4" s="488"/>
      <c r="AS4" s="488"/>
      <c r="AT4" s="489"/>
      <c r="AU4" s="490" t="s">
        <v>395</v>
      </c>
      <c r="AW4" s="129"/>
      <c r="AX4" s="129" t="str">
        <f t="shared" si="21"/>
        <v xml:space="preserve">Наименование системы теплоснабжения </v>
      </c>
      <c r="AY4" s="129"/>
      <c r="AZ4" s="129"/>
      <c r="BA4" s="50">
        <v>0</v>
      </c>
    </row>
    <row r="5" ht="21" hidden="1" customHeight="1">
      <c r="A5" s="479"/>
      <c r="B5" s="479"/>
      <c r="C5" s="479"/>
      <c r="D5" s="479"/>
      <c r="E5" s="491"/>
      <c r="F5" s="491"/>
      <c r="G5" s="491"/>
      <c r="H5" s="480">
        <v>1</v>
      </c>
      <c r="I5" s="479"/>
      <c r="J5" s="479"/>
      <c r="K5" s="479"/>
      <c r="L5" s="481"/>
      <c r="M5" s="482"/>
      <c r="N5" s="482"/>
      <c r="O5" s="482"/>
      <c r="P5" s="135"/>
      <c r="Q5" s="629"/>
      <c r="R5" s="493"/>
      <c r="S5" s="484" t="e">
        <f>INDEX(PT_DIFFERENTIATION_NUM_IST_TE,MATCH(D5,PT_DIFFERENTIATION_IST_TE_ID,0))</f>
        <v>#VALUE!</v>
      </c>
      <c r="T5" s="497" t="s">
        <v>396</v>
      </c>
      <c r="U5" s="486"/>
      <c r="V5" s="488"/>
      <c r="W5" s="488"/>
      <c r="X5" s="488"/>
      <c r="Y5" s="488"/>
      <c r="Z5" s="488"/>
      <c r="AA5" s="489"/>
      <c r="AB5" s="487" t="e">
        <f>INDEX(PT_DIFFERENTIATION_IST_TE,MATCH(D5,PT_DIFFERENTIATION_IST_TE_ID,0))</f>
        <v>#VALUE!</v>
      </c>
      <c r="AC5" s="488"/>
      <c r="AD5" s="488"/>
      <c r="AE5" s="488"/>
      <c r="AF5" s="488"/>
      <c r="AG5" s="488"/>
      <c r="AH5" s="488"/>
      <c r="AI5" s="488"/>
      <c r="AJ5" s="488"/>
      <c r="AK5" s="488"/>
      <c r="AL5" s="488"/>
      <c r="AM5" s="488"/>
      <c r="AN5" s="488"/>
      <c r="AO5" s="488"/>
      <c r="AP5" s="488"/>
      <c r="AQ5" s="488"/>
      <c r="AR5" s="488"/>
      <c r="AS5" s="488"/>
      <c r="AT5" s="489"/>
      <c r="AU5" s="490" t="s">
        <v>397</v>
      </c>
      <c r="AW5" s="129"/>
      <c r="AX5" s="129" t="str">
        <f t="shared" si="21"/>
        <v xml:space="preserve">Источник тепловой энергии  </v>
      </c>
      <c r="AY5" s="129"/>
      <c r="AZ5" s="129"/>
      <c r="BA5" s="50">
        <v>0</v>
      </c>
    </row>
    <row r="6" s="57" customFormat="1" ht="0.75" hidden="1" customHeight="1">
      <c r="A6" s="133"/>
      <c r="B6" s="133"/>
      <c r="C6" s="133"/>
      <c r="D6" s="133"/>
      <c r="E6" s="491"/>
      <c r="F6" s="491"/>
      <c r="G6" s="491"/>
      <c r="H6" s="491"/>
      <c r="I6" s="498" t="e">
        <f>S5&amp;".1"</f>
        <v>#VALUE!</v>
      </c>
      <c r="J6" s="133"/>
      <c r="K6" s="133"/>
      <c r="L6" s="212" t="s">
        <v>398</v>
      </c>
      <c r="M6" s="596"/>
      <c r="N6" s="596"/>
      <c r="O6" s="596"/>
      <c r="P6" s="132">
        <v>1</v>
      </c>
      <c r="Q6" s="132"/>
      <c r="R6" s="499"/>
      <c r="S6" s="351"/>
      <c r="T6" s="586"/>
      <c r="U6" s="587"/>
      <c r="V6" s="589"/>
      <c r="W6" s="589"/>
      <c r="X6" s="589"/>
      <c r="Y6" s="589"/>
      <c r="Z6" s="589"/>
      <c r="AA6" s="590"/>
      <c r="AB6" s="588"/>
      <c r="AC6" s="589"/>
      <c r="AD6" s="589"/>
      <c r="AE6" s="589"/>
      <c r="AF6" s="589"/>
      <c r="AG6" s="589"/>
      <c r="AH6" s="589"/>
      <c r="AI6" s="589"/>
      <c r="AJ6" s="589"/>
      <c r="AK6" s="589"/>
      <c r="AL6" s="589"/>
      <c r="AM6" s="589"/>
      <c r="AN6" s="589"/>
      <c r="AO6" s="589"/>
      <c r="AP6" s="589"/>
      <c r="AQ6" s="589"/>
      <c r="AR6" s="589"/>
      <c r="AS6" s="589"/>
      <c r="AT6" s="590"/>
      <c r="AU6" s="591"/>
      <c r="AW6" s="129"/>
      <c r="AX6" s="129" t="str">
        <f t="shared" si="21"/>
        <v/>
      </c>
      <c r="AY6" s="129"/>
      <c r="AZ6" s="129"/>
      <c r="BA6" s="57">
        <v>0</v>
      </c>
    </row>
    <row r="7" s="57" customFormat="1" ht="0.75" hidden="1" customHeight="1">
      <c r="A7" s="133"/>
      <c r="B7" s="133"/>
      <c r="C7" s="133"/>
      <c r="D7" s="133"/>
      <c r="E7" s="491"/>
      <c r="F7" s="491"/>
      <c r="G7" s="491"/>
      <c r="H7" s="491"/>
      <c r="I7" s="503"/>
      <c r="J7" s="498" t="e">
        <f>S5&amp;".1"</f>
        <v>#VALUE!</v>
      </c>
      <c r="K7" s="133"/>
      <c r="L7" s="212"/>
      <c r="M7" s="596"/>
      <c r="N7" s="596"/>
      <c r="O7" s="596"/>
      <c r="P7" s="132"/>
      <c r="Q7" s="132">
        <v>1</v>
      </c>
      <c r="R7" s="504"/>
      <c r="S7" s="351"/>
      <c r="T7" s="630"/>
      <c r="U7" s="587"/>
      <c r="V7" s="589"/>
      <c r="W7" s="589"/>
      <c r="X7" s="589"/>
      <c r="Y7" s="589"/>
      <c r="Z7" s="589"/>
      <c r="AA7" s="590"/>
      <c r="AB7" s="588"/>
      <c r="AC7" s="589"/>
      <c r="AD7" s="589"/>
      <c r="AE7" s="589"/>
      <c r="AF7" s="589"/>
      <c r="AG7" s="589"/>
      <c r="AH7" s="589"/>
      <c r="AI7" s="589"/>
      <c r="AJ7" s="589"/>
      <c r="AK7" s="589"/>
      <c r="AL7" s="589"/>
      <c r="AM7" s="589"/>
      <c r="AN7" s="589"/>
      <c r="AO7" s="589"/>
      <c r="AP7" s="589"/>
      <c r="AQ7" s="589"/>
      <c r="AR7" s="589"/>
      <c r="AS7" s="589"/>
      <c r="AT7" s="590"/>
      <c r="AU7" s="591"/>
      <c r="AW7" s="129"/>
      <c r="AX7" s="129" t="str">
        <f t="shared" si="21"/>
        <v/>
      </c>
      <c r="AY7" s="129"/>
      <c r="AZ7" s="129"/>
      <c r="BA7" s="57">
        <v>0</v>
      </c>
    </row>
    <row r="8" ht="21" hidden="1" customHeight="1">
      <c r="A8" s="479"/>
      <c r="B8" s="479"/>
      <c r="C8" s="479"/>
      <c r="D8" s="479"/>
      <c r="E8" s="491"/>
      <c r="F8" s="491"/>
      <c r="G8" s="491"/>
      <c r="H8" s="491"/>
      <c r="I8" s="503"/>
      <c r="J8" s="503"/>
      <c r="K8" s="498" t="e">
        <f>S5&amp;".1"</f>
        <v>#VALUE!</v>
      </c>
      <c r="L8" s="481"/>
      <c r="P8" s="132"/>
      <c r="Q8" s="132"/>
      <c r="R8" s="631">
        <v>1</v>
      </c>
      <c r="S8" s="598" t="e">
        <f>$K8</f>
        <v>#VALUE!</v>
      </c>
      <c r="T8" s="632"/>
      <c r="U8" s="486"/>
      <c r="V8" s="507"/>
      <c r="W8" s="509"/>
      <c r="X8" s="510"/>
      <c r="Y8" s="224" t="s">
        <v>65</v>
      </c>
      <c r="Z8" s="510"/>
      <c r="AA8" s="224" t="s">
        <v>65</v>
      </c>
      <c r="AB8" s="224" t="s">
        <v>19</v>
      </c>
      <c r="AC8" s="633"/>
      <c r="AD8" s="345">
        <v>1</v>
      </c>
      <c r="AE8" s="87"/>
      <c r="AF8" s="224" t="s">
        <v>19</v>
      </c>
      <c r="AG8" s="633"/>
      <c r="AH8" s="345">
        <v>1</v>
      </c>
      <c r="AI8" s="87"/>
      <c r="AJ8" s="224" t="s">
        <v>19</v>
      </c>
      <c r="AK8" s="634"/>
      <c r="AL8" s="345">
        <v>1</v>
      </c>
      <c r="AM8" s="116"/>
      <c r="AN8" s="507"/>
      <c r="AO8" s="509"/>
      <c r="AP8" s="510"/>
      <c r="AQ8" s="224" t="s">
        <v>65</v>
      </c>
      <c r="AR8" s="510"/>
      <c r="AS8" s="224" t="s">
        <v>65</v>
      </c>
      <c r="AT8" s="571"/>
      <c r="AU8" s="511" t="s">
        <v>459</v>
      </c>
      <c r="AV8" s="57" t="e">
        <f>STRCHECKDATE(V11:AT11)</f>
        <v>#NAME?</v>
      </c>
      <c r="AW8" s="129"/>
      <c r="AX8" s="129" t="str">
        <f t="shared" si="21"/>
        <v/>
      </c>
      <c r="AY8" s="129"/>
      <c r="AZ8" s="129"/>
      <c r="BA8" s="50">
        <v>0</v>
      </c>
    </row>
    <row r="9" ht="11.25" hidden="1" customHeight="1">
      <c r="A9" s="479"/>
      <c r="B9" s="479"/>
      <c r="C9" s="479"/>
      <c r="D9" s="479"/>
      <c r="E9" s="491"/>
      <c r="F9" s="491"/>
      <c r="G9" s="491"/>
      <c r="H9" s="491"/>
      <c r="I9" s="503"/>
      <c r="J9" s="503"/>
      <c r="K9" s="498"/>
      <c r="L9" s="481"/>
      <c r="P9" s="132"/>
      <c r="Q9" s="132"/>
      <c r="R9" s="631"/>
      <c r="S9" s="635"/>
      <c r="T9" s="636"/>
      <c r="U9" s="486"/>
      <c r="V9" s="622"/>
      <c r="W9" s="637"/>
      <c r="X9" s="510"/>
      <c r="Y9" s="224"/>
      <c r="Z9" s="510"/>
      <c r="AA9" s="224"/>
      <c r="AB9" s="224"/>
      <c r="AC9" s="633"/>
      <c r="AD9" s="345"/>
      <c r="AE9" s="87"/>
      <c r="AF9" s="224"/>
      <c r="AG9" s="633"/>
      <c r="AH9" s="345"/>
      <c r="AI9" s="87"/>
      <c r="AJ9" s="224"/>
      <c r="AK9" s="638"/>
      <c r="AL9" s="177"/>
      <c r="AM9" s="172" t="s">
        <v>460</v>
      </c>
      <c r="AN9" s="622"/>
      <c r="AO9" s="639"/>
      <c r="AP9" s="622"/>
      <c r="AQ9" s="622"/>
      <c r="AR9" s="622"/>
      <c r="AS9" s="622"/>
      <c r="AT9" s="640"/>
      <c r="AU9" s="514"/>
      <c r="AW9" s="129"/>
      <c r="AX9" s="129"/>
      <c r="AY9" s="129"/>
      <c r="AZ9" s="129"/>
      <c r="BA9" s="50">
        <v>0</v>
      </c>
    </row>
    <row r="10" ht="11.25" hidden="1" customHeight="1">
      <c r="A10" s="479"/>
      <c r="B10" s="479"/>
      <c r="C10" s="479"/>
      <c r="D10" s="479"/>
      <c r="E10" s="491"/>
      <c r="F10" s="491"/>
      <c r="G10" s="491"/>
      <c r="H10" s="491"/>
      <c r="I10" s="503"/>
      <c r="J10" s="503"/>
      <c r="K10" s="498"/>
      <c r="L10" s="481"/>
      <c r="P10" s="132"/>
      <c r="Q10" s="132"/>
      <c r="R10" s="631"/>
      <c r="S10" s="635"/>
      <c r="T10" s="636"/>
      <c r="U10" s="486"/>
      <c r="V10" s="622"/>
      <c r="W10" s="637"/>
      <c r="X10" s="510"/>
      <c r="Y10" s="224"/>
      <c r="Z10" s="510"/>
      <c r="AA10" s="224"/>
      <c r="AB10" s="224"/>
      <c r="AC10" s="633"/>
      <c r="AD10" s="345"/>
      <c r="AE10" s="87"/>
      <c r="AF10" s="224"/>
      <c r="AG10" s="641"/>
      <c r="AH10" s="172"/>
      <c r="AI10" s="172" t="s">
        <v>461</v>
      </c>
      <c r="AJ10" s="622"/>
      <c r="AK10" s="622"/>
      <c r="AL10" s="622"/>
      <c r="AM10" s="622"/>
      <c r="AN10" s="622"/>
      <c r="AO10" s="639"/>
      <c r="AP10" s="622"/>
      <c r="AQ10" s="622"/>
      <c r="AR10" s="622"/>
      <c r="AS10" s="622"/>
      <c r="AT10" s="640"/>
      <c r="AU10" s="514"/>
      <c r="AW10" s="129"/>
      <c r="AX10" s="129"/>
      <c r="AY10" s="129"/>
      <c r="AZ10" s="129"/>
      <c r="BA10" s="50">
        <v>0</v>
      </c>
    </row>
    <row r="11" ht="11.25" hidden="1" customHeight="1">
      <c r="A11" s="479"/>
      <c r="B11" s="479"/>
      <c r="C11" s="479"/>
      <c r="D11" s="479"/>
      <c r="E11" s="491"/>
      <c r="F11" s="491"/>
      <c r="G11" s="491"/>
      <c r="H11" s="491"/>
      <c r="I11" s="503"/>
      <c r="J11" s="503"/>
      <c r="K11" s="498"/>
      <c r="L11" s="481"/>
      <c r="P11" s="132"/>
      <c r="Q11" s="132"/>
      <c r="R11" s="631"/>
      <c r="S11" s="608"/>
      <c r="T11" s="642"/>
      <c r="U11" s="486"/>
      <c r="V11" s="622"/>
      <c r="W11" s="643" t="str">
        <f>X8&amp;"-"&amp;Z8</f>
        <v>-</v>
      </c>
      <c r="X11" s="513"/>
      <c r="Y11" s="224"/>
      <c r="Z11" s="513"/>
      <c r="AA11" s="224"/>
      <c r="AB11" s="224"/>
      <c r="AC11" s="644"/>
      <c r="AD11" s="645"/>
      <c r="AE11" s="172" t="s">
        <v>462</v>
      </c>
      <c r="AF11" s="622"/>
      <c r="AG11" s="622"/>
      <c r="AH11" s="622"/>
      <c r="AI11" s="622"/>
      <c r="AJ11" s="622"/>
      <c r="AK11" s="622"/>
      <c r="AL11" s="622"/>
      <c r="AM11" s="622"/>
      <c r="AN11" s="622"/>
      <c r="AO11" s="623" t="str">
        <f>AP8&amp;"-"&amp;AR8</f>
        <v>-</v>
      </c>
      <c r="AP11" s="622"/>
      <c r="AQ11" s="622"/>
      <c r="AR11" s="622"/>
      <c r="AS11" s="622"/>
      <c r="AT11" s="573"/>
      <c r="AU11" s="514"/>
      <c r="AW11" s="129"/>
      <c r="AX11" s="129" t="str">
        <f t="shared" ref="AX11:AX62" si="22">IF(T11="","",T11)</f>
        <v/>
      </c>
      <c r="AY11" s="129"/>
      <c r="AZ11" s="129"/>
      <c r="BA11" s="50">
        <v>0</v>
      </c>
    </row>
    <row r="12" ht="11.25" hidden="1" customHeight="1">
      <c r="A12" s="479"/>
      <c r="B12" s="479"/>
      <c r="C12" s="479"/>
      <c r="D12" s="479"/>
      <c r="E12" s="491"/>
      <c r="F12" s="491"/>
      <c r="G12" s="491"/>
      <c r="H12" s="491"/>
      <c r="I12" s="503"/>
      <c r="J12" s="498"/>
      <c r="K12" s="479"/>
      <c r="L12" s="481"/>
      <c r="P12" s="132"/>
      <c r="Q12" s="132"/>
      <c r="R12" s="499"/>
      <c r="S12" s="515"/>
      <c r="T12" s="519" t="s">
        <v>463</v>
      </c>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517"/>
      <c r="AU12" s="518"/>
      <c r="AW12" s="129"/>
      <c r="AX12" s="129" t="str">
        <f t="shared" si="22"/>
        <v xml:space="preserve">Добавить строку</v>
      </c>
      <c r="AY12" s="129"/>
      <c r="AZ12" s="129"/>
      <c r="BA12" s="50">
        <v>0</v>
      </c>
    </row>
    <row r="13" s="57" customFormat="1" ht="0.75" hidden="1" customHeight="1">
      <c r="A13" s="133"/>
      <c r="B13" s="133"/>
      <c r="C13" s="133"/>
      <c r="D13" s="133"/>
      <c r="E13" s="491"/>
      <c r="F13" s="491"/>
      <c r="G13" s="491"/>
      <c r="H13" s="491"/>
      <c r="I13" s="498"/>
      <c r="J13" s="133"/>
      <c r="K13" s="133"/>
      <c r="L13" s="212"/>
      <c r="M13" s="596"/>
      <c r="N13" s="596"/>
      <c r="O13" s="596"/>
      <c r="P13" s="132"/>
      <c r="Q13" s="132"/>
      <c r="R13" s="499"/>
      <c r="S13" s="592"/>
      <c r="T13" s="593"/>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5"/>
      <c r="AW13" s="129"/>
      <c r="AX13" s="129" t="str">
        <f t="shared" si="22"/>
        <v/>
      </c>
      <c r="AY13" s="129"/>
      <c r="AZ13" s="129"/>
      <c r="BA13" s="57">
        <v>0</v>
      </c>
    </row>
    <row r="14" s="57" customFormat="1" ht="0.75" hidden="1" customHeight="1">
      <c r="A14" s="133"/>
      <c r="B14" s="133"/>
      <c r="C14" s="133"/>
      <c r="D14" s="133"/>
      <c r="E14" s="491"/>
      <c r="F14" s="491"/>
      <c r="G14" s="491"/>
      <c r="H14" s="480"/>
      <c r="I14" s="133"/>
      <c r="J14" s="133"/>
      <c r="K14" s="133"/>
      <c r="L14" s="212"/>
      <c r="M14" s="464"/>
      <c r="N14" s="464"/>
      <c r="O14" s="57"/>
      <c r="P14" s="167"/>
      <c r="Q14" s="524"/>
      <c r="R14" s="646"/>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5"/>
      <c r="AW14" s="129"/>
      <c r="AX14" s="129" t="str">
        <f t="shared" si="22"/>
        <v/>
      </c>
      <c r="AY14" s="129"/>
      <c r="AZ14" s="129"/>
      <c r="BA14" s="57">
        <v>0</v>
      </c>
    </row>
    <row r="15" s="57" customFormat="1" ht="0.75" hidden="1" customHeight="1">
      <c r="A15" s="133"/>
      <c r="B15" s="133"/>
      <c r="C15" s="133"/>
      <c r="D15" s="133"/>
      <c r="E15" s="491"/>
      <c r="F15" s="491"/>
      <c r="G15" s="480"/>
      <c r="H15" s="133"/>
      <c r="I15" s="133"/>
      <c r="J15" s="133"/>
      <c r="K15" s="133"/>
      <c r="L15" s="212"/>
      <c r="M15" s="464"/>
      <c r="N15" s="464"/>
      <c r="P15" s="167"/>
      <c r="Q15" s="524"/>
      <c r="R15" s="167"/>
      <c r="S15" s="529"/>
      <c r="T15" s="532" t="s">
        <v>409</v>
      </c>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W15" s="129"/>
      <c r="AX15" s="129" t="str">
        <f t="shared" si="22"/>
        <v xml:space="preserve">Добавить источник для дифференциации</v>
      </c>
      <c r="AY15" s="129"/>
      <c r="AZ15" s="129"/>
      <c r="BA15" s="57">
        <v>0</v>
      </c>
    </row>
    <row r="16" s="57" customFormat="1" ht="0.75" hidden="1" customHeight="1">
      <c r="A16" s="133"/>
      <c r="B16" s="133"/>
      <c r="C16" s="133"/>
      <c r="D16" s="133"/>
      <c r="E16" s="491"/>
      <c r="F16" s="480"/>
      <c r="G16" s="133"/>
      <c r="H16" s="133"/>
      <c r="I16" s="133"/>
      <c r="J16" s="133"/>
      <c r="K16" s="133"/>
      <c r="L16" s="212"/>
      <c r="M16" s="528"/>
      <c r="N16" s="528"/>
      <c r="P16" s="167"/>
      <c r="Q16" s="524"/>
      <c r="R16" s="167"/>
      <c r="S16" s="529"/>
      <c r="T16" s="532" t="s">
        <v>410</v>
      </c>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W16" s="129"/>
      <c r="AX16" s="129" t="str">
        <f t="shared" si="22"/>
        <v xml:space="preserve">Добавить централизованную систему для дифференциации</v>
      </c>
      <c r="AY16" s="129"/>
      <c r="AZ16" s="129"/>
      <c r="BA16" s="57">
        <v>0</v>
      </c>
    </row>
    <row r="17" s="57" customFormat="1" ht="0.75" hidden="1" customHeight="1">
      <c r="A17" s="133"/>
      <c r="B17" s="133"/>
      <c r="C17" s="133"/>
      <c r="D17" s="133"/>
      <c r="E17" s="480"/>
      <c r="F17" s="133"/>
      <c r="G17" s="133"/>
      <c r="H17" s="133"/>
      <c r="I17" s="133"/>
      <c r="J17" s="133"/>
      <c r="K17" s="133"/>
      <c r="L17" s="212"/>
      <c r="M17" s="528"/>
      <c r="N17" s="528"/>
      <c r="O17" s="57"/>
      <c r="P17" s="167"/>
      <c r="Q17" s="524"/>
      <c r="R17" s="167"/>
      <c r="S17" s="529"/>
      <c r="T17" s="532" t="s">
        <v>411</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W17" s="129"/>
      <c r="AX17" s="129" t="str">
        <f t="shared" si="22"/>
        <v xml:space="preserve">Добавить территорию для дифференциации</v>
      </c>
      <c r="AY17" s="129"/>
      <c r="AZ17" s="129"/>
      <c r="BA17" s="57">
        <v>0</v>
      </c>
    </row>
    <row r="18" ht="14.25" hidden="1" customHeight="1">
      <c r="AA18" s="50"/>
      <c r="AS18" s="50"/>
      <c r="BA18" s="50">
        <v>0</v>
      </c>
    </row>
    <row r="19" ht="14.25" hidden="1" customHeight="1">
      <c r="AB19" s="531" t="s">
        <v>19</v>
      </c>
      <c r="AC19" s="647"/>
      <c r="AD19" s="531">
        <v>1</v>
      </c>
      <c r="AE19" s="648"/>
      <c r="AF19" s="531" t="s">
        <v>19</v>
      </c>
      <c r="AG19" s="647"/>
      <c r="AH19" s="531">
        <v>1</v>
      </c>
      <c r="AI19" s="648"/>
      <c r="AJ19" s="531" t="s">
        <v>19</v>
      </c>
      <c r="AK19" s="649"/>
      <c r="AL19" s="531">
        <v>1</v>
      </c>
      <c r="AM19" s="650"/>
      <c r="AN19" s="651"/>
      <c r="AO19" s="652"/>
      <c r="AP19" s="653"/>
      <c r="AQ19" s="654" t="s">
        <v>65</v>
      </c>
      <c r="AR19" s="653"/>
      <c r="AS19" s="654" t="s">
        <v>65</v>
      </c>
      <c r="BA19" s="50">
        <v>0</v>
      </c>
    </row>
    <row r="20" ht="14.25" hidden="1" customHeight="1">
      <c r="AV20" s="131"/>
      <c r="AW20" s="131"/>
      <c r="AX20" s="131"/>
      <c r="AY20" s="131"/>
      <c r="AZ20" s="131"/>
      <c r="BA20" s="50">
        <v>0</v>
      </c>
    </row>
    <row r="21" ht="14.25" hidden="1" customHeight="1">
      <c r="O21" s="537" t="s">
        <v>412</v>
      </c>
      <c r="X21" s="581"/>
      <c r="Z21" s="581"/>
      <c r="AA21" s="50"/>
      <c r="AP21" s="581"/>
      <c r="AR21" s="581"/>
      <c r="AS21" s="50"/>
      <c r="AV21" s="131"/>
      <c r="AW21" s="131"/>
      <c r="AX21" s="131"/>
      <c r="AY21" s="131"/>
      <c r="AZ21" s="131"/>
      <c r="BA21" s="50">
        <v>0</v>
      </c>
    </row>
    <row r="22" ht="14.25" hidden="1" customHeight="1">
      <c r="AA22" s="50"/>
      <c r="AS22" s="50"/>
      <c r="AV22" s="131"/>
      <c r="AW22" s="131"/>
      <c r="AX22" s="131"/>
      <c r="AY22" s="131"/>
      <c r="AZ22" s="131"/>
      <c r="BA22" s="50">
        <v>0</v>
      </c>
    </row>
    <row r="23" s="655" customFormat="1" ht="14.25" hidden="1" customHeight="1">
      <c r="M23" s="656"/>
      <c r="N23" s="656"/>
      <c r="O23" s="655" t="s">
        <v>413</v>
      </c>
      <c r="P23" s="656"/>
      <c r="Q23" s="657"/>
      <c r="R23" s="657"/>
      <c r="Y23" s="655" t="s">
        <v>415</v>
      </c>
      <c r="AA23" s="655" t="s">
        <v>416</v>
      </c>
      <c r="AB23" s="655" t="s">
        <v>464</v>
      </c>
      <c r="AE23" s="655" t="s">
        <v>465</v>
      </c>
      <c r="AF23" s="655" t="s">
        <v>464</v>
      </c>
      <c r="AI23" s="655" t="s">
        <v>466</v>
      </c>
      <c r="AJ23" s="655" t="s">
        <v>464</v>
      </c>
      <c r="AM23" s="655" t="s">
        <v>467</v>
      </c>
      <c r="AQ23" s="655" t="s">
        <v>415</v>
      </c>
      <c r="AS23" s="655" t="s">
        <v>416</v>
      </c>
      <c r="AV23" s="658"/>
      <c r="AW23" s="658"/>
      <c r="AX23" s="658"/>
      <c r="AY23" s="658"/>
      <c r="AZ23" s="658"/>
      <c r="BA23" s="655">
        <v>0</v>
      </c>
    </row>
    <row r="24" ht="14.25" hidden="1" customHeight="1">
      <c r="O24" s="481"/>
      <c r="AV24" s="131"/>
      <c r="AW24" s="131"/>
      <c r="AX24" s="131"/>
      <c r="AY24" s="131"/>
      <c r="AZ24" s="131"/>
      <c r="BA24" s="50">
        <v>0</v>
      </c>
    </row>
    <row r="25" ht="14.25" hidden="1" customHeight="1">
      <c r="O25" s="481"/>
      <c r="AV25" s="131"/>
      <c r="AW25" s="131"/>
      <c r="AX25" s="131"/>
      <c r="AY25" s="131"/>
      <c r="AZ25" s="131"/>
      <c r="BA25" s="50">
        <v>0</v>
      </c>
    </row>
    <row r="26" ht="14.65" customHeight="1">
      <c r="Q26" s="659"/>
      <c r="R26" s="539"/>
      <c r="S26" s="540"/>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59"/>
      <c r="R27" s="539"/>
      <c r="S27" s="452"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c r="AR27" s="452"/>
      <c r="AS27" s="240"/>
      <c r="BA27" s="50">
        <v>26</v>
      </c>
    </row>
    <row r="28" ht="14.65" customHeight="1">
      <c r="Q28" s="659"/>
      <c r="R28" s="539"/>
      <c r="S28" s="303" t="str">
        <f>IF(org=0,"Не определено",org)</f>
        <v xml:space="preserve">АО "ДГК" СП "Биробиджанская ТЭЦ"</v>
      </c>
      <c r="T28" s="303"/>
      <c r="U28" s="303"/>
      <c r="V28" s="303"/>
      <c r="W28" s="303"/>
      <c r="X28" s="303"/>
      <c r="Y28" s="303"/>
      <c r="Z28" s="303"/>
      <c r="AA28" s="303"/>
      <c r="AB28" s="303"/>
      <c r="AC28" s="303"/>
      <c r="AD28" s="303"/>
      <c r="AE28" s="303"/>
      <c r="AF28" s="303"/>
      <c r="AG28" s="303"/>
      <c r="AH28" s="303"/>
      <c r="AI28" s="303"/>
      <c r="AJ28" s="303"/>
      <c r="AK28" s="303"/>
      <c r="AL28" s="303"/>
      <c r="AM28" s="303"/>
      <c r="AN28" s="303"/>
      <c r="AO28" s="303"/>
      <c r="AP28" s="303"/>
      <c r="AQ28" s="303"/>
      <c r="AR28" s="303"/>
      <c r="AS28" s="240"/>
      <c r="BA28" s="50">
        <v>14</v>
      </c>
    </row>
    <row r="29" ht="14.25" hidden="1" customHeight="1">
      <c r="Q29" s="659"/>
      <c r="R29" s="539"/>
      <c r="S29" s="540"/>
      <c r="T29" s="91"/>
      <c r="U29" s="91"/>
      <c r="V29" s="541"/>
      <c r="W29" s="541"/>
      <c r="X29" s="541"/>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0"/>
      <c r="BA29" s="50">
        <v>0</v>
      </c>
    </row>
    <row r="30" s="184" customFormat="1" ht="25.5" hidden="1" customHeight="1">
      <c r="A30" s="151"/>
      <c r="B30" s="151"/>
      <c r="C30" s="151"/>
      <c r="D30" s="151"/>
      <c r="E30" s="151"/>
      <c r="F30" s="151"/>
      <c r="G30" s="151"/>
      <c r="H30" s="151"/>
      <c r="I30" s="151"/>
      <c r="J30" s="151"/>
      <c r="K30" s="151"/>
      <c r="L30" s="481"/>
      <c r="M30" s="151"/>
      <c r="N30" s="151"/>
      <c r="O30" s="151"/>
      <c r="P30" s="151"/>
      <c r="Q30" s="151"/>
      <c r="S30" s="542" t="s">
        <v>41</v>
      </c>
      <c r="T30" s="542"/>
      <c r="U30" s="543"/>
      <c r="V30" s="544" t="str">
        <f>IF(TITLE_NAME_OR_PR_CHANGE="",IF(TITLE_NAME_OR_PR="","",TITLE_NAME_OR_PR),TITLE_NAME_OR_PR_CHANGE)</f>
        <v/>
      </c>
      <c r="W30" s="544"/>
      <c r="X30" s="544"/>
      <c r="Y30" s="544"/>
      <c r="Z30" s="544"/>
      <c r="AA30" s="50"/>
      <c r="AB30" s="544" t="str">
        <f>IF(TITLE_NAME_OR_PR_CHANGE="",IF(TITLE_NAME_OR_PR="","",TITLE_NAME_OR_PR),TITLE_NAME_OR_PR_CHANGE)</f>
        <v/>
      </c>
      <c r="AC30" s="544"/>
      <c r="AD30" s="544"/>
      <c r="AE30" s="544"/>
      <c r="AF30" s="544"/>
      <c r="AG30" s="544"/>
      <c r="AH30" s="544"/>
      <c r="AI30" s="544"/>
      <c r="AJ30" s="544"/>
      <c r="AK30" s="544"/>
      <c r="AL30" s="544"/>
      <c r="AM30" s="544"/>
      <c r="AN30" s="544"/>
      <c r="AO30" s="544"/>
      <c r="AP30" s="544"/>
      <c r="AQ30" s="544"/>
      <c r="AR30" s="544"/>
      <c r="AS30" s="50"/>
      <c r="AT30" s="50"/>
      <c r="AU30" s="545"/>
      <c r="AV30" s="129"/>
      <c r="AW30" s="129"/>
      <c r="AX30" s="129"/>
      <c r="AY30" s="129"/>
      <c r="AZ30" s="129"/>
      <c r="BA30" s="184">
        <v>0</v>
      </c>
    </row>
    <row r="31" s="184" customFormat="1" ht="18.75" hidden="1" customHeight="1">
      <c r="A31" s="151"/>
      <c r="B31" s="151"/>
      <c r="C31" s="151"/>
      <c r="D31" s="151"/>
      <c r="E31" s="151"/>
      <c r="F31" s="151"/>
      <c r="G31" s="151"/>
      <c r="H31" s="151"/>
      <c r="I31" s="151"/>
      <c r="J31" s="151"/>
      <c r="K31" s="151"/>
      <c r="L31" s="481"/>
      <c r="M31" s="151"/>
      <c r="N31" s="151"/>
      <c r="O31" s="151"/>
      <c r="P31" s="151"/>
      <c r="Q31" s="151"/>
      <c r="S31" s="542" t="s">
        <v>418</v>
      </c>
      <c r="T31" s="542"/>
      <c r="U31" s="543"/>
      <c r="V31" s="546" t="str">
        <f>IF(TITLE_DATE_PR_CHANGE="",IF(TITLE_DATE_PR="","",TITLE_DATE_PR),TITLE_DATE_PR_CHANGE)</f>
        <v/>
      </c>
      <c r="W31" s="546"/>
      <c r="X31" s="546"/>
      <c r="Y31" s="546"/>
      <c r="Z31" s="546"/>
      <c r="AA31" s="50"/>
      <c r="AB31" s="546" t="str">
        <f>IF(TITLE_DATE_PR_CHANGE="",IF(TITLE_DATE_PR="","",TITLE_DATE_PR),TITLE_DATE_PR_CHANGE)</f>
        <v/>
      </c>
      <c r="AC31" s="546"/>
      <c r="AD31" s="546"/>
      <c r="AE31" s="546"/>
      <c r="AF31" s="546"/>
      <c r="AG31" s="546"/>
      <c r="AH31" s="546"/>
      <c r="AI31" s="546"/>
      <c r="AJ31" s="546"/>
      <c r="AK31" s="546"/>
      <c r="AL31" s="546"/>
      <c r="AM31" s="546"/>
      <c r="AN31" s="546"/>
      <c r="AO31" s="546"/>
      <c r="AP31" s="546"/>
      <c r="AQ31" s="546"/>
      <c r="AR31" s="546"/>
      <c r="AS31" s="50"/>
      <c r="AT31" s="50"/>
      <c r="AU31" s="545"/>
      <c r="AV31" s="129"/>
      <c r="AW31" s="129"/>
      <c r="AX31" s="129"/>
      <c r="AY31" s="129"/>
      <c r="AZ31" s="129"/>
      <c r="BA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419</v>
      </c>
      <c r="T32" s="542"/>
      <c r="U32" s="543"/>
      <c r="V32" s="544" t="str">
        <f>IF(TITLE_NUMBER_PR_CHANGE="",IF(TITLE_NUMBER_PR="","",TITLE_NUMBER_PR),TITLE_NUMBER_PR_CHANGE)</f>
        <v/>
      </c>
      <c r="W32" s="544"/>
      <c r="X32" s="544"/>
      <c r="Y32" s="544"/>
      <c r="Z32" s="544"/>
      <c r="AA32" s="50"/>
      <c r="AB32" s="544" t="str">
        <f>IF(TITLE_NUMBER_PR_CHANGE="",IF(TITLE_NUMBER_PR="","",TITLE_NUMBER_PR),TITLE_NUMBER_PR_CHANGE)</f>
        <v/>
      </c>
      <c r="AC32" s="544"/>
      <c r="AD32" s="544"/>
      <c r="AE32" s="544"/>
      <c r="AF32" s="544"/>
      <c r="AG32" s="544"/>
      <c r="AH32" s="544"/>
      <c r="AI32" s="544"/>
      <c r="AJ32" s="544"/>
      <c r="AK32" s="544"/>
      <c r="AL32" s="544"/>
      <c r="AM32" s="544"/>
      <c r="AN32" s="544"/>
      <c r="AO32" s="544"/>
      <c r="AP32" s="544"/>
      <c r="AQ32" s="544"/>
      <c r="AR32" s="544"/>
      <c r="AS32" s="50"/>
      <c r="AT32" s="50"/>
      <c r="AU32" s="545"/>
      <c r="AV32" s="129"/>
      <c r="AW32" s="129"/>
      <c r="AX32" s="129"/>
      <c r="AY32" s="129"/>
      <c r="AZ32" s="129"/>
      <c r="BA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42</v>
      </c>
      <c r="T33" s="542"/>
      <c r="U33" s="543"/>
      <c r="V33" s="544" t="str">
        <f>IF(TITLE_IST_PUB_CHANGE="",IF(TITLE_IST_PUB="","",TITLE_IST_PUB),TITLE_IST_PUB_CHANGE)</f>
        <v/>
      </c>
      <c r="W33" s="544"/>
      <c r="X33" s="544"/>
      <c r="Y33" s="544"/>
      <c r="Z33" s="544"/>
      <c r="AA33" s="50"/>
      <c r="AB33" s="544" t="str">
        <f>IF(TITLE_IST_PUB_CHANGE="",IF(TITLE_IST_PUB="","",TITLE_IST_PUB),TITLE_IST_PUB_CHANGE)</f>
        <v/>
      </c>
      <c r="AC33" s="544"/>
      <c r="AD33" s="544"/>
      <c r="AE33" s="544"/>
      <c r="AF33" s="544"/>
      <c r="AG33" s="544"/>
      <c r="AH33" s="544"/>
      <c r="AI33" s="544"/>
      <c r="AJ33" s="544"/>
      <c r="AK33" s="544"/>
      <c r="AL33" s="544"/>
      <c r="AM33" s="544"/>
      <c r="AN33" s="544"/>
      <c r="AO33" s="544"/>
      <c r="AP33" s="544"/>
      <c r="AQ33" s="544"/>
      <c r="AR33" s="544"/>
      <c r="AS33" s="50"/>
      <c r="AT33" s="50"/>
      <c r="AU33" s="545"/>
      <c r="AV33" s="129"/>
      <c r="AW33" s="129"/>
      <c r="AX33" s="129"/>
      <c r="AY33" s="129"/>
      <c r="AZ33" s="129"/>
      <c r="BA33" s="184">
        <v>0</v>
      </c>
    </row>
    <row r="34" ht="14.25" hidden="1" customHeight="1">
      <c r="Q34" s="659"/>
      <c r="R34" s="539"/>
      <c r="S34" s="540"/>
      <c r="T34" s="91"/>
      <c r="U34" s="91"/>
      <c r="V34" s="541"/>
      <c r="W34" s="541"/>
      <c r="X34" s="541"/>
      <c r="Y34" s="541"/>
      <c r="Z34" s="541"/>
      <c r="AA34" s="541"/>
      <c r="AB34" s="541"/>
      <c r="AC34" s="541"/>
      <c r="AD34" s="541"/>
      <c r="AE34" s="541"/>
      <c r="AF34" s="541"/>
      <c r="AG34" s="541"/>
      <c r="AH34" s="541"/>
      <c r="AI34" s="541"/>
      <c r="AJ34" s="541"/>
      <c r="AK34" s="541"/>
      <c r="AL34" s="541"/>
      <c r="AM34" s="541"/>
      <c r="AN34" s="541"/>
      <c r="AO34" s="541"/>
      <c r="AP34" s="541"/>
      <c r="AQ34" s="541"/>
      <c r="AR34" s="541"/>
      <c r="AS34" s="541"/>
      <c r="AT34" s="50"/>
      <c r="BA34" s="50">
        <v>0</v>
      </c>
    </row>
    <row r="35" s="184" customFormat="1" ht="18.75" hidden="1" customHeight="1">
      <c r="A35" s="151"/>
      <c r="B35" s="151"/>
      <c r="C35" s="151"/>
      <c r="D35" s="151"/>
      <c r="E35" s="151"/>
      <c r="F35" s="151"/>
      <c r="G35" s="151"/>
      <c r="H35" s="151"/>
      <c r="I35" s="151"/>
      <c r="J35" s="151"/>
      <c r="K35" s="151"/>
      <c r="L35" s="481"/>
      <c r="M35" s="151"/>
      <c r="N35" s="151"/>
      <c r="O35" s="151"/>
      <c r="P35" s="151"/>
      <c r="Q35" s="151"/>
      <c r="S35" s="542" t="s">
        <v>418</v>
      </c>
      <c r="T35" s="542"/>
      <c r="U35" s="543"/>
      <c r="V35" s="546" t="str">
        <f>IF(TITLE_DATE_PR_CHANGE="",IF(TITLE_DATE_PR="","",TITLE_DATE_PR),TITLE_DATE_PR_CHANGE)</f>
        <v/>
      </c>
      <c r="W35" s="546"/>
      <c r="X35" s="546"/>
      <c r="Y35" s="546"/>
      <c r="Z35" s="546"/>
      <c r="AA35" s="50"/>
      <c r="AB35" s="546" t="str">
        <f>IF(TITLE_DATE_PR_CHANGE="",IF(TITLE_DATE_PR="","",TITLE_DATE_PR),TITLE_DATE_PR_CHANGE)</f>
        <v/>
      </c>
      <c r="AC35" s="546"/>
      <c r="AD35" s="546"/>
      <c r="AE35" s="546"/>
      <c r="AF35" s="546"/>
      <c r="AG35" s="546"/>
      <c r="AH35" s="546"/>
      <c r="AI35" s="546"/>
      <c r="AJ35" s="546"/>
      <c r="AK35" s="546"/>
      <c r="AL35" s="546"/>
      <c r="AM35" s="546"/>
      <c r="AN35" s="546"/>
      <c r="AO35" s="546"/>
      <c r="AP35" s="546"/>
      <c r="AQ35" s="546"/>
      <c r="AR35" s="546"/>
      <c r="AS35" s="50"/>
      <c r="AT35" s="50"/>
      <c r="AU35" s="545"/>
      <c r="AV35" s="129"/>
      <c r="AW35" s="129"/>
      <c r="AX35" s="129"/>
      <c r="AY35" s="129"/>
      <c r="AZ35" s="129"/>
      <c r="BA35" s="184">
        <v>0</v>
      </c>
    </row>
    <row r="36" s="184" customFormat="1" ht="18" hidden="1" customHeight="1">
      <c r="A36" s="151"/>
      <c r="B36" s="151"/>
      <c r="C36" s="151"/>
      <c r="D36" s="151"/>
      <c r="E36" s="151"/>
      <c r="F36" s="151"/>
      <c r="G36" s="151"/>
      <c r="H36" s="151"/>
      <c r="I36" s="151"/>
      <c r="J36" s="151"/>
      <c r="K36" s="151"/>
      <c r="L36" s="481"/>
      <c r="M36" s="151"/>
      <c r="N36" s="151"/>
      <c r="O36" s="151"/>
      <c r="P36" s="151"/>
      <c r="Q36" s="151"/>
      <c r="S36" s="542" t="s">
        <v>419</v>
      </c>
      <c r="T36" s="542"/>
      <c r="U36" s="543"/>
      <c r="V36" s="544" t="str">
        <f>IF(TITLE_NUMBER_PR_CHANGE="",IF(TITLE_NUMBER_PR="","",TITLE_NUMBER_PR),TITLE_NUMBER_PR_CHANGE)</f>
        <v/>
      </c>
      <c r="W36" s="544"/>
      <c r="X36" s="544"/>
      <c r="Y36" s="544"/>
      <c r="Z36" s="544"/>
      <c r="AA36" s="50"/>
      <c r="AB36" s="544" t="str">
        <f>IF(TITLE_NUMBER_PR_CHANGE="",IF(TITLE_NUMBER_PR="","",TITLE_NUMBER_PR),TITLE_NUMBER_PR_CHANGE)</f>
        <v/>
      </c>
      <c r="AC36" s="544"/>
      <c r="AD36" s="544"/>
      <c r="AE36" s="544"/>
      <c r="AF36" s="544"/>
      <c r="AG36" s="544"/>
      <c r="AH36" s="544"/>
      <c r="AI36" s="544"/>
      <c r="AJ36" s="544"/>
      <c r="AK36" s="544"/>
      <c r="AL36" s="544"/>
      <c r="AM36" s="544"/>
      <c r="AN36" s="544"/>
      <c r="AO36" s="544"/>
      <c r="AP36" s="544"/>
      <c r="AQ36" s="544"/>
      <c r="AR36" s="544"/>
      <c r="AS36" s="50"/>
      <c r="AT36" s="50"/>
      <c r="AU36" s="545"/>
      <c r="AV36" s="129"/>
      <c r="AW36" s="129"/>
      <c r="AX36" s="129"/>
      <c r="AY36" s="129"/>
      <c r="AZ36" s="129"/>
      <c r="BA36" s="184">
        <v>0</v>
      </c>
    </row>
    <row r="37" s="184" customFormat="1" ht="1.05" customHeight="1">
      <c r="A37" s="151"/>
      <c r="B37" s="151"/>
      <c r="C37" s="151"/>
      <c r="D37" s="151"/>
      <c r="E37" s="151"/>
      <c r="F37" s="151"/>
      <c r="G37" s="151"/>
      <c r="H37" s="151"/>
      <c r="I37" s="151"/>
      <c r="J37" s="151"/>
      <c r="K37" s="151"/>
      <c r="L37" s="481"/>
      <c r="M37" s="151"/>
      <c r="N37" s="151"/>
      <c r="O37" s="151"/>
      <c r="P37" s="151"/>
      <c r="Q37" s="151"/>
      <c r="S37" s="50"/>
      <c r="T37" s="50"/>
      <c r="U37" s="140"/>
      <c r="V37" s="50"/>
      <c r="W37" s="50"/>
      <c r="X37" s="50"/>
      <c r="Y37" s="50"/>
      <c r="Z37" s="50"/>
      <c r="AA37" s="57" t="s">
        <v>422</v>
      </c>
      <c r="AB37" s="50"/>
      <c r="AC37" s="50"/>
      <c r="AD37" s="50"/>
      <c r="AE37" s="50"/>
      <c r="AF37" s="50"/>
      <c r="AG37" s="50"/>
      <c r="AH37" s="50"/>
      <c r="AI37" s="50"/>
      <c r="AJ37" s="50"/>
      <c r="AK37" s="50"/>
      <c r="AL37" s="50"/>
      <c r="AM37" s="50"/>
      <c r="AN37" s="50"/>
      <c r="AO37" s="50"/>
      <c r="AP37" s="50"/>
      <c r="AQ37" s="50"/>
      <c r="AR37" s="50"/>
      <c r="AS37" s="57" t="s">
        <v>422</v>
      </c>
      <c r="AV37" s="129"/>
      <c r="AW37" s="129"/>
      <c r="AX37" s="129"/>
      <c r="AY37" s="129"/>
      <c r="AZ37" s="129"/>
      <c r="BA37" s="184">
        <v>1</v>
      </c>
    </row>
    <row r="38" ht="14.65" customHeight="1">
      <c r="Q38" s="659"/>
      <c r="R38" s="539"/>
      <c r="S38" s="540"/>
      <c r="T38" s="91"/>
      <c r="U38" s="547"/>
      <c r="V38" s="548"/>
      <c r="W38" s="548"/>
      <c r="X38" s="548"/>
      <c r="Y38" s="548"/>
      <c r="Z38" s="548"/>
      <c r="AA38" s="548"/>
      <c r="AB38" s="548"/>
      <c r="AC38" s="548"/>
      <c r="AD38" s="548"/>
      <c r="AE38" s="548"/>
      <c r="AF38" s="548"/>
      <c r="AG38" s="548"/>
      <c r="AH38" s="548"/>
      <c r="AI38" s="548"/>
      <c r="AJ38" s="548"/>
      <c r="AK38" s="548"/>
      <c r="AL38" s="548"/>
      <c r="AM38" s="548"/>
      <c r="AN38" s="548"/>
      <c r="AO38" s="548"/>
      <c r="AP38" s="548"/>
      <c r="AQ38" s="548"/>
      <c r="AR38" s="548"/>
      <c r="AS38" s="548"/>
      <c r="BA38" s="50">
        <v>14</v>
      </c>
    </row>
    <row r="39" ht="14.65" customHeight="1">
      <c r="Q39" s="659"/>
      <c r="R39" s="539"/>
      <c r="S39" s="157" t="s">
        <v>295</v>
      </c>
      <c r="T39" s="157"/>
      <c r="U39" s="157"/>
      <c r="V39" s="157"/>
      <c r="W39" s="157"/>
      <c r="X39" s="157"/>
      <c r="Y39" s="157"/>
      <c r="Z39" s="157"/>
      <c r="AA39" s="157"/>
      <c r="AB39" s="307"/>
      <c r="AC39" s="307"/>
      <c r="AD39" s="307"/>
      <c r="AE39" s="307"/>
      <c r="AF39" s="157"/>
      <c r="AG39" s="157"/>
      <c r="AH39" s="157"/>
      <c r="AI39" s="157"/>
      <c r="AJ39" s="157"/>
      <c r="AK39" s="157"/>
      <c r="AL39" s="157"/>
      <c r="AM39" s="157"/>
      <c r="AN39" s="157"/>
      <c r="AO39" s="157"/>
      <c r="AP39" s="157"/>
      <c r="AQ39" s="157"/>
      <c r="AR39" s="157"/>
      <c r="AS39" s="157"/>
      <c r="AT39" s="157"/>
      <c r="AU39" s="157" t="s">
        <v>296</v>
      </c>
      <c r="BA39" s="50">
        <v>14</v>
      </c>
    </row>
    <row r="40" ht="14.65" customHeight="1">
      <c r="Q40" s="659"/>
      <c r="R40" s="539"/>
      <c r="S40" s="484" t="s">
        <v>88</v>
      </c>
      <c r="T40" s="347" t="s">
        <v>468</v>
      </c>
      <c r="U40" s="549"/>
      <c r="V40" s="551"/>
      <c r="W40" s="551"/>
      <c r="X40" s="551"/>
      <c r="Y40" s="551"/>
      <c r="Z40" s="552"/>
      <c r="AA40" s="660" t="s">
        <v>425</v>
      </c>
      <c r="AB40" s="661" t="s">
        <v>469</v>
      </c>
      <c r="AC40" s="584"/>
      <c r="AD40" s="584"/>
      <c r="AE40" s="662"/>
      <c r="AF40" s="584" t="s">
        <v>470</v>
      </c>
      <c r="AG40" s="584"/>
      <c r="AH40" s="584"/>
      <c r="AI40" s="662"/>
      <c r="AJ40" s="661" t="s">
        <v>471</v>
      </c>
      <c r="AK40" s="584"/>
      <c r="AL40" s="584"/>
      <c r="AM40" s="662"/>
      <c r="AN40" s="661" t="s">
        <v>424</v>
      </c>
      <c r="AO40" s="584"/>
      <c r="AP40" s="551"/>
      <c r="AQ40" s="551"/>
      <c r="AR40" s="552"/>
      <c r="AS40" s="553" t="s">
        <v>425</v>
      </c>
      <c r="AT40" s="554" t="s">
        <v>427</v>
      </c>
      <c r="AU40" s="157"/>
      <c r="BA40" s="50">
        <v>14</v>
      </c>
    </row>
    <row r="41" ht="35.649999999999999" customHeight="1">
      <c r="Q41" s="659"/>
      <c r="R41" s="539"/>
      <c r="S41" s="484"/>
      <c r="T41" s="347"/>
      <c r="U41" s="555"/>
      <c r="V41" s="157" t="s">
        <v>472</v>
      </c>
      <c r="W41" s="157"/>
      <c r="X41" s="304" t="s">
        <v>431</v>
      </c>
      <c r="Y41" s="626"/>
      <c r="Z41" s="305"/>
      <c r="AA41" s="663"/>
      <c r="AB41" s="664"/>
      <c r="AC41" s="665"/>
      <c r="AD41" s="665"/>
      <c r="AE41" s="666"/>
      <c r="AF41" s="665"/>
      <c r="AG41" s="665"/>
      <c r="AH41" s="665"/>
      <c r="AI41" s="666"/>
      <c r="AJ41" s="664"/>
      <c r="AK41" s="665"/>
      <c r="AL41" s="665"/>
      <c r="AM41" s="665"/>
      <c r="AN41" s="157" t="s">
        <v>472</v>
      </c>
      <c r="AO41" s="157"/>
      <c r="AP41" s="626" t="s">
        <v>431</v>
      </c>
      <c r="AQ41" s="626"/>
      <c r="AR41" s="305"/>
      <c r="AS41" s="557"/>
      <c r="AT41" s="558"/>
      <c r="AU41" s="157"/>
      <c r="BA41" s="50">
        <v>34</v>
      </c>
    </row>
    <row r="42" ht="14.65" customHeight="1">
      <c r="Q42" s="659"/>
      <c r="R42" s="539"/>
      <c r="S42" s="484"/>
      <c r="T42" s="347"/>
      <c r="U42" s="555"/>
      <c r="V42" s="667" t="str">
        <f>IF($AN$42&lt;&gt;"",$AN$42,"")</f>
        <v/>
      </c>
      <c r="W42" s="667"/>
      <c r="X42" s="310"/>
      <c r="Y42" s="627"/>
      <c r="Z42" s="311"/>
      <c r="AA42" s="663"/>
      <c r="AB42" s="664"/>
      <c r="AC42" s="665"/>
      <c r="AD42" s="665"/>
      <c r="AE42" s="666"/>
      <c r="AF42" s="665"/>
      <c r="AG42" s="665"/>
      <c r="AH42" s="665"/>
      <c r="AI42" s="666"/>
      <c r="AJ42" s="664"/>
      <c r="AK42" s="665"/>
      <c r="AL42" s="665"/>
      <c r="AM42" s="665"/>
      <c r="AN42" s="668"/>
      <c r="AO42" s="668"/>
      <c r="AP42" s="627"/>
      <c r="AQ42" s="627"/>
      <c r="AR42" s="311"/>
      <c r="AS42" s="557"/>
      <c r="AT42" s="558"/>
      <c r="AU42" s="157"/>
      <c r="BA42" s="50">
        <v>14</v>
      </c>
    </row>
    <row r="43" ht="14.65" customHeight="1">
      <c r="A43" s="151"/>
      <c r="B43" s="151" t="s">
        <v>132</v>
      </c>
      <c r="C43" s="151" t="s">
        <v>133</v>
      </c>
      <c r="D43" s="151" t="s">
        <v>134</v>
      </c>
      <c r="E43" s="481" t="s">
        <v>432</v>
      </c>
      <c r="F43" s="481" t="s">
        <v>433</v>
      </c>
      <c r="G43" s="481" t="s">
        <v>434</v>
      </c>
      <c r="H43" s="481" t="s">
        <v>435</v>
      </c>
      <c r="I43" s="481" t="s">
        <v>436</v>
      </c>
      <c r="J43" s="481" t="s">
        <v>437</v>
      </c>
      <c r="K43" s="481" t="s">
        <v>438</v>
      </c>
      <c r="L43" s="481" t="s">
        <v>413</v>
      </c>
      <c r="Q43" s="659"/>
      <c r="R43" s="539"/>
      <c r="S43" s="484"/>
      <c r="T43" s="347"/>
      <c r="U43" s="559"/>
      <c r="V43" s="347" t="s">
        <v>473</v>
      </c>
      <c r="W43" s="347" t="s">
        <v>474</v>
      </c>
      <c r="X43" s="246" t="s">
        <v>441</v>
      </c>
      <c r="Y43" s="415" t="s">
        <v>442</v>
      </c>
      <c r="Z43" s="417"/>
      <c r="AA43" s="669"/>
      <c r="AB43" s="670"/>
      <c r="AC43" s="671"/>
      <c r="AD43" s="671"/>
      <c r="AE43" s="672"/>
      <c r="AF43" s="671"/>
      <c r="AG43" s="671"/>
      <c r="AH43" s="671"/>
      <c r="AI43" s="672"/>
      <c r="AJ43" s="670"/>
      <c r="AK43" s="671"/>
      <c r="AL43" s="671"/>
      <c r="AM43" s="672"/>
      <c r="AN43" s="561" t="s">
        <v>473</v>
      </c>
      <c r="AO43" s="561" t="s">
        <v>474</v>
      </c>
      <c r="AP43" s="246" t="s">
        <v>441</v>
      </c>
      <c r="AQ43" s="415" t="s">
        <v>442</v>
      </c>
      <c r="AR43" s="417"/>
      <c r="AS43" s="561"/>
      <c r="AT43" s="562"/>
      <c r="AU43" s="157"/>
      <c r="BA43" s="50">
        <v>14</v>
      </c>
    </row>
    <row r="44" s="131" customFormat="1" ht="11.25" hidden="1" customHeight="1">
      <c r="A44" s="151"/>
      <c r="B44" s="151"/>
      <c r="C44" s="151"/>
      <c r="D44" s="151"/>
      <c r="E44" s="151"/>
      <c r="F44" s="151"/>
      <c r="G44" s="151"/>
      <c r="H44" s="151"/>
      <c r="I44" s="151"/>
      <c r="J44" s="151"/>
      <c r="K44" s="151"/>
      <c r="L44" s="481"/>
      <c r="M44" s="61"/>
      <c r="N44" s="61"/>
      <c r="O44" s="61"/>
      <c r="P44" s="596"/>
      <c r="Q44" s="565"/>
      <c r="R44" s="565">
        <v>1</v>
      </c>
      <c r="S44" s="566" t="s">
        <v>106</v>
      </c>
      <c r="T44" s="567" t="s">
        <v>107</v>
      </c>
      <c r="U44" s="568" t="str">
        <f ca="1">OFFSET(U44,0,-1)</f>
        <v>2</v>
      </c>
      <c r="V44" s="569">
        <f ca="1">OFFSET(V44,0,-1)+1</f>
        <v>3</v>
      </c>
      <c r="W44" s="569">
        <f ca="1">OFFSET(W44,0,-1)+1</f>
        <v>4</v>
      </c>
      <c r="X44" s="569">
        <f ca="1">OFFSET(X44,0,-1)+1</f>
        <v>5</v>
      </c>
      <c r="Y44" s="569">
        <f ca="1">OFFSET(Y44,0,-1)+1</f>
        <v>6</v>
      </c>
      <c r="Z44" s="569"/>
      <c r="AA44" s="569">
        <f ca="1">OFFSET(AA44,0,-2)+1</f>
        <v>7</v>
      </c>
      <c r="AB44" s="426">
        <f ca="1">OFFSET(AB44,0,-1)+1</f>
        <v>8</v>
      </c>
      <c r="AC44" s="426"/>
      <c r="AD44" s="426"/>
      <c r="AE44" s="426"/>
      <c r="AF44" s="569"/>
      <c r="AG44" s="569"/>
      <c r="AH44" s="569"/>
      <c r="AI44" s="569"/>
      <c r="AJ44" s="569"/>
      <c r="AK44" s="569"/>
      <c r="AL44" s="569"/>
      <c r="AM44" s="569"/>
      <c r="AN44" s="569">
        <f ca="1">OFFSET(AN44,0,-1)+1</f>
        <v>1</v>
      </c>
      <c r="AO44" s="569">
        <f ca="1">OFFSET(AO44,0,-1)+1</f>
        <v>2</v>
      </c>
      <c r="AP44" s="569">
        <f ca="1">OFFSET(AP44,0,-1)+1</f>
        <v>3</v>
      </c>
      <c r="AQ44" s="569">
        <f ca="1">OFFSET(AQ44,0,-1)+1</f>
        <v>4</v>
      </c>
      <c r="AR44" s="569"/>
      <c r="AS44" s="569">
        <f ca="1">OFFSET(AS44,0,-2)+1</f>
        <v>5</v>
      </c>
      <c r="AT44" s="568">
        <f ca="1">OFFSET(AT44,0,-1)</f>
        <v>5</v>
      </c>
      <c r="AU44" s="569">
        <f ca="1">OFFSET(AU44,0,-1)+1</f>
        <v>6</v>
      </c>
      <c r="AV44" s="57"/>
      <c r="AW44" s="57"/>
      <c r="AX44" s="57"/>
      <c r="AY44" s="57"/>
      <c r="AZ44" s="57"/>
      <c r="BA44" s="131">
        <v>0</v>
      </c>
    </row>
    <row r="45" ht="107.25" customHeight="1">
      <c r="A45" s="479" t="s">
        <v>195</v>
      </c>
      <c r="B45" s="479"/>
      <c r="C45" s="479"/>
      <c r="D45" s="479"/>
      <c r="E45" s="480">
        <v>1</v>
      </c>
      <c r="F45" s="479"/>
      <c r="G45" s="479"/>
      <c r="H45" s="479"/>
      <c r="I45" s="479"/>
      <c r="J45" s="479"/>
      <c r="K45" s="479"/>
      <c r="L45" s="481"/>
      <c r="M45" s="482"/>
      <c r="N45" s="482"/>
      <c r="O45" s="482"/>
      <c r="P45" s="61"/>
      <c r="Q45" s="64"/>
      <c r="R45" s="483"/>
      <c r="S45" s="484">
        <f>INDEX(PT_DIFFERENTIATION_NUM_NTAR,MATCH(A45,PT_DIFFERENTIATION_NTAR_ID,0))</f>
        <v>0</v>
      </c>
      <c r="T45" s="485" t="s">
        <v>120</v>
      </c>
      <c r="U45" s="486"/>
      <c r="V45" s="488"/>
      <c r="W45" s="488"/>
      <c r="X45" s="488"/>
      <c r="Y45" s="488"/>
      <c r="Z45" s="488"/>
      <c r="AA45" s="489"/>
      <c r="AB45" s="487" t="str">
        <f>INDEX(PT_DIFFERENTIATION_NTAR,MATCH(A45,PT_DIFFERENTIATION_NTAR_ID,0))</f>
        <v/>
      </c>
      <c r="AC45" s="488"/>
      <c r="AD45" s="488"/>
      <c r="AE45" s="488"/>
      <c r="AF45" s="488"/>
      <c r="AG45" s="488"/>
      <c r="AH45" s="488"/>
      <c r="AI45" s="488"/>
      <c r="AJ45" s="488"/>
      <c r="AK45" s="488"/>
      <c r="AL45" s="488"/>
      <c r="AM45" s="488"/>
      <c r="AN45" s="488"/>
      <c r="AO45" s="488"/>
      <c r="AP45" s="488"/>
      <c r="AQ45" s="488"/>
      <c r="AR45" s="488"/>
      <c r="AS45" s="488"/>
      <c r="AT45" s="489"/>
      <c r="AU45" s="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9"/>
      <c r="AX45" s="129" t="str">
        <f t="shared" si="22"/>
        <v xml:space="preserve">Наименование тарифа</v>
      </c>
      <c r="AY45" s="129"/>
      <c r="AZ45" s="129"/>
      <c r="BA45" s="50">
        <v>102</v>
      </c>
    </row>
    <row r="46" ht="22" customHeight="1">
      <c r="A46" s="479" t="s">
        <v>195</v>
      </c>
      <c r="B46" s="479" t="s">
        <v>196</v>
      </c>
      <c r="C46" s="479"/>
      <c r="D46" s="479"/>
      <c r="E46" s="491"/>
      <c r="F46" s="480">
        <v>1</v>
      </c>
      <c r="G46" s="479"/>
      <c r="H46" s="479"/>
      <c r="I46" s="479"/>
      <c r="J46" s="479"/>
      <c r="K46" s="479"/>
      <c r="L46" s="481"/>
      <c r="M46" s="482"/>
      <c r="N46" s="482"/>
      <c r="O46" s="482"/>
      <c r="P46" s="114"/>
      <c r="Q46" s="629"/>
      <c r="R46" s="493"/>
      <c r="S46" s="484" t="str">
        <f>INDEX(PT_DIFFERENTIATION_NUM_TER,MATCH(B46,PT_DIFFERENTIATION_TER_ID,0))</f>
        <v>.</v>
      </c>
      <c r="T46" s="494" t="s">
        <v>392</v>
      </c>
      <c r="U46" s="486"/>
      <c r="V46" s="488"/>
      <c r="W46" s="488"/>
      <c r="X46" s="488"/>
      <c r="Y46" s="488"/>
      <c r="Z46" s="488"/>
      <c r="AA46" s="489"/>
      <c r="AB46" s="487" t="str">
        <f>INDEX(PT_DIFFERENTIATION_TER,MATCH(B46,PT_DIFFERENTIATION_TER_ID,0))</f>
        <v/>
      </c>
      <c r="AC46" s="488"/>
      <c r="AD46" s="488"/>
      <c r="AE46" s="488"/>
      <c r="AF46" s="488"/>
      <c r="AG46" s="488"/>
      <c r="AH46" s="488"/>
      <c r="AI46" s="488"/>
      <c r="AJ46" s="488"/>
      <c r="AK46" s="488"/>
      <c r="AL46" s="488"/>
      <c r="AM46" s="488"/>
      <c r="AN46" s="488"/>
      <c r="AO46" s="488"/>
      <c r="AP46" s="488"/>
      <c r="AQ46" s="488"/>
      <c r="AR46" s="488"/>
      <c r="AS46" s="488"/>
      <c r="AT46" s="489"/>
      <c r="AU46" s="490" t="s">
        <v>393</v>
      </c>
      <c r="AW46" s="129"/>
      <c r="AX46" s="129" t="str">
        <f t="shared" si="22"/>
        <v xml:space="preserve">Территория действия тарифа</v>
      </c>
      <c r="AY46" s="129"/>
      <c r="AZ46" s="129"/>
      <c r="BA46" s="50">
        <v>21</v>
      </c>
    </row>
    <row r="47" ht="24" customHeight="1">
      <c r="A47" s="479" t="s">
        <v>195</v>
      </c>
      <c r="B47" s="479" t="s">
        <v>196</v>
      </c>
      <c r="C47" s="479" t="s">
        <v>197</v>
      </c>
      <c r="D47" s="479"/>
      <c r="E47" s="491"/>
      <c r="F47" s="491"/>
      <c r="G47" s="480">
        <v>1</v>
      </c>
      <c r="H47" s="479"/>
      <c r="I47" s="479"/>
      <c r="J47" s="479"/>
      <c r="K47" s="479"/>
      <c r="L47" s="481"/>
      <c r="M47" s="482"/>
      <c r="N47" s="482"/>
      <c r="O47" s="482"/>
      <c r="P47" s="135"/>
      <c r="Q47" s="629"/>
      <c r="R47" s="493"/>
      <c r="S47" s="484" t="str">
        <f>INDEX(PT_DIFFERENTIATION_NUM_CS,MATCH(C47,PT_DIFFERENTIATION_CS_ID,0))</f>
        <v>..</v>
      </c>
      <c r="T47" s="496" t="s">
        <v>394</v>
      </c>
      <c r="U47" s="486"/>
      <c r="V47" s="488"/>
      <c r="W47" s="488"/>
      <c r="X47" s="488"/>
      <c r="Y47" s="488"/>
      <c r="Z47" s="488"/>
      <c r="AA47" s="489"/>
      <c r="AB47" s="487" t="str">
        <f>INDEX(PT_DIFFERENTIATION_CS,MATCH(C47,PT_DIFFERENTIATION_CS_ID,0))</f>
        <v/>
      </c>
      <c r="AC47" s="488"/>
      <c r="AD47" s="488"/>
      <c r="AE47" s="488"/>
      <c r="AF47" s="488"/>
      <c r="AG47" s="488"/>
      <c r="AH47" s="488"/>
      <c r="AI47" s="488"/>
      <c r="AJ47" s="488"/>
      <c r="AK47" s="488"/>
      <c r="AL47" s="488"/>
      <c r="AM47" s="488"/>
      <c r="AN47" s="488"/>
      <c r="AO47" s="488"/>
      <c r="AP47" s="488"/>
      <c r="AQ47" s="488"/>
      <c r="AR47" s="488"/>
      <c r="AS47" s="488"/>
      <c r="AT47" s="489"/>
      <c r="AU47" s="490" t="s">
        <v>395</v>
      </c>
      <c r="AW47" s="129"/>
      <c r="AX47" s="129" t="str">
        <f t="shared" si="22"/>
        <v xml:space="preserve">Наименование системы теплоснабжения </v>
      </c>
      <c r="AY47" s="129"/>
      <c r="AZ47" s="129"/>
      <c r="BA47" s="50">
        <v>23</v>
      </c>
    </row>
    <row r="48" ht="21" customHeight="1">
      <c r="A48" s="479" t="s">
        <v>195</v>
      </c>
      <c r="B48" s="479" t="s">
        <v>196</v>
      </c>
      <c r="C48" s="479" t="s">
        <v>197</v>
      </c>
      <c r="D48" s="479" t="s">
        <v>198</v>
      </c>
      <c r="E48" s="491"/>
      <c r="F48" s="491"/>
      <c r="G48" s="491"/>
      <c r="H48" s="480">
        <v>1</v>
      </c>
      <c r="I48" s="479"/>
      <c r="J48" s="479"/>
      <c r="K48" s="479"/>
      <c r="L48" s="481"/>
      <c r="M48" s="482"/>
      <c r="N48" s="482"/>
      <c r="O48" s="482"/>
      <c r="P48" s="135"/>
      <c r="Q48" s="629"/>
      <c r="R48" s="493"/>
      <c r="S48" s="484" t="str">
        <f>INDEX(PT_DIFFERENTIATION_NUM_IST_TE,MATCH(D48,PT_DIFFERENTIATION_IST_TE_ID,0))</f>
        <v>...</v>
      </c>
      <c r="T48" s="497" t="s">
        <v>396</v>
      </c>
      <c r="U48" s="486"/>
      <c r="V48" s="488"/>
      <c r="W48" s="488"/>
      <c r="X48" s="488"/>
      <c r="Y48" s="488"/>
      <c r="Z48" s="488"/>
      <c r="AA48" s="489"/>
      <c r="AB48" s="487" t="str">
        <f>INDEX(PT_DIFFERENTIATION_IST_TE,MATCH(D48,PT_DIFFERENTIATION_IST_TE_ID,0))</f>
        <v/>
      </c>
      <c r="AC48" s="488"/>
      <c r="AD48" s="488"/>
      <c r="AE48" s="488"/>
      <c r="AF48" s="488"/>
      <c r="AG48" s="488"/>
      <c r="AH48" s="488"/>
      <c r="AI48" s="488"/>
      <c r="AJ48" s="488"/>
      <c r="AK48" s="488"/>
      <c r="AL48" s="488"/>
      <c r="AM48" s="488"/>
      <c r="AN48" s="488"/>
      <c r="AO48" s="488"/>
      <c r="AP48" s="488"/>
      <c r="AQ48" s="488"/>
      <c r="AR48" s="488"/>
      <c r="AS48" s="488"/>
      <c r="AT48" s="489"/>
      <c r="AU48" s="490" t="s">
        <v>397</v>
      </c>
      <c r="AW48" s="129"/>
      <c r="AX48" s="129" t="str">
        <f t="shared" si="22"/>
        <v xml:space="preserve">Источник тепловой энергии  </v>
      </c>
      <c r="AY48" s="129"/>
      <c r="AZ48" s="129"/>
      <c r="BA48" s="50">
        <v>20</v>
      </c>
    </row>
    <row r="49" s="57" customFormat="1" ht="1.05" customHeight="1">
      <c r="A49" s="133" t="s">
        <v>195</v>
      </c>
      <c r="B49" s="133" t="s">
        <v>196</v>
      </c>
      <c r="C49" s="133" t="s">
        <v>197</v>
      </c>
      <c r="D49" s="133" t="s">
        <v>198</v>
      </c>
      <c r="E49" s="491"/>
      <c r="F49" s="491"/>
      <c r="G49" s="491"/>
      <c r="H49" s="491"/>
      <c r="I49" s="498" t="str">
        <f>S48&amp;".1"</f>
        <v>....1</v>
      </c>
      <c r="J49" s="133"/>
      <c r="K49" s="133"/>
      <c r="L49" s="212" t="s">
        <v>398</v>
      </c>
      <c r="M49" s="596"/>
      <c r="N49" s="596"/>
      <c r="O49" s="596"/>
      <c r="P49" s="132">
        <v>1</v>
      </c>
      <c r="Q49" s="132"/>
      <c r="R49" s="499"/>
      <c r="S49" s="351"/>
      <c r="T49" s="586"/>
      <c r="U49" s="587"/>
      <c r="V49" s="589"/>
      <c r="W49" s="589"/>
      <c r="X49" s="589"/>
      <c r="Y49" s="589"/>
      <c r="Z49" s="589"/>
      <c r="AA49" s="590"/>
      <c r="AB49" s="588"/>
      <c r="AC49" s="589"/>
      <c r="AD49" s="589"/>
      <c r="AE49" s="589"/>
      <c r="AF49" s="589"/>
      <c r="AG49" s="589"/>
      <c r="AH49" s="589"/>
      <c r="AI49" s="589"/>
      <c r="AJ49" s="589"/>
      <c r="AK49" s="589"/>
      <c r="AL49" s="589"/>
      <c r="AM49" s="589"/>
      <c r="AN49" s="589"/>
      <c r="AO49" s="589"/>
      <c r="AP49" s="589"/>
      <c r="AQ49" s="589"/>
      <c r="AR49" s="589"/>
      <c r="AS49" s="589"/>
      <c r="AT49" s="590"/>
      <c r="AU49" s="591"/>
      <c r="AW49" s="129"/>
      <c r="AX49" s="129" t="str">
        <f t="shared" si="22"/>
        <v/>
      </c>
      <c r="AY49" s="129"/>
      <c r="AZ49" s="129"/>
      <c r="BA49" s="57">
        <v>1</v>
      </c>
    </row>
    <row r="50" s="57" customFormat="1" ht="1.05" customHeight="1">
      <c r="A50" s="133" t="s">
        <v>195</v>
      </c>
      <c r="B50" s="133" t="s">
        <v>196</v>
      </c>
      <c r="C50" s="133" t="s">
        <v>197</v>
      </c>
      <c r="D50" s="133" t="s">
        <v>198</v>
      </c>
      <c r="E50" s="491"/>
      <c r="F50" s="491"/>
      <c r="G50" s="491"/>
      <c r="H50" s="491"/>
      <c r="I50" s="503"/>
      <c r="J50" s="498" t="str">
        <f>S48&amp;".1"</f>
        <v>....1</v>
      </c>
      <c r="K50" s="133"/>
      <c r="L50" s="212"/>
      <c r="M50" s="596"/>
      <c r="N50" s="596"/>
      <c r="O50" s="596"/>
      <c r="P50" s="132"/>
      <c r="Q50" s="132">
        <v>1</v>
      </c>
      <c r="R50" s="504"/>
      <c r="S50" s="351"/>
      <c r="T50" s="630"/>
      <c r="U50" s="587"/>
      <c r="V50" s="589"/>
      <c r="W50" s="589"/>
      <c r="X50" s="589"/>
      <c r="Y50" s="589"/>
      <c r="Z50" s="589"/>
      <c r="AA50" s="590"/>
      <c r="AB50" s="588"/>
      <c r="AC50" s="589"/>
      <c r="AD50" s="589"/>
      <c r="AE50" s="589"/>
      <c r="AF50" s="589"/>
      <c r="AG50" s="589"/>
      <c r="AH50" s="589"/>
      <c r="AI50" s="589"/>
      <c r="AJ50" s="589"/>
      <c r="AK50" s="589"/>
      <c r="AL50" s="589"/>
      <c r="AM50" s="589"/>
      <c r="AN50" s="589"/>
      <c r="AO50" s="589"/>
      <c r="AP50" s="589"/>
      <c r="AQ50" s="589"/>
      <c r="AR50" s="589"/>
      <c r="AS50" s="589"/>
      <c r="AT50" s="590"/>
      <c r="AU50" s="591"/>
      <c r="AW50" s="129"/>
      <c r="AX50" s="129" t="str">
        <f t="shared" si="22"/>
        <v/>
      </c>
      <c r="AY50" s="129"/>
      <c r="AZ50" s="129"/>
      <c r="BA50" s="57">
        <v>1</v>
      </c>
    </row>
    <row r="51" ht="22" customHeight="1">
      <c r="A51" s="479" t="s">
        <v>195</v>
      </c>
      <c r="B51" s="479" t="s">
        <v>196</v>
      </c>
      <c r="C51" s="479" t="s">
        <v>197</v>
      </c>
      <c r="D51" s="479" t="s">
        <v>198</v>
      </c>
      <c r="E51" s="491"/>
      <c r="F51" s="491"/>
      <c r="G51" s="491"/>
      <c r="H51" s="491"/>
      <c r="I51" s="503"/>
      <c r="J51" s="503"/>
      <c r="K51" s="498" t="str">
        <f>S48&amp;".1"</f>
        <v>....1</v>
      </c>
      <c r="L51" s="481"/>
      <c r="P51" s="132"/>
      <c r="Q51" s="132"/>
      <c r="R51" s="504">
        <v>1</v>
      </c>
      <c r="S51" s="598" t="str">
        <f>$K51</f>
        <v>....1</v>
      </c>
      <c r="T51" s="632"/>
      <c r="U51" s="486"/>
      <c r="V51" s="507"/>
      <c r="W51" s="509"/>
      <c r="X51" s="510"/>
      <c r="Y51" s="224" t="s">
        <v>65</v>
      </c>
      <c r="Z51" s="510"/>
      <c r="AA51" s="224" t="s">
        <v>65</v>
      </c>
      <c r="AB51" s="224" t="s">
        <v>19</v>
      </c>
      <c r="AC51" s="633"/>
      <c r="AD51" s="345">
        <v>1</v>
      </c>
      <c r="AE51" s="101" t="s">
        <v>22</v>
      </c>
      <c r="AF51" s="224" t="s">
        <v>19</v>
      </c>
      <c r="AG51" s="633"/>
      <c r="AH51" s="345">
        <v>1</v>
      </c>
      <c r="AI51" s="101" t="s">
        <v>22</v>
      </c>
      <c r="AJ51" s="224" t="s">
        <v>19</v>
      </c>
      <c r="AK51" s="634"/>
      <c r="AL51" s="345">
        <v>1</v>
      </c>
      <c r="AM51" s="673"/>
      <c r="AN51" s="507"/>
      <c r="AO51" s="509"/>
      <c r="AP51" s="510"/>
      <c r="AQ51" s="224" t="s">
        <v>65</v>
      </c>
      <c r="AR51" s="510"/>
      <c r="AS51" s="224" t="s">
        <v>65</v>
      </c>
      <c r="AT51" s="571"/>
      <c r="AU51" s="511" t="s">
        <v>475</v>
      </c>
      <c r="AV51" s="57" t="e">
        <f>STRCHECKDATE(V54:AT54)</f>
        <v>#NAME?</v>
      </c>
      <c r="AW51" s="129"/>
      <c r="AX51" s="129" t="str">
        <f t="shared" si="22"/>
        <v/>
      </c>
      <c r="AY51" s="129"/>
      <c r="AZ51" s="129"/>
      <c r="BA51" s="50">
        <v>21</v>
      </c>
    </row>
    <row r="52" ht="11.5" customHeight="1">
      <c r="A52" s="479" t="s">
        <v>195</v>
      </c>
      <c r="B52" s="479"/>
      <c r="C52" s="479"/>
      <c r="D52" s="479"/>
      <c r="E52" s="491"/>
      <c r="F52" s="491"/>
      <c r="G52" s="491"/>
      <c r="H52" s="491"/>
      <c r="I52" s="503"/>
      <c r="J52" s="503"/>
      <c r="K52" s="498"/>
      <c r="L52" s="481"/>
      <c r="P52" s="132"/>
      <c r="Q52" s="132"/>
      <c r="R52" s="504"/>
      <c r="S52" s="635"/>
      <c r="T52" s="636"/>
      <c r="U52" s="486"/>
      <c r="V52" s="622"/>
      <c r="W52" s="639"/>
      <c r="X52" s="622"/>
      <c r="Y52" s="622"/>
      <c r="Z52" s="622"/>
      <c r="AA52" s="622"/>
      <c r="AB52" s="224"/>
      <c r="AC52" s="633"/>
      <c r="AD52" s="345"/>
      <c r="AE52" s="101"/>
      <c r="AF52" s="224"/>
      <c r="AG52" s="633"/>
      <c r="AH52" s="345"/>
      <c r="AI52" s="101"/>
      <c r="AJ52" s="224"/>
      <c r="AK52" s="638"/>
      <c r="AL52" s="177"/>
      <c r="AM52" s="172" t="s">
        <v>460</v>
      </c>
      <c r="AN52" s="622"/>
      <c r="AO52" s="639"/>
      <c r="AP52" s="622"/>
      <c r="AQ52" s="622"/>
      <c r="AR52" s="622"/>
      <c r="AS52" s="622"/>
      <c r="AT52" s="640"/>
      <c r="AU52" s="514"/>
      <c r="AW52" s="129"/>
      <c r="AX52" s="129"/>
      <c r="AY52" s="129"/>
      <c r="AZ52" s="129"/>
      <c r="BA52" s="50">
        <v>11</v>
      </c>
    </row>
    <row r="53" ht="11.5" customHeight="1">
      <c r="A53" s="479" t="s">
        <v>195</v>
      </c>
      <c r="B53" s="479"/>
      <c r="C53" s="479"/>
      <c r="D53" s="479"/>
      <c r="E53" s="491"/>
      <c r="F53" s="491"/>
      <c r="G53" s="491"/>
      <c r="H53" s="491"/>
      <c r="I53" s="503"/>
      <c r="J53" s="503"/>
      <c r="K53" s="498"/>
      <c r="L53" s="481"/>
      <c r="P53" s="132"/>
      <c r="Q53" s="132"/>
      <c r="R53" s="504"/>
      <c r="S53" s="635"/>
      <c r="T53" s="636"/>
      <c r="U53" s="486"/>
      <c r="V53" s="622"/>
      <c r="W53" s="639"/>
      <c r="X53" s="622"/>
      <c r="Y53" s="622"/>
      <c r="Z53" s="622"/>
      <c r="AA53" s="622"/>
      <c r="AB53" s="224"/>
      <c r="AC53" s="633"/>
      <c r="AD53" s="345"/>
      <c r="AE53" s="101"/>
      <c r="AF53" s="224"/>
      <c r="AG53" s="641"/>
      <c r="AH53" s="172"/>
      <c r="AI53" s="172" t="s">
        <v>461</v>
      </c>
      <c r="AJ53" s="622"/>
      <c r="AK53" s="622"/>
      <c r="AL53" s="622"/>
      <c r="AM53" s="622"/>
      <c r="AN53" s="622"/>
      <c r="AO53" s="639"/>
      <c r="AP53" s="622"/>
      <c r="AQ53" s="622"/>
      <c r="AR53" s="622"/>
      <c r="AS53" s="622"/>
      <c r="AT53" s="640"/>
      <c r="AU53" s="514"/>
      <c r="AW53" s="129"/>
      <c r="AX53" s="129"/>
      <c r="AY53" s="129"/>
      <c r="AZ53" s="129"/>
      <c r="BA53" s="50">
        <v>11</v>
      </c>
    </row>
    <row r="54" ht="11.5" customHeight="1">
      <c r="A54" s="479" t="s">
        <v>195</v>
      </c>
      <c r="B54" s="479" t="s">
        <v>196</v>
      </c>
      <c r="C54" s="479" t="s">
        <v>197</v>
      </c>
      <c r="D54" s="479" t="s">
        <v>198</v>
      </c>
      <c r="E54" s="491"/>
      <c r="F54" s="491"/>
      <c r="G54" s="491"/>
      <c r="H54" s="491"/>
      <c r="I54" s="503"/>
      <c r="J54" s="503"/>
      <c r="K54" s="498"/>
      <c r="L54" s="481"/>
      <c r="P54" s="132"/>
      <c r="Q54" s="132"/>
      <c r="R54" s="504"/>
      <c r="S54" s="608"/>
      <c r="T54" s="642"/>
      <c r="U54" s="486"/>
      <c r="V54" s="622"/>
      <c r="W54" s="623" t="str">
        <f>X51&amp;"-"&amp;Z51</f>
        <v>-</v>
      </c>
      <c r="X54" s="622"/>
      <c r="Y54" s="622"/>
      <c r="Z54" s="622"/>
      <c r="AA54" s="622"/>
      <c r="AB54" s="224"/>
      <c r="AC54" s="644"/>
      <c r="AD54" s="645"/>
      <c r="AE54" s="172" t="s">
        <v>462</v>
      </c>
      <c r="AF54" s="622"/>
      <c r="AG54" s="622"/>
      <c r="AH54" s="622"/>
      <c r="AI54" s="622"/>
      <c r="AJ54" s="622"/>
      <c r="AK54" s="622"/>
      <c r="AL54" s="622"/>
      <c r="AM54" s="622"/>
      <c r="AN54" s="622"/>
      <c r="AO54" s="623" t="str">
        <f>AP51&amp;"-"&amp;AR51</f>
        <v>-</v>
      </c>
      <c r="AP54" s="622"/>
      <c r="AQ54" s="622"/>
      <c r="AR54" s="622"/>
      <c r="AS54" s="622"/>
      <c r="AT54" s="573"/>
      <c r="AU54" s="514"/>
      <c r="AW54" s="129"/>
      <c r="AX54" s="129" t="str">
        <f t="shared" si="22"/>
        <v/>
      </c>
      <c r="AY54" s="129"/>
      <c r="AZ54" s="129"/>
      <c r="BA54" s="50">
        <v>11</v>
      </c>
    </row>
    <row r="55" ht="11.5" customHeight="1">
      <c r="A55" s="479" t="s">
        <v>195</v>
      </c>
      <c r="B55" s="479" t="s">
        <v>196</v>
      </c>
      <c r="C55" s="479" t="s">
        <v>197</v>
      </c>
      <c r="D55" s="479" t="s">
        <v>198</v>
      </c>
      <c r="E55" s="491"/>
      <c r="F55" s="491"/>
      <c r="G55" s="491"/>
      <c r="H55" s="491"/>
      <c r="I55" s="503"/>
      <c r="J55" s="498"/>
      <c r="K55" s="479"/>
      <c r="L55" s="481"/>
      <c r="P55" s="132"/>
      <c r="Q55" s="132"/>
      <c r="R55" s="499"/>
      <c r="S55" s="515"/>
      <c r="T55" s="519" t="s">
        <v>463</v>
      </c>
      <c r="U55" s="214"/>
      <c r="V55" s="214"/>
      <c r="W55" s="214"/>
      <c r="X55" s="214"/>
      <c r="Y55" s="214"/>
      <c r="Z55" s="214"/>
      <c r="AA55" s="517"/>
      <c r="AB55" s="674"/>
      <c r="AC55" s="214"/>
      <c r="AD55" s="214"/>
      <c r="AE55" s="214"/>
      <c r="AF55" s="214"/>
      <c r="AG55" s="214"/>
      <c r="AH55" s="214"/>
      <c r="AI55" s="214"/>
      <c r="AJ55" s="214"/>
      <c r="AK55" s="214"/>
      <c r="AL55" s="214"/>
      <c r="AM55" s="214"/>
      <c r="AN55" s="214"/>
      <c r="AO55" s="214"/>
      <c r="AP55" s="214"/>
      <c r="AQ55" s="214"/>
      <c r="AR55" s="214"/>
      <c r="AS55" s="214"/>
      <c r="AT55" s="517"/>
      <c r="AU55" s="518"/>
      <c r="AW55" s="129"/>
      <c r="AX55" s="129" t="str">
        <f t="shared" si="22"/>
        <v xml:space="preserve">Добавить строку</v>
      </c>
      <c r="AY55" s="129"/>
      <c r="AZ55" s="129"/>
      <c r="BA55" s="50">
        <v>11</v>
      </c>
    </row>
    <row r="56" s="57" customFormat="1" ht="1.05" customHeight="1">
      <c r="A56" s="133" t="s">
        <v>195</v>
      </c>
      <c r="B56" s="133" t="s">
        <v>196</v>
      </c>
      <c r="C56" s="133" t="s">
        <v>197</v>
      </c>
      <c r="D56" s="133" t="s">
        <v>198</v>
      </c>
      <c r="E56" s="491"/>
      <c r="F56" s="491"/>
      <c r="G56" s="491"/>
      <c r="H56" s="491"/>
      <c r="I56" s="498"/>
      <c r="J56" s="133"/>
      <c r="K56" s="133"/>
      <c r="L56" s="212"/>
      <c r="M56" s="596"/>
      <c r="N56" s="596"/>
      <c r="O56" s="596"/>
      <c r="P56" s="132"/>
      <c r="Q56" s="132"/>
      <c r="R56" s="499"/>
      <c r="S56" s="592"/>
      <c r="T56" s="593" t="s">
        <v>407</v>
      </c>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5"/>
      <c r="AW56" s="129"/>
      <c r="AX56" s="129" t="str">
        <f t="shared" si="22"/>
        <v xml:space="preserve">Добавить группу потребителей</v>
      </c>
      <c r="AY56" s="129"/>
      <c r="AZ56" s="129"/>
      <c r="BA56" s="57">
        <v>1</v>
      </c>
    </row>
    <row r="57" s="131" customFormat="1" ht="1.05" customHeight="1">
      <c r="A57" s="133" t="s">
        <v>195</v>
      </c>
      <c r="B57" s="133" t="s">
        <v>196</v>
      </c>
      <c r="C57" s="133" t="s">
        <v>197</v>
      </c>
      <c r="D57" s="133" t="s">
        <v>198</v>
      </c>
      <c r="E57" s="491"/>
      <c r="F57" s="491"/>
      <c r="G57" s="491"/>
      <c r="H57" s="480"/>
      <c r="I57" s="133"/>
      <c r="J57" s="133"/>
      <c r="K57" s="133"/>
      <c r="L57" s="212"/>
      <c r="M57" s="464"/>
      <c r="N57" s="464"/>
      <c r="O57" s="57"/>
      <c r="P57" s="167"/>
      <c r="Q57" s="524"/>
      <c r="R57" s="675"/>
      <c r="S57" s="592"/>
      <c r="T57" s="593"/>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5"/>
      <c r="AV57" s="57"/>
      <c r="AW57" s="129"/>
      <c r="AX57" s="129" t="str">
        <f t="shared" si="22"/>
        <v/>
      </c>
      <c r="AY57" s="129"/>
      <c r="AZ57" s="129"/>
      <c r="BA57" s="131">
        <v>1</v>
      </c>
    </row>
    <row r="58" s="57" customFormat="1" ht="1.05" customHeight="1">
      <c r="A58" s="133" t="s">
        <v>195</v>
      </c>
      <c r="B58" s="133" t="s">
        <v>196</v>
      </c>
      <c r="C58" s="133" t="s">
        <v>197</v>
      </c>
      <c r="D58" s="133"/>
      <c r="E58" s="491"/>
      <c r="F58" s="491"/>
      <c r="G58" s="480"/>
      <c r="H58" s="133"/>
      <c r="I58" s="133"/>
      <c r="J58" s="133"/>
      <c r="K58" s="133"/>
      <c r="L58" s="212"/>
      <c r="M58" s="464"/>
      <c r="N58" s="464"/>
      <c r="P58" s="167"/>
      <c r="Q58" s="524"/>
      <c r="R58" s="167"/>
      <c r="S58" s="529"/>
      <c r="T58" s="532" t="s">
        <v>409</v>
      </c>
      <c r="U58" s="531"/>
      <c r="V58" s="531"/>
      <c r="W58" s="531"/>
      <c r="X58" s="531"/>
      <c r="Y58" s="531"/>
      <c r="Z58" s="531"/>
      <c r="AA58" s="531"/>
      <c r="AB58" s="531"/>
      <c r="AC58" s="531"/>
      <c r="AD58" s="531"/>
      <c r="AE58" s="531"/>
      <c r="AF58" s="531"/>
      <c r="AG58" s="531"/>
      <c r="AH58" s="531"/>
      <c r="AI58" s="531"/>
      <c r="AJ58" s="531"/>
      <c r="AK58" s="531"/>
      <c r="AL58" s="531"/>
      <c r="AM58" s="531"/>
      <c r="AN58" s="531"/>
      <c r="AO58" s="531"/>
      <c r="AP58" s="531"/>
      <c r="AQ58" s="531"/>
      <c r="AR58" s="531"/>
      <c r="AS58" s="531"/>
      <c r="AT58" s="531"/>
      <c r="AU58" s="531"/>
      <c r="AW58" s="129"/>
      <c r="AX58" s="129" t="str">
        <f t="shared" si="22"/>
        <v xml:space="preserve">Добавить источник для дифференциации</v>
      </c>
      <c r="AY58" s="129"/>
      <c r="AZ58" s="129"/>
      <c r="BA58" s="57">
        <v>1</v>
      </c>
    </row>
    <row r="59" s="57" customFormat="1" ht="1.05" customHeight="1">
      <c r="A59" s="133" t="s">
        <v>195</v>
      </c>
      <c r="B59" s="133" t="s">
        <v>196</v>
      </c>
      <c r="C59" s="133"/>
      <c r="D59" s="133"/>
      <c r="E59" s="491"/>
      <c r="F59" s="480"/>
      <c r="G59" s="133"/>
      <c r="H59" s="133"/>
      <c r="I59" s="133"/>
      <c r="J59" s="133"/>
      <c r="K59" s="133"/>
      <c r="L59" s="212"/>
      <c r="M59" s="528"/>
      <c r="N59" s="528"/>
      <c r="P59" s="167"/>
      <c r="Q59" s="524"/>
      <c r="R59" s="167"/>
      <c r="S59" s="529"/>
      <c r="T59" s="532" t="s">
        <v>410</v>
      </c>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W59" s="129"/>
      <c r="AX59" s="129" t="str">
        <f t="shared" si="22"/>
        <v xml:space="preserve">Добавить централизованную систему для дифференциации</v>
      </c>
      <c r="AY59" s="129"/>
      <c r="AZ59" s="129"/>
      <c r="BA59" s="57">
        <v>1</v>
      </c>
    </row>
    <row r="60" s="57" customFormat="1" ht="1.05" customHeight="1">
      <c r="A60" s="133" t="s">
        <v>195</v>
      </c>
      <c r="B60" s="133"/>
      <c r="C60" s="133"/>
      <c r="D60" s="133"/>
      <c r="E60" s="491"/>
      <c r="F60" s="133"/>
      <c r="G60" s="133"/>
      <c r="H60" s="133"/>
      <c r="I60" s="133"/>
      <c r="J60" s="133"/>
      <c r="K60" s="133"/>
      <c r="L60" s="212"/>
      <c r="M60" s="528"/>
      <c r="N60" s="528"/>
      <c r="O60" s="57"/>
      <c r="P60" s="167"/>
      <c r="Q60" s="524"/>
      <c r="R60" s="167"/>
      <c r="S60" s="529"/>
      <c r="T60" s="532" t="s">
        <v>411</v>
      </c>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W60" s="129"/>
      <c r="AX60" s="129" t="str">
        <f t="shared" si="22"/>
        <v xml:space="preserve">Добавить территорию для дифференциации</v>
      </c>
      <c r="AY60" s="129"/>
      <c r="AZ60" s="129"/>
      <c r="BA60" s="57">
        <v>1</v>
      </c>
    </row>
    <row r="61" s="57" customFormat="1" ht="1.05" customHeight="1">
      <c r="A61" s="133" t="s">
        <v>195</v>
      </c>
      <c r="B61" s="133"/>
      <c r="C61" s="133"/>
      <c r="D61" s="133"/>
      <c r="E61" s="480"/>
      <c r="F61" s="133"/>
      <c r="G61" s="133"/>
      <c r="H61" s="133"/>
      <c r="I61" s="133"/>
      <c r="J61" s="133"/>
      <c r="K61" s="133"/>
      <c r="L61" s="212"/>
      <c r="M61" s="528"/>
      <c r="N61" s="528"/>
      <c r="O61" s="57"/>
      <c r="P61" s="167"/>
      <c r="Q61" s="524"/>
      <c r="R61" s="167"/>
      <c r="S61" s="529"/>
      <c r="T61" s="532" t="s">
        <v>411</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W61" s="129"/>
      <c r="AX61" s="129" t="str">
        <f t="shared" si="22"/>
        <v xml:space="preserve">Добавить территорию для дифференциации</v>
      </c>
      <c r="AY61" s="129"/>
      <c r="AZ61" s="129"/>
      <c r="BA61" s="57">
        <v>1</v>
      </c>
    </row>
    <row r="62" s="57" customFormat="1" ht="1.05" customHeight="1">
      <c r="A62" s="133"/>
      <c r="B62" s="133"/>
      <c r="C62" s="133"/>
      <c r="D62" s="133"/>
      <c r="E62" s="133"/>
      <c r="F62" s="133"/>
      <c r="G62" s="133"/>
      <c r="H62" s="133"/>
      <c r="I62" s="133"/>
      <c r="J62" s="133"/>
      <c r="K62" s="133"/>
      <c r="L62" s="212"/>
      <c r="M62" s="528"/>
      <c r="N62" s="528"/>
      <c r="P62" s="167"/>
      <c r="Q62" s="524"/>
      <c r="R62" s="167"/>
      <c r="S62" s="529"/>
      <c r="T62" s="532" t="s">
        <v>443</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W62" s="129"/>
      <c r="AX62" s="129" t="str">
        <f t="shared" si="22"/>
        <v xml:space="preserve">Добавить наименование тарифа</v>
      </c>
      <c r="AY62" s="129"/>
      <c r="AZ62" s="129"/>
      <c r="BA62" s="57">
        <v>1</v>
      </c>
    </row>
    <row r="63" ht="11.5" customHeight="1">
      <c r="M63" s="53"/>
      <c r="N63" s="53"/>
      <c r="O63" s="53"/>
      <c r="P63" s="53"/>
      <c r="Q63" s="53"/>
      <c r="R63" s="50"/>
      <c r="S63" s="50"/>
      <c r="AV63" s="50"/>
      <c r="AW63" s="50"/>
      <c r="AX63" s="50"/>
      <c r="AY63" s="50"/>
      <c r="AZ63" s="50"/>
      <c r="BA63" s="50">
        <v>11</v>
      </c>
    </row>
    <row r="64" ht="19.949999999999999" customHeight="1">
      <c r="O64" s="53"/>
      <c r="S64" s="476"/>
      <c r="T64" s="574"/>
      <c r="U64" s="574"/>
      <c r="V64" s="574"/>
      <c r="W64" s="574"/>
      <c r="X64" s="574"/>
      <c r="Y64" s="574"/>
      <c r="Z64" s="574"/>
      <c r="AA64" s="574"/>
      <c r="AB64" s="574"/>
      <c r="AC64" s="574"/>
      <c r="AD64" s="574"/>
      <c r="AE64" s="574"/>
      <c r="AF64" s="574"/>
      <c r="AG64" s="574"/>
      <c r="AH64" s="574"/>
      <c r="AI64" s="574"/>
      <c r="AJ64" s="574"/>
      <c r="AK64" s="574"/>
      <c r="AL64" s="574"/>
      <c r="AM64" s="574"/>
      <c r="AN64" s="574"/>
      <c r="AO64" s="574"/>
      <c r="AP64" s="574"/>
      <c r="AQ64" s="574"/>
      <c r="AR64" s="574"/>
      <c r="AS64" s="574"/>
      <c r="AT64" s="574"/>
      <c r="AU64" s="574"/>
      <c r="BA64" s="50">
        <v>19</v>
      </c>
    </row>
    <row r="65" ht="21" customHeight="1">
      <c r="O65" s="53"/>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BA65" s="50">
        <v>20</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BA66" s="50">
        <v>14</v>
      </c>
    </row>
    <row r="67" ht="19.949999999999999" customHeight="1">
      <c r="O67" s="53"/>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BA67" s="50">
        <v>19</v>
      </c>
    </row>
    <row r="68" ht="16.800000000000001" customHeight="1">
      <c r="O68" s="53"/>
      <c r="T68" s="574"/>
      <c r="U68" s="574"/>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R68" s="574"/>
      <c r="AS68" s="574"/>
      <c r="AT68" s="574"/>
      <c r="AU68" s="574"/>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4">
        <v>0</v>
      </c>
      <c r="M70" s="61">
        <v>0</v>
      </c>
      <c r="N70" s="61">
        <v>0</v>
      </c>
      <c r="O70" s="61">
        <v>0</v>
      </c>
      <c r="P70" s="61">
        <v>3</v>
      </c>
      <c r="Q70" s="538">
        <v>3</v>
      </c>
      <c r="R70" s="478">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1" deleteRows="1" formatCells="1" formatColumns="0" formatRows="0" insertColumns="1" insertHyperlinks="1" insertRows="1" objects="0" pivotTables="1" scenarios="0" selectLockedCells="0" selectUnlockedCells="0" sheet="1" sort="1"/>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540070-000F-4A60-BDEB-00E000DA00E8}"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6F000B-00F0-4CC1-A003-00D20041007F}"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BD0032-0032-4A29-99C9-0014006000F6}"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9D004A-00BD-4BB4-881E-0035006E000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BA004C-00BD-493A-AA92-004C002B0098}"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3">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393</v>
      </c>
      <c r="AM3" s="129"/>
      <c r="AN3" s="129" t="str">
        <f t="shared" si="23"/>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476</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477</v>
      </c>
      <c r="AM4" s="129"/>
      <c r="AN4" s="129" t="str">
        <f t="shared" si="23"/>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8"/>
      <c r="AC5" s="679"/>
      <c r="AD5" s="680"/>
      <c r="AE5" s="680"/>
      <c r="AF5" s="680"/>
      <c r="AG5" s="680"/>
      <c r="AH5" s="680"/>
      <c r="AI5" s="680"/>
      <c r="AJ5" s="681"/>
      <c r="AK5" s="490" t="s">
        <v>479</v>
      </c>
      <c r="AM5" s="129"/>
      <c r="AN5" s="129" t="str">
        <f t="shared" si="23"/>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2"/>
      <c r="AC6" s="431"/>
      <c r="AD6" s="501"/>
      <c r="AE6" s="501"/>
      <c r="AF6" s="501"/>
      <c r="AG6" s="501"/>
      <c r="AH6" s="501"/>
      <c r="AI6" s="501"/>
      <c r="AJ6" s="502"/>
      <c r="AK6" s="617" t="s">
        <v>480</v>
      </c>
      <c r="AM6" s="129"/>
      <c r="AN6" s="129" t="str">
        <f t="shared" si="23"/>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3"/>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3"/>
        <v/>
      </c>
      <c r="AO8" s="129"/>
      <c r="AP8" s="129"/>
      <c r="AQ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490" t="s">
        <v>482</v>
      </c>
      <c r="AM9" s="129"/>
      <c r="AN9" s="129" t="str">
        <f t="shared" si="23"/>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520"/>
      <c r="AC10" s="214"/>
      <c r="AD10" s="214"/>
      <c r="AE10" s="214"/>
      <c r="AF10" s="214"/>
      <c r="AG10" s="214"/>
      <c r="AH10" s="214"/>
      <c r="AI10" s="520"/>
      <c r="AJ10" s="214"/>
      <c r="AK10" s="686"/>
      <c r="AM10" s="129"/>
      <c r="AN10" s="129" t="str">
        <f t="shared" ref="AN10:AN53" si="24">IF(T10="","",T10)</f>
        <v xml:space="preserve">Добавить группу потребителей</v>
      </c>
      <c r="AO10" s="129"/>
      <c r="AP10" s="129"/>
      <c r="AQ10" s="50">
        <v>0</v>
      </c>
    </row>
    <row r="11" ht="14.25"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520"/>
      <c r="AC11" s="214"/>
      <c r="AD11" s="214"/>
      <c r="AE11" s="214"/>
      <c r="AF11" s="214"/>
      <c r="AG11" s="214"/>
      <c r="AH11" s="214"/>
      <c r="AI11" s="520"/>
      <c r="AJ11" s="214"/>
      <c r="AK11" s="521"/>
      <c r="AM11" s="129"/>
      <c r="AN11" s="129" t="str">
        <f t="shared" si="24"/>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M12" s="129"/>
      <c r="AN12" s="129" t="str">
        <f t="shared" si="24"/>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M13" s="129"/>
      <c r="AN13" s="129" t="str">
        <f t="shared" si="24"/>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412</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413</v>
      </c>
      <c r="P20" s="61"/>
      <c r="Q20" s="688"/>
      <c r="R20" s="688"/>
      <c r="S20" s="482"/>
      <c r="T20" s="53" t="s">
        <v>414</v>
      </c>
      <c r="Z20" s="151" t="s">
        <v>415</v>
      </c>
      <c r="AB20" s="151" t="s">
        <v>416</v>
      </c>
      <c r="AC20" s="53" t="s">
        <v>414</v>
      </c>
      <c r="AG20" s="151" t="s">
        <v>417</v>
      </c>
      <c r="AI20" s="151" t="s">
        <v>416</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422</v>
      </c>
      <c r="AC34" s="50"/>
      <c r="AD34" s="50"/>
      <c r="AE34" s="50"/>
      <c r="AF34" s="50"/>
      <c r="AG34" s="50"/>
      <c r="AH34" s="50"/>
      <c r="AI34" s="57" t="s">
        <v>422</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t="s">
        <v>296</v>
      </c>
      <c r="AQ36" s="50">
        <v>14</v>
      </c>
    </row>
    <row r="37" ht="14.65" customHeight="1">
      <c r="Q37" s="539"/>
      <c r="R37" s="539"/>
      <c r="S37" s="484" t="s">
        <v>88</v>
      </c>
      <c r="T37" s="347" t="s">
        <v>423</v>
      </c>
      <c r="U37" s="549"/>
      <c r="V37" s="550" t="s">
        <v>424</v>
      </c>
      <c r="W37" s="551"/>
      <c r="X37" s="551"/>
      <c r="Y37" s="551"/>
      <c r="Z37" s="551"/>
      <c r="AA37" s="552"/>
      <c r="AB37" s="553" t="s">
        <v>425</v>
      </c>
      <c r="AC37" s="550" t="s">
        <v>424</v>
      </c>
      <c r="AD37" s="551"/>
      <c r="AE37" s="551"/>
      <c r="AF37" s="551"/>
      <c r="AG37" s="551"/>
      <c r="AH37" s="552"/>
      <c r="AI37" s="553" t="s">
        <v>426</v>
      </c>
      <c r="AJ37" s="554" t="s">
        <v>427</v>
      </c>
      <c r="AK37" s="157"/>
      <c r="AQ37" s="50">
        <v>14</v>
      </c>
    </row>
    <row r="38" ht="35.649999999999999" customHeight="1">
      <c r="Q38" s="539"/>
      <c r="R38" s="539"/>
      <c r="S38" s="484"/>
      <c r="T38" s="347"/>
      <c r="U38" s="555"/>
      <c r="V38" s="307" t="s">
        <v>484</v>
      </c>
      <c r="W38" s="73" t="s">
        <v>430</v>
      </c>
      <c r="X38" s="72"/>
      <c r="Y38" s="73" t="s">
        <v>431</v>
      </c>
      <c r="Z38" s="145"/>
      <c r="AA38" s="72"/>
      <c r="AB38" s="557"/>
      <c r="AC38" s="307" t="s">
        <v>484</v>
      </c>
      <c r="AD38" s="73" t="s">
        <v>430</v>
      </c>
      <c r="AE38" s="72"/>
      <c r="AF38" s="73" t="s">
        <v>431</v>
      </c>
      <c r="AG38" s="145"/>
      <c r="AH38" s="72"/>
      <c r="AI38" s="557"/>
      <c r="AJ38" s="558"/>
      <c r="AK38" s="157"/>
      <c r="AQ38" s="50">
        <v>34</v>
      </c>
    </row>
    <row r="39" ht="35.649999999999999" customHeight="1">
      <c r="A39" s="151"/>
      <c r="B39" s="151" t="s">
        <v>132</v>
      </c>
      <c r="C39" s="151" t="s">
        <v>133</v>
      </c>
      <c r="D39" s="151" t="s">
        <v>134</v>
      </c>
      <c r="E39" s="481" t="s">
        <v>432</v>
      </c>
      <c r="F39" s="481" t="s">
        <v>433</v>
      </c>
      <c r="G39" s="481" t="s">
        <v>434</v>
      </c>
      <c r="H39" s="481"/>
      <c r="I39" s="481" t="s">
        <v>485</v>
      </c>
      <c r="J39" s="481" t="s">
        <v>437</v>
      </c>
      <c r="K39" s="481" t="s">
        <v>486</v>
      </c>
      <c r="L39" s="481" t="s">
        <v>413</v>
      </c>
      <c r="Q39" s="539"/>
      <c r="R39" s="539"/>
      <c r="S39" s="484"/>
      <c r="T39" s="347"/>
      <c r="U39" s="559"/>
      <c r="V39" s="307" t="s">
        <v>487</v>
      </c>
      <c r="W39" s="246" t="s">
        <v>488</v>
      </c>
      <c r="X39" s="246" t="s">
        <v>489</v>
      </c>
      <c r="Y39" s="246" t="s">
        <v>441</v>
      </c>
      <c r="Z39" s="415" t="s">
        <v>442</v>
      </c>
      <c r="AA39" s="417"/>
      <c r="AB39" s="561"/>
      <c r="AC39" s="307" t="s">
        <v>487</v>
      </c>
      <c r="AD39" s="246" t="s">
        <v>488</v>
      </c>
      <c r="AE39" s="246" t="s">
        <v>489</v>
      </c>
      <c r="AF39" s="246" t="s">
        <v>441</v>
      </c>
      <c r="AG39" s="415" t="s">
        <v>442</v>
      </c>
      <c r="AH39" s="417"/>
      <c r="AI39" s="561"/>
      <c r="AJ39" s="562"/>
      <c r="AK39" s="157"/>
      <c r="AQ39" s="50">
        <v>34</v>
      </c>
    </row>
    <row r="40" s="131" customFormat="1" ht="11.25" hidden="1" customHeight="1">
      <c r="A40" s="151"/>
      <c r="B40" s="151"/>
      <c r="C40" s="151"/>
      <c r="D40" s="151"/>
      <c r="E40" s="151"/>
      <c r="F40" s="151"/>
      <c r="G40" s="151"/>
      <c r="H40" s="151"/>
      <c r="I40" s="151"/>
      <c r="J40" s="151"/>
      <c r="K40" s="151"/>
      <c r="L40" s="481"/>
      <c r="M40" s="61"/>
      <c r="N40" s="61"/>
      <c r="O40" s="61"/>
      <c r="P40" s="563"/>
      <c r="Q40" s="564"/>
      <c r="R40" s="565">
        <v>1</v>
      </c>
      <c r="S40" s="566" t="s">
        <v>106</v>
      </c>
      <c r="T40" s="567" t="s">
        <v>107</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221</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120</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4"/>
        <v xml:space="preserve">Наименование тарифа</v>
      </c>
      <c r="AO41" s="129"/>
      <c r="AP41" s="129"/>
      <c r="AQ41" s="50">
        <v>23</v>
      </c>
    </row>
    <row r="42" ht="24" customHeight="1">
      <c r="A42" s="479" t="s">
        <v>221</v>
      </c>
      <c r="B42" s="479" t="s">
        <v>222</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392</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393</v>
      </c>
      <c r="AM42" s="129"/>
      <c r="AN42" s="129" t="str">
        <f t="shared" si="24"/>
        <v xml:space="preserve">Территория действия тарифа</v>
      </c>
      <c r="AO42" s="129"/>
      <c r="AP42" s="129"/>
      <c r="AQ42" s="50">
        <v>23</v>
      </c>
    </row>
    <row r="43" ht="24" customHeight="1">
      <c r="A43" s="479" t="s">
        <v>221</v>
      </c>
      <c r="B43" s="479" t="s">
        <v>222</v>
      </c>
      <c r="C43" s="479" t="s">
        <v>223</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476</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477</v>
      </c>
      <c r="AM43" s="129"/>
      <c r="AN43" s="129" t="str">
        <f t="shared" si="24"/>
        <v xml:space="preserve">Наименование централизованной системы холодного водоснабжения</v>
      </c>
      <c r="AO43" s="129"/>
      <c r="AP43" s="129"/>
      <c r="AQ43" s="50">
        <v>23</v>
      </c>
    </row>
    <row r="44" ht="24" customHeight="1">
      <c r="A44" s="479" t="s">
        <v>221</v>
      </c>
      <c r="B44" s="479" t="s">
        <v>222</v>
      </c>
      <c r="C44" s="479" t="s">
        <v>223</v>
      </c>
      <c r="D44" s="479" t="s">
        <v>490</v>
      </c>
      <c r="E44" s="491"/>
      <c r="F44" s="491"/>
      <c r="G44" s="491"/>
      <c r="H44" s="491"/>
      <c r="I44" s="498" t="str">
        <f>S43&amp;".1"</f>
        <v>...1</v>
      </c>
      <c r="J44" s="479"/>
      <c r="K44" s="479"/>
      <c r="L44" s="481"/>
      <c r="P44" s="132">
        <v>1</v>
      </c>
      <c r="Q44" s="132"/>
      <c r="R44" s="499"/>
      <c r="S44" s="484" t="str">
        <f>$I44</f>
        <v>...1</v>
      </c>
      <c r="T44" s="500" t="s">
        <v>478</v>
      </c>
      <c r="U44" s="486"/>
      <c r="V44" s="676"/>
      <c r="W44" s="677"/>
      <c r="X44" s="677"/>
      <c r="Y44" s="677"/>
      <c r="Z44" s="677"/>
      <c r="AA44" s="677"/>
      <c r="AB44" s="678"/>
      <c r="AC44" s="679"/>
      <c r="AD44" s="680"/>
      <c r="AE44" s="680"/>
      <c r="AF44" s="680"/>
      <c r="AG44" s="680"/>
      <c r="AH44" s="680"/>
      <c r="AI44" s="680"/>
      <c r="AJ44" s="681"/>
      <c r="AK44" s="490" t="s">
        <v>479</v>
      </c>
      <c r="AM44" s="129"/>
      <c r="AN44" s="129" t="str">
        <f t="shared" si="24"/>
        <v xml:space="preserve">Наименование признака дифференциации</v>
      </c>
      <c r="AO44" s="129"/>
      <c r="AP44" s="129"/>
      <c r="AQ44" s="50">
        <v>23</v>
      </c>
    </row>
    <row r="45" ht="24" customHeight="1">
      <c r="A45" s="479" t="s">
        <v>221</v>
      </c>
      <c r="B45" s="479" t="s">
        <v>222</v>
      </c>
      <c r="C45" s="479" t="s">
        <v>223</v>
      </c>
      <c r="D45" s="479" t="s">
        <v>490</v>
      </c>
      <c r="E45" s="491"/>
      <c r="F45" s="491"/>
      <c r="G45" s="491"/>
      <c r="H45" s="491"/>
      <c r="I45" s="503"/>
      <c r="J45" s="498" t="str">
        <f>I44&amp;".1"</f>
        <v>...1.1</v>
      </c>
      <c r="K45" s="479"/>
      <c r="L45" s="481" t="s">
        <v>401</v>
      </c>
      <c r="P45" s="132"/>
      <c r="Q45" s="132">
        <v>1</v>
      </c>
      <c r="R45" s="504"/>
      <c r="S45" s="484" t="str">
        <f>$J45</f>
        <v>...1.1</v>
      </c>
      <c r="T45" s="505" t="s">
        <v>402</v>
      </c>
      <c r="U45" s="486"/>
      <c r="V45" s="431"/>
      <c r="W45" s="501"/>
      <c r="X45" s="501"/>
      <c r="Y45" s="501"/>
      <c r="Z45" s="501"/>
      <c r="AA45" s="501"/>
      <c r="AB45" s="502"/>
      <c r="AC45" s="431"/>
      <c r="AD45" s="501"/>
      <c r="AE45" s="501"/>
      <c r="AF45" s="501"/>
      <c r="AG45" s="501"/>
      <c r="AH45" s="501"/>
      <c r="AI45" s="501"/>
      <c r="AJ45" s="502"/>
      <c r="AK45" s="617" t="s">
        <v>480</v>
      </c>
      <c r="AM45" s="129"/>
      <c r="AN45" s="129" t="str">
        <f t="shared" si="24"/>
        <v xml:space="preserve">Группа потребителей</v>
      </c>
      <c r="AO45" s="129"/>
      <c r="AP45" s="129"/>
      <c r="AQ45" s="50">
        <v>23</v>
      </c>
    </row>
    <row r="46" ht="24" customHeight="1">
      <c r="A46" s="479" t="s">
        <v>221</v>
      </c>
      <c r="B46" s="479" t="s">
        <v>222</v>
      </c>
      <c r="C46" s="479" t="s">
        <v>223</v>
      </c>
      <c r="D46" s="479" t="s">
        <v>490</v>
      </c>
      <c r="E46" s="491"/>
      <c r="F46" s="491"/>
      <c r="G46" s="491"/>
      <c r="H46" s="491"/>
      <c r="I46" s="503"/>
      <c r="J46" s="503"/>
      <c r="K46" s="498" t="str">
        <f>J45&amp;".1"</f>
        <v>...1.1.1</v>
      </c>
      <c r="L46" s="481"/>
      <c r="P46" s="132"/>
      <c r="Q46" s="132"/>
      <c r="R46" s="504">
        <v>1</v>
      </c>
      <c r="S46" s="484" t="str">
        <f>$K46</f>
        <v>...1.1.1</v>
      </c>
      <c r="T46" s="682"/>
      <c r="U46" s="486"/>
      <c r="V46" s="533"/>
      <c r="W46" s="533"/>
      <c r="X46" s="534"/>
      <c r="Y46" s="535"/>
      <c r="Z46" s="536" t="s">
        <v>65</v>
      </c>
      <c r="AA46" s="535"/>
      <c r="AB46" s="536" t="s">
        <v>65</v>
      </c>
      <c r="AC46" s="507"/>
      <c r="AD46" s="507"/>
      <c r="AE46" s="509"/>
      <c r="AF46" s="510"/>
      <c r="AG46" s="224" t="s">
        <v>65</v>
      </c>
      <c r="AH46" s="570"/>
      <c r="AI46" s="224" t="s">
        <v>19</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4"/>
        <v/>
      </c>
      <c r="AO46" s="129"/>
      <c r="AP46" s="129"/>
      <c r="AQ46" s="50">
        <v>23</v>
      </c>
    </row>
    <row r="47" ht="0" customHeight="1">
      <c r="A47" s="479" t="s">
        <v>221</v>
      </c>
      <c r="B47" s="479" t="s">
        <v>222</v>
      </c>
      <c r="C47" s="479" t="s">
        <v>223</v>
      </c>
      <c r="D47" s="479" t="s">
        <v>490</v>
      </c>
      <c r="E47" s="491"/>
      <c r="F47" s="491"/>
      <c r="G47" s="491"/>
      <c r="H47" s="491"/>
      <c r="I47" s="503"/>
      <c r="J47" s="503"/>
      <c r="K47" s="498"/>
      <c r="L47" s="481"/>
      <c r="P47" s="132"/>
      <c r="Q47" s="132"/>
      <c r="R47" s="504"/>
      <c r="S47" s="458"/>
      <c r="T47" s="486"/>
      <c r="U47" s="486"/>
      <c r="V47" s="533"/>
      <c r="W47" s="533"/>
      <c r="X47" s="512" t="str">
        <f>Y46&amp;"-"&amp;AA46</f>
        <v>-</v>
      </c>
      <c r="Y47" s="536"/>
      <c r="Z47" s="536"/>
      <c r="AA47" s="536"/>
      <c r="AB47" s="536"/>
      <c r="AC47" s="508"/>
      <c r="AD47" s="508"/>
      <c r="AE47" s="512" t="str">
        <f>AF46&amp;"-"&amp;AH46</f>
        <v>-</v>
      </c>
      <c r="AF47" s="513"/>
      <c r="AG47" s="224"/>
      <c r="AH47" s="572"/>
      <c r="AI47" s="224"/>
      <c r="AJ47" s="685"/>
      <c r="AK47" s="684"/>
      <c r="AM47" s="129"/>
      <c r="AN47" s="129" t="str">
        <f t="shared" si="24"/>
        <v/>
      </c>
      <c r="AO47" s="129"/>
      <c r="AP47" s="129"/>
      <c r="AQ47" s="50">
        <v>0</v>
      </c>
    </row>
    <row r="48" ht="21" customHeight="1">
      <c r="A48" s="479" t="s">
        <v>221</v>
      </c>
      <c r="B48" s="479" t="s">
        <v>222</v>
      </c>
      <c r="C48" s="479" t="s">
        <v>223</v>
      </c>
      <c r="D48" s="479" t="s">
        <v>490</v>
      </c>
      <c r="E48" s="491"/>
      <c r="F48" s="491"/>
      <c r="G48" s="491"/>
      <c r="H48" s="491"/>
      <c r="I48" s="503"/>
      <c r="J48" s="498"/>
      <c r="K48" s="479"/>
      <c r="L48" s="481"/>
      <c r="P48" s="132"/>
      <c r="Q48" s="132"/>
      <c r="R48" s="499"/>
      <c r="S48" s="515"/>
      <c r="T48" s="519" t="s">
        <v>481</v>
      </c>
      <c r="U48" s="214"/>
      <c r="V48" s="214"/>
      <c r="W48" s="214"/>
      <c r="X48" s="214"/>
      <c r="Y48" s="214"/>
      <c r="Z48" s="214"/>
      <c r="AA48" s="214"/>
      <c r="AB48" s="214"/>
      <c r="AC48" s="214"/>
      <c r="AD48" s="214"/>
      <c r="AE48" s="214"/>
      <c r="AF48" s="214"/>
      <c r="AG48" s="214"/>
      <c r="AH48" s="214"/>
      <c r="AI48" s="214"/>
      <c r="AJ48" s="214"/>
      <c r="AK48" s="490" t="s">
        <v>482</v>
      </c>
      <c r="AM48" s="129"/>
      <c r="AN48" s="129" t="str">
        <f t="shared" si="24"/>
        <v xml:space="preserve">Добавить значение признака дифференциации</v>
      </c>
      <c r="AO48" s="129"/>
      <c r="AP48" s="129"/>
      <c r="AQ48" s="50">
        <v>20</v>
      </c>
    </row>
    <row r="49" ht="22" customHeight="1">
      <c r="A49" s="479" t="s">
        <v>221</v>
      </c>
      <c r="B49" s="479" t="s">
        <v>222</v>
      </c>
      <c r="C49" s="479" t="s">
        <v>223</v>
      </c>
      <c r="D49" s="479" t="s">
        <v>490</v>
      </c>
      <c r="E49" s="491"/>
      <c r="F49" s="491"/>
      <c r="G49" s="491"/>
      <c r="H49" s="491"/>
      <c r="I49" s="498"/>
      <c r="J49" s="479"/>
      <c r="K49" s="479"/>
      <c r="L49" s="481"/>
      <c r="P49" s="132"/>
      <c r="Q49" s="132"/>
      <c r="R49" s="499"/>
      <c r="S49" s="515"/>
      <c r="T49" s="523" t="s">
        <v>407</v>
      </c>
      <c r="U49" s="214"/>
      <c r="V49" s="214"/>
      <c r="W49" s="214"/>
      <c r="X49" s="214"/>
      <c r="Y49" s="214"/>
      <c r="Z49" s="214"/>
      <c r="AA49" s="214"/>
      <c r="AB49" s="520"/>
      <c r="AC49" s="214"/>
      <c r="AD49" s="214"/>
      <c r="AE49" s="214"/>
      <c r="AF49" s="214"/>
      <c r="AG49" s="214"/>
      <c r="AH49" s="214"/>
      <c r="AI49" s="520"/>
      <c r="AJ49" s="214"/>
      <c r="AK49" s="686"/>
      <c r="AM49" s="129"/>
      <c r="AN49" s="129" t="str">
        <f t="shared" si="24"/>
        <v xml:space="preserve">Добавить группу потребителей</v>
      </c>
      <c r="AO49" s="129"/>
      <c r="AP49" s="129"/>
      <c r="AQ49" s="50">
        <v>21</v>
      </c>
    </row>
    <row r="50" ht="22" customHeight="1">
      <c r="A50" s="479" t="s">
        <v>221</v>
      </c>
      <c r="B50" s="479" t="s">
        <v>222</v>
      </c>
      <c r="C50" s="479" t="s">
        <v>223</v>
      </c>
      <c r="D50" s="479" t="s">
        <v>490</v>
      </c>
      <c r="E50" s="491"/>
      <c r="F50" s="491"/>
      <c r="G50" s="491"/>
      <c r="H50" s="480"/>
      <c r="I50" s="479"/>
      <c r="J50" s="479"/>
      <c r="K50" s="479"/>
      <c r="L50" s="481"/>
      <c r="M50" s="482"/>
      <c r="N50" s="482"/>
      <c r="O50" s="53"/>
      <c r="P50" s="143"/>
      <c r="Q50" s="522"/>
      <c r="R50" s="483"/>
      <c r="S50" s="515"/>
      <c r="T50" s="687" t="s">
        <v>483</v>
      </c>
      <c r="U50" s="214"/>
      <c r="V50" s="214"/>
      <c r="W50" s="214"/>
      <c r="X50" s="214"/>
      <c r="Y50" s="214"/>
      <c r="Z50" s="214"/>
      <c r="AA50" s="214"/>
      <c r="AB50" s="520"/>
      <c r="AC50" s="214"/>
      <c r="AD50" s="214"/>
      <c r="AE50" s="214"/>
      <c r="AF50" s="214"/>
      <c r="AG50" s="214"/>
      <c r="AH50" s="214"/>
      <c r="AI50" s="520"/>
      <c r="AJ50" s="214"/>
      <c r="AK50" s="521"/>
      <c r="AM50" s="129"/>
      <c r="AN50" s="129" t="str">
        <f t="shared" si="24"/>
        <v xml:space="preserve">Добавить наименование признака дифференциации</v>
      </c>
      <c r="AO50" s="129"/>
      <c r="AP50" s="129"/>
      <c r="AQ50" s="50">
        <v>21</v>
      </c>
    </row>
    <row r="51" s="57" customFormat="1" ht="0" customHeight="1">
      <c r="A51" s="133" t="s">
        <v>221</v>
      </c>
      <c r="B51" s="133" t="s">
        <v>222</v>
      </c>
      <c r="C51" s="133"/>
      <c r="D51" s="133"/>
      <c r="E51" s="491"/>
      <c r="F51" s="480"/>
      <c r="G51" s="133"/>
      <c r="H51" s="133"/>
      <c r="I51" s="133"/>
      <c r="J51" s="133"/>
      <c r="K51" s="133"/>
      <c r="L51" s="212"/>
      <c r="M51" s="528"/>
      <c r="N51" s="528"/>
      <c r="P51" s="167"/>
      <c r="Q51" s="524"/>
      <c r="R51" s="167"/>
      <c r="S51" s="529"/>
      <c r="T51" s="532" t="s">
        <v>410</v>
      </c>
      <c r="U51" s="531"/>
      <c r="V51" s="531"/>
      <c r="W51" s="531"/>
      <c r="X51" s="531"/>
      <c r="Y51" s="531"/>
      <c r="Z51" s="531"/>
      <c r="AA51" s="531"/>
      <c r="AB51" s="531"/>
      <c r="AC51" s="531"/>
      <c r="AD51" s="531"/>
      <c r="AE51" s="531"/>
      <c r="AF51" s="531"/>
      <c r="AG51" s="531"/>
      <c r="AH51" s="531"/>
      <c r="AI51" s="531"/>
      <c r="AJ51" s="531"/>
      <c r="AK51" s="531"/>
      <c r="AM51" s="129"/>
      <c r="AN51" s="129" t="str">
        <f t="shared" si="24"/>
        <v xml:space="preserve">Добавить централизованную систему для дифференциации</v>
      </c>
      <c r="AO51" s="129"/>
      <c r="AP51" s="129"/>
      <c r="AQ51" s="57">
        <v>0</v>
      </c>
    </row>
    <row r="52" s="57" customFormat="1" ht="0" customHeight="1">
      <c r="A52" s="133" t="s">
        <v>221</v>
      </c>
      <c r="B52" s="133"/>
      <c r="C52" s="133"/>
      <c r="D52" s="133"/>
      <c r="E52" s="480"/>
      <c r="F52" s="133"/>
      <c r="G52" s="133"/>
      <c r="H52" s="133"/>
      <c r="I52" s="133"/>
      <c r="J52" s="133"/>
      <c r="K52" s="133"/>
      <c r="L52" s="212"/>
      <c r="M52" s="528"/>
      <c r="N52" s="528"/>
      <c r="O52" s="57"/>
      <c r="P52" s="167"/>
      <c r="Q52" s="524"/>
      <c r="R52" s="167"/>
      <c r="S52" s="529"/>
      <c r="T52" s="532" t="s">
        <v>411</v>
      </c>
      <c r="U52" s="531"/>
      <c r="V52" s="531"/>
      <c r="W52" s="531"/>
      <c r="X52" s="531"/>
      <c r="Y52" s="531"/>
      <c r="Z52" s="531"/>
      <c r="AA52" s="531"/>
      <c r="AB52" s="531"/>
      <c r="AC52" s="531"/>
      <c r="AD52" s="531"/>
      <c r="AE52" s="531"/>
      <c r="AF52" s="531"/>
      <c r="AG52" s="531"/>
      <c r="AH52" s="531"/>
      <c r="AI52" s="531"/>
      <c r="AJ52" s="531"/>
      <c r="AK52" s="531"/>
      <c r="AM52" s="129"/>
      <c r="AN52" s="129" t="str">
        <f t="shared" si="24"/>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443</v>
      </c>
      <c r="U53" s="531"/>
      <c r="V53" s="531"/>
      <c r="W53" s="531"/>
      <c r="X53" s="531"/>
      <c r="Y53" s="531"/>
      <c r="Z53" s="531"/>
      <c r="AA53" s="531"/>
      <c r="AB53" s="531"/>
      <c r="AC53" s="531"/>
      <c r="AD53" s="531"/>
      <c r="AE53" s="531"/>
      <c r="AF53" s="531"/>
      <c r="AG53" s="531"/>
      <c r="AH53" s="531"/>
      <c r="AI53" s="531"/>
      <c r="AJ53" s="531"/>
      <c r="AK53" s="531"/>
      <c r="AM53" s="129"/>
      <c r="AN53" s="129" t="str">
        <f t="shared" si="24"/>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6002E-0089-4C0F-A011-007E001F00F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000D0-00BD-4D75-A975-008B004200E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5B007C-0075-4DC3-A504-002A0005002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840094-00A0-4B86-B5C3-005300C900A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5">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393</v>
      </c>
      <c r="AM3" s="129"/>
      <c r="AN3" s="129" t="str">
        <f t="shared" si="25"/>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476</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477</v>
      </c>
      <c r="AM4" s="129"/>
      <c r="AN4" s="129" t="str">
        <f t="shared" si="25"/>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8"/>
      <c r="AC5" s="679"/>
      <c r="AD5" s="680"/>
      <c r="AE5" s="680"/>
      <c r="AF5" s="680"/>
      <c r="AG5" s="680"/>
      <c r="AH5" s="680"/>
      <c r="AI5" s="680"/>
      <c r="AJ5" s="681"/>
      <c r="AK5" s="490" t="s">
        <v>479</v>
      </c>
      <c r="AM5" s="129"/>
      <c r="AN5" s="129" t="str">
        <f t="shared" si="25"/>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2"/>
      <c r="AC6" s="431"/>
      <c r="AD6" s="501"/>
      <c r="AE6" s="501"/>
      <c r="AF6" s="501"/>
      <c r="AG6" s="501"/>
      <c r="AH6" s="501"/>
      <c r="AI6" s="501"/>
      <c r="AJ6" s="502"/>
      <c r="AK6" s="617" t="s">
        <v>480</v>
      </c>
      <c r="AM6" s="129"/>
      <c r="AN6" s="129" t="str">
        <f t="shared" si="25"/>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5"/>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5"/>
        <v/>
      </c>
      <c r="AO8" s="129"/>
      <c r="AP8" s="129"/>
      <c r="AQ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490" t="s">
        <v>482</v>
      </c>
      <c r="AM9" s="129"/>
      <c r="AN9" s="129" t="str">
        <f t="shared" si="25"/>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520"/>
      <c r="AC10" s="214"/>
      <c r="AD10" s="214"/>
      <c r="AE10" s="214"/>
      <c r="AF10" s="214"/>
      <c r="AG10" s="214"/>
      <c r="AH10" s="214"/>
      <c r="AI10" s="520"/>
      <c r="AJ10" s="214"/>
      <c r="AK10" s="686"/>
      <c r="AM10" s="129"/>
      <c r="AN10" s="129" t="str">
        <f t="shared" ref="AN10:AN53" si="26">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520"/>
      <c r="AC11" s="214"/>
      <c r="AD11" s="214"/>
      <c r="AE11" s="214"/>
      <c r="AF11" s="214"/>
      <c r="AG11" s="214"/>
      <c r="AH11" s="214"/>
      <c r="AI11" s="520"/>
      <c r="AJ11" s="214"/>
      <c r="AK11" s="521"/>
      <c r="AM11" s="129"/>
      <c r="AN11" s="129" t="str">
        <f t="shared" si="26"/>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M12" s="129"/>
      <c r="AN12" s="129" t="str">
        <f t="shared" si="2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M13" s="129"/>
      <c r="AN13" s="129" t="str">
        <f t="shared" si="26"/>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412</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413</v>
      </c>
      <c r="P20" s="61"/>
      <c r="Q20" s="688"/>
      <c r="R20" s="688"/>
      <c r="S20" s="482"/>
      <c r="T20" s="53" t="s">
        <v>414</v>
      </c>
      <c r="Z20" s="151" t="s">
        <v>415</v>
      </c>
      <c r="AB20" s="151" t="s">
        <v>416</v>
      </c>
      <c r="AC20" s="53" t="s">
        <v>414</v>
      </c>
      <c r="AG20" s="151" t="s">
        <v>417</v>
      </c>
      <c r="AI20" s="151" t="s">
        <v>416</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422</v>
      </c>
      <c r="AC34" s="50"/>
      <c r="AD34" s="50"/>
      <c r="AE34" s="50"/>
      <c r="AF34" s="50"/>
      <c r="AG34" s="50"/>
      <c r="AH34" s="50"/>
      <c r="AI34" s="57" t="s">
        <v>422</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t="s">
        <v>296</v>
      </c>
      <c r="AQ36" s="50">
        <v>14</v>
      </c>
    </row>
    <row r="37" ht="14.65" customHeight="1">
      <c r="Q37" s="539"/>
      <c r="R37" s="539"/>
      <c r="S37" s="484" t="s">
        <v>88</v>
      </c>
      <c r="T37" s="347" t="s">
        <v>423</v>
      </c>
      <c r="U37" s="549"/>
      <c r="V37" s="550" t="s">
        <v>424</v>
      </c>
      <c r="W37" s="551"/>
      <c r="X37" s="551"/>
      <c r="Y37" s="551"/>
      <c r="Z37" s="551"/>
      <c r="AA37" s="552"/>
      <c r="AB37" s="553" t="s">
        <v>425</v>
      </c>
      <c r="AC37" s="550" t="s">
        <v>424</v>
      </c>
      <c r="AD37" s="551"/>
      <c r="AE37" s="551"/>
      <c r="AF37" s="551"/>
      <c r="AG37" s="551"/>
      <c r="AH37" s="552"/>
      <c r="AI37" s="553" t="s">
        <v>426</v>
      </c>
      <c r="AJ37" s="554" t="s">
        <v>427</v>
      </c>
      <c r="AK37" s="157"/>
      <c r="AQ37" s="50">
        <v>14</v>
      </c>
    </row>
    <row r="38" ht="35.649999999999999" customHeight="1">
      <c r="Q38" s="539"/>
      <c r="R38" s="539"/>
      <c r="S38" s="484"/>
      <c r="T38" s="347"/>
      <c r="U38" s="555"/>
      <c r="V38" s="307" t="s">
        <v>484</v>
      </c>
      <c r="W38" s="73" t="s">
        <v>430</v>
      </c>
      <c r="X38" s="72"/>
      <c r="Y38" s="73" t="s">
        <v>431</v>
      </c>
      <c r="Z38" s="145"/>
      <c r="AA38" s="72"/>
      <c r="AB38" s="557"/>
      <c r="AC38" s="307" t="s">
        <v>484</v>
      </c>
      <c r="AD38" s="73" t="s">
        <v>430</v>
      </c>
      <c r="AE38" s="72"/>
      <c r="AF38" s="73" t="s">
        <v>431</v>
      </c>
      <c r="AG38" s="145"/>
      <c r="AH38" s="72"/>
      <c r="AI38" s="557"/>
      <c r="AJ38" s="558"/>
      <c r="AK38" s="157"/>
      <c r="AQ38" s="50">
        <v>34</v>
      </c>
    </row>
    <row r="39" ht="35.649999999999999" customHeight="1">
      <c r="A39" s="151"/>
      <c r="B39" s="151" t="s">
        <v>132</v>
      </c>
      <c r="C39" s="151" t="s">
        <v>133</v>
      </c>
      <c r="D39" s="151" t="s">
        <v>134</v>
      </c>
      <c r="E39" s="481" t="s">
        <v>432</v>
      </c>
      <c r="F39" s="481" t="s">
        <v>433</v>
      </c>
      <c r="G39" s="481" t="s">
        <v>434</v>
      </c>
      <c r="H39" s="481"/>
      <c r="I39" s="481" t="s">
        <v>485</v>
      </c>
      <c r="J39" s="481" t="s">
        <v>437</v>
      </c>
      <c r="K39" s="481" t="s">
        <v>486</v>
      </c>
      <c r="L39" s="481" t="s">
        <v>413</v>
      </c>
      <c r="Q39" s="539"/>
      <c r="R39" s="539"/>
      <c r="S39" s="484"/>
      <c r="T39" s="347"/>
      <c r="U39" s="559"/>
      <c r="V39" s="307" t="s">
        <v>487</v>
      </c>
      <c r="W39" s="246" t="s">
        <v>488</v>
      </c>
      <c r="X39" s="246" t="s">
        <v>489</v>
      </c>
      <c r="Y39" s="246" t="s">
        <v>441</v>
      </c>
      <c r="Z39" s="415" t="s">
        <v>442</v>
      </c>
      <c r="AA39" s="417"/>
      <c r="AB39" s="561"/>
      <c r="AC39" s="307" t="s">
        <v>487</v>
      </c>
      <c r="AD39" s="246" t="s">
        <v>488</v>
      </c>
      <c r="AE39" s="246" t="s">
        <v>489</v>
      </c>
      <c r="AF39" s="246" t="s">
        <v>441</v>
      </c>
      <c r="AG39" s="415" t="s">
        <v>442</v>
      </c>
      <c r="AH39" s="417"/>
      <c r="AI39" s="561"/>
      <c r="AJ39" s="562"/>
      <c r="AK39" s="157"/>
      <c r="AQ39" s="50">
        <v>34</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106</v>
      </c>
      <c r="T40" s="567" t="s">
        <v>107</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226</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120</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6"/>
        <v xml:space="preserve">Наименование тарифа</v>
      </c>
      <c r="AO41" s="129"/>
      <c r="AP41" s="129"/>
      <c r="AQ41" s="50">
        <v>23</v>
      </c>
    </row>
    <row r="42" ht="24" customHeight="1">
      <c r="A42" s="479" t="s">
        <v>226</v>
      </c>
      <c r="B42" s="479" t="s">
        <v>227</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392</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393</v>
      </c>
      <c r="AM42" s="129"/>
      <c r="AN42" s="129" t="str">
        <f t="shared" si="26"/>
        <v xml:space="preserve">Территория действия тарифа</v>
      </c>
      <c r="AO42" s="129"/>
      <c r="AP42" s="129"/>
      <c r="AQ42" s="50">
        <v>23</v>
      </c>
    </row>
    <row r="43" ht="24" customHeight="1">
      <c r="A43" s="479" t="s">
        <v>226</v>
      </c>
      <c r="B43" s="479" t="s">
        <v>227</v>
      </c>
      <c r="C43" s="479" t="s">
        <v>228</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476</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477</v>
      </c>
      <c r="AM43" s="129"/>
      <c r="AN43" s="129" t="str">
        <f t="shared" si="26"/>
        <v xml:space="preserve">Наименование централизованной системы холодного водоснабжения</v>
      </c>
      <c r="AO43" s="129"/>
      <c r="AP43" s="129"/>
      <c r="AQ43" s="50">
        <v>23</v>
      </c>
    </row>
    <row r="44" ht="24" customHeight="1">
      <c r="A44" s="479" t="s">
        <v>226</v>
      </c>
      <c r="B44" s="479" t="s">
        <v>227</v>
      </c>
      <c r="C44" s="479" t="s">
        <v>228</v>
      </c>
      <c r="D44" s="479" t="s">
        <v>491</v>
      </c>
      <c r="E44" s="491"/>
      <c r="F44" s="491"/>
      <c r="G44" s="491"/>
      <c r="H44" s="491"/>
      <c r="I44" s="498" t="str">
        <f>S43&amp;".1"</f>
        <v>...1</v>
      </c>
      <c r="J44" s="479"/>
      <c r="K44" s="479"/>
      <c r="L44" s="481"/>
      <c r="P44" s="132">
        <v>1</v>
      </c>
      <c r="Q44" s="132"/>
      <c r="R44" s="499"/>
      <c r="S44" s="484" t="str">
        <f>$I44</f>
        <v>...1</v>
      </c>
      <c r="T44" s="500" t="s">
        <v>478</v>
      </c>
      <c r="U44" s="486"/>
      <c r="V44" s="676"/>
      <c r="W44" s="677"/>
      <c r="X44" s="677"/>
      <c r="Y44" s="677"/>
      <c r="Z44" s="677"/>
      <c r="AA44" s="677"/>
      <c r="AB44" s="678"/>
      <c r="AC44" s="679"/>
      <c r="AD44" s="680"/>
      <c r="AE44" s="680"/>
      <c r="AF44" s="680"/>
      <c r="AG44" s="680"/>
      <c r="AH44" s="680"/>
      <c r="AI44" s="680"/>
      <c r="AJ44" s="681"/>
      <c r="AK44" s="490" t="s">
        <v>479</v>
      </c>
      <c r="AM44" s="129"/>
      <c r="AN44" s="129" t="str">
        <f t="shared" si="26"/>
        <v xml:space="preserve">Наименование признака дифференциации</v>
      </c>
      <c r="AO44" s="129"/>
      <c r="AP44" s="129"/>
      <c r="AQ44" s="50">
        <v>23</v>
      </c>
    </row>
    <row r="45" ht="24" customHeight="1">
      <c r="A45" s="479" t="s">
        <v>226</v>
      </c>
      <c r="B45" s="479" t="s">
        <v>227</v>
      </c>
      <c r="C45" s="479" t="s">
        <v>228</v>
      </c>
      <c r="D45" s="479" t="s">
        <v>491</v>
      </c>
      <c r="E45" s="491"/>
      <c r="F45" s="491"/>
      <c r="G45" s="491"/>
      <c r="H45" s="491"/>
      <c r="I45" s="503"/>
      <c r="J45" s="498" t="str">
        <f>I44&amp;".1"</f>
        <v>...1.1</v>
      </c>
      <c r="K45" s="479"/>
      <c r="L45" s="481" t="s">
        <v>401</v>
      </c>
      <c r="P45" s="132"/>
      <c r="Q45" s="132">
        <v>1</v>
      </c>
      <c r="R45" s="504"/>
      <c r="S45" s="484" t="str">
        <f>$J45</f>
        <v>...1.1</v>
      </c>
      <c r="T45" s="505" t="s">
        <v>402</v>
      </c>
      <c r="U45" s="486"/>
      <c r="V45" s="431"/>
      <c r="W45" s="501"/>
      <c r="X45" s="501"/>
      <c r="Y45" s="501"/>
      <c r="Z45" s="501"/>
      <c r="AA45" s="501"/>
      <c r="AB45" s="502"/>
      <c r="AC45" s="431"/>
      <c r="AD45" s="501"/>
      <c r="AE45" s="501"/>
      <c r="AF45" s="501"/>
      <c r="AG45" s="501"/>
      <c r="AH45" s="501"/>
      <c r="AI45" s="501"/>
      <c r="AJ45" s="502"/>
      <c r="AK45" s="617" t="s">
        <v>480</v>
      </c>
      <c r="AM45" s="129"/>
      <c r="AN45" s="129" t="str">
        <f t="shared" si="26"/>
        <v xml:space="preserve">Группа потребителей</v>
      </c>
      <c r="AO45" s="129"/>
      <c r="AP45" s="129"/>
      <c r="AQ45" s="50">
        <v>23</v>
      </c>
    </row>
    <row r="46" ht="24" customHeight="1">
      <c r="A46" s="479" t="s">
        <v>226</v>
      </c>
      <c r="B46" s="479" t="s">
        <v>227</v>
      </c>
      <c r="C46" s="479" t="s">
        <v>228</v>
      </c>
      <c r="D46" s="479" t="s">
        <v>491</v>
      </c>
      <c r="E46" s="491"/>
      <c r="F46" s="491"/>
      <c r="G46" s="491"/>
      <c r="H46" s="491"/>
      <c r="I46" s="503"/>
      <c r="J46" s="503"/>
      <c r="K46" s="498" t="str">
        <f>J45&amp;".1"</f>
        <v>...1.1.1</v>
      </c>
      <c r="L46" s="481"/>
      <c r="P46" s="132"/>
      <c r="Q46" s="132"/>
      <c r="R46" s="504">
        <v>1</v>
      </c>
      <c r="S46" s="484" t="str">
        <f>$K46</f>
        <v>...1.1.1</v>
      </c>
      <c r="T46" s="682"/>
      <c r="U46" s="486"/>
      <c r="V46" s="507"/>
      <c r="W46" s="507"/>
      <c r="X46" s="509"/>
      <c r="Y46" s="510"/>
      <c r="Z46" s="224" t="s">
        <v>65</v>
      </c>
      <c r="AA46" s="510"/>
      <c r="AB46" s="224" t="s">
        <v>65</v>
      </c>
      <c r="AC46" s="507"/>
      <c r="AD46" s="507"/>
      <c r="AE46" s="509"/>
      <c r="AF46" s="510"/>
      <c r="AG46" s="224" t="s">
        <v>65</v>
      </c>
      <c r="AH46" s="570"/>
      <c r="AI46" s="224" t="s">
        <v>65</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6"/>
        <v/>
      </c>
      <c r="AO46" s="129"/>
      <c r="AP46" s="129"/>
      <c r="AQ46" s="50">
        <v>23</v>
      </c>
    </row>
    <row r="47" ht="0" customHeight="1">
      <c r="A47" s="479" t="s">
        <v>226</v>
      </c>
      <c r="B47" s="479" t="s">
        <v>227</v>
      </c>
      <c r="C47" s="479" t="s">
        <v>228</v>
      </c>
      <c r="D47" s="479" t="s">
        <v>491</v>
      </c>
      <c r="E47" s="491"/>
      <c r="F47" s="491"/>
      <c r="G47" s="491"/>
      <c r="H47" s="491"/>
      <c r="I47" s="503"/>
      <c r="J47" s="503"/>
      <c r="K47" s="498"/>
      <c r="L47" s="481"/>
      <c r="P47" s="132"/>
      <c r="Q47" s="132"/>
      <c r="R47" s="504"/>
      <c r="S47" s="458"/>
      <c r="T47" s="486"/>
      <c r="U47" s="486"/>
      <c r="V47" s="508"/>
      <c r="W47" s="508"/>
      <c r="X47" s="512" t="str">
        <f>Y46&amp;"-"&amp;AA46</f>
        <v>-</v>
      </c>
      <c r="Y47" s="513"/>
      <c r="Z47" s="224"/>
      <c r="AA47" s="513"/>
      <c r="AB47" s="224"/>
      <c r="AC47" s="508"/>
      <c r="AD47" s="508"/>
      <c r="AE47" s="512" t="str">
        <f>AF46&amp;"-"&amp;AH46</f>
        <v>-</v>
      </c>
      <c r="AF47" s="513"/>
      <c r="AG47" s="224"/>
      <c r="AH47" s="572"/>
      <c r="AI47" s="224"/>
      <c r="AJ47" s="685"/>
      <c r="AK47" s="684"/>
      <c r="AM47" s="129"/>
      <c r="AN47" s="129" t="str">
        <f t="shared" si="26"/>
        <v/>
      </c>
      <c r="AO47" s="129"/>
      <c r="AP47" s="129"/>
      <c r="AQ47" s="50">
        <v>0</v>
      </c>
    </row>
    <row r="48" ht="21" customHeight="1">
      <c r="A48" s="479" t="s">
        <v>226</v>
      </c>
      <c r="B48" s="479" t="s">
        <v>227</v>
      </c>
      <c r="C48" s="479" t="s">
        <v>228</v>
      </c>
      <c r="D48" s="479" t="s">
        <v>491</v>
      </c>
      <c r="E48" s="491"/>
      <c r="F48" s="491"/>
      <c r="G48" s="491"/>
      <c r="H48" s="491"/>
      <c r="I48" s="503"/>
      <c r="J48" s="498"/>
      <c r="K48" s="479"/>
      <c r="L48" s="481"/>
      <c r="P48" s="132"/>
      <c r="Q48" s="132"/>
      <c r="R48" s="499"/>
      <c r="S48" s="515"/>
      <c r="T48" s="519" t="s">
        <v>481</v>
      </c>
      <c r="U48" s="214"/>
      <c r="V48" s="214"/>
      <c r="W48" s="214"/>
      <c r="X48" s="214"/>
      <c r="Y48" s="214"/>
      <c r="Z48" s="214"/>
      <c r="AA48" s="214"/>
      <c r="AB48" s="214"/>
      <c r="AC48" s="214"/>
      <c r="AD48" s="214"/>
      <c r="AE48" s="214"/>
      <c r="AF48" s="214"/>
      <c r="AG48" s="214"/>
      <c r="AH48" s="214"/>
      <c r="AI48" s="214"/>
      <c r="AJ48" s="214"/>
      <c r="AK48" s="490" t="s">
        <v>482</v>
      </c>
      <c r="AM48" s="129"/>
      <c r="AN48" s="129" t="str">
        <f t="shared" si="26"/>
        <v xml:space="preserve">Добавить значение признака дифференциации</v>
      </c>
      <c r="AO48" s="129"/>
      <c r="AP48" s="129"/>
      <c r="AQ48" s="50">
        <v>20</v>
      </c>
    </row>
    <row r="49" ht="22" customHeight="1">
      <c r="A49" s="479" t="s">
        <v>226</v>
      </c>
      <c r="B49" s="479" t="s">
        <v>227</v>
      </c>
      <c r="C49" s="479" t="s">
        <v>228</v>
      </c>
      <c r="D49" s="479" t="s">
        <v>491</v>
      </c>
      <c r="E49" s="491"/>
      <c r="F49" s="491"/>
      <c r="G49" s="491"/>
      <c r="H49" s="491"/>
      <c r="I49" s="498"/>
      <c r="J49" s="479"/>
      <c r="K49" s="479"/>
      <c r="L49" s="481"/>
      <c r="P49" s="132"/>
      <c r="Q49" s="132"/>
      <c r="R49" s="499"/>
      <c r="S49" s="515"/>
      <c r="T49" s="523" t="s">
        <v>407</v>
      </c>
      <c r="U49" s="214"/>
      <c r="V49" s="214"/>
      <c r="W49" s="214"/>
      <c r="X49" s="214"/>
      <c r="Y49" s="214"/>
      <c r="Z49" s="214"/>
      <c r="AA49" s="214"/>
      <c r="AB49" s="520"/>
      <c r="AC49" s="214"/>
      <c r="AD49" s="214"/>
      <c r="AE49" s="214"/>
      <c r="AF49" s="214"/>
      <c r="AG49" s="214"/>
      <c r="AH49" s="214"/>
      <c r="AI49" s="520"/>
      <c r="AJ49" s="214"/>
      <c r="AK49" s="686"/>
      <c r="AM49" s="129"/>
      <c r="AN49" s="129" t="str">
        <f t="shared" si="26"/>
        <v xml:space="preserve">Добавить группу потребителей</v>
      </c>
      <c r="AO49" s="129"/>
      <c r="AP49" s="129"/>
      <c r="AQ49" s="50">
        <v>21</v>
      </c>
    </row>
    <row r="50" ht="22" customHeight="1">
      <c r="A50" s="479" t="s">
        <v>226</v>
      </c>
      <c r="B50" s="479" t="s">
        <v>227</v>
      </c>
      <c r="C50" s="479" t="s">
        <v>228</v>
      </c>
      <c r="D50" s="479" t="s">
        <v>491</v>
      </c>
      <c r="E50" s="491"/>
      <c r="F50" s="491"/>
      <c r="G50" s="491"/>
      <c r="H50" s="480"/>
      <c r="I50" s="479"/>
      <c r="J50" s="479"/>
      <c r="K50" s="479"/>
      <c r="L50" s="481"/>
      <c r="M50" s="482"/>
      <c r="N50" s="482"/>
      <c r="O50" s="53"/>
      <c r="P50" s="143"/>
      <c r="Q50" s="522"/>
      <c r="R50" s="483"/>
      <c r="S50" s="515"/>
      <c r="T50" s="687" t="s">
        <v>483</v>
      </c>
      <c r="U50" s="214"/>
      <c r="V50" s="214"/>
      <c r="W50" s="214"/>
      <c r="X50" s="214"/>
      <c r="Y50" s="214"/>
      <c r="Z50" s="214"/>
      <c r="AA50" s="214"/>
      <c r="AB50" s="520"/>
      <c r="AC50" s="214"/>
      <c r="AD50" s="214"/>
      <c r="AE50" s="214"/>
      <c r="AF50" s="214"/>
      <c r="AG50" s="214"/>
      <c r="AH50" s="214"/>
      <c r="AI50" s="520"/>
      <c r="AJ50" s="214"/>
      <c r="AK50" s="521"/>
      <c r="AM50" s="129"/>
      <c r="AN50" s="129" t="str">
        <f t="shared" si="26"/>
        <v xml:space="preserve">Добавить наименование признака дифференциации</v>
      </c>
      <c r="AO50" s="129"/>
      <c r="AP50" s="129"/>
      <c r="AQ50" s="50">
        <v>21</v>
      </c>
    </row>
    <row r="51" s="57" customFormat="1" ht="0" customHeight="1">
      <c r="A51" s="133" t="s">
        <v>226</v>
      </c>
      <c r="B51" s="133" t="s">
        <v>227</v>
      </c>
      <c r="C51" s="133"/>
      <c r="D51" s="133"/>
      <c r="E51" s="491"/>
      <c r="F51" s="480"/>
      <c r="G51" s="133"/>
      <c r="H51" s="133"/>
      <c r="I51" s="133"/>
      <c r="J51" s="133"/>
      <c r="K51" s="133"/>
      <c r="L51" s="212"/>
      <c r="M51" s="528"/>
      <c r="N51" s="528"/>
      <c r="P51" s="167"/>
      <c r="Q51" s="524"/>
      <c r="R51" s="167"/>
      <c r="S51" s="529"/>
      <c r="T51" s="532" t="s">
        <v>410</v>
      </c>
      <c r="U51" s="531"/>
      <c r="V51" s="531"/>
      <c r="W51" s="531"/>
      <c r="X51" s="531"/>
      <c r="Y51" s="531"/>
      <c r="Z51" s="531"/>
      <c r="AA51" s="531"/>
      <c r="AB51" s="531"/>
      <c r="AC51" s="531"/>
      <c r="AD51" s="531"/>
      <c r="AE51" s="531"/>
      <c r="AF51" s="531"/>
      <c r="AG51" s="531"/>
      <c r="AH51" s="531"/>
      <c r="AI51" s="531"/>
      <c r="AJ51" s="531"/>
      <c r="AK51" s="531"/>
      <c r="AM51" s="129"/>
      <c r="AN51" s="129" t="str">
        <f t="shared" si="26"/>
        <v xml:space="preserve">Добавить централизованную систему для дифференциации</v>
      </c>
      <c r="AO51" s="129"/>
      <c r="AP51" s="129"/>
      <c r="AQ51" s="57">
        <v>0</v>
      </c>
    </row>
    <row r="52" s="57" customFormat="1" ht="0" customHeight="1">
      <c r="A52" s="133" t="s">
        <v>226</v>
      </c>
      <c r="B52" s="133"/>
      <c r="C52" s="133"/>
      <c r="D52" s="133"/>
      <c r="E52" s="480"/>
      <c r="F52" s="133"/>
      <c r="G52" s="133"/>
      <c r="H52" s="133"/>
      <c r="I52" s="133"/>
      <c r="J52" s="133"/>
      <c r="K52" s="133"/>
      <c r="L52" s="212"/>
      <c r="M52" s="528"/>
      <c r="N52" s="528"/>
      <c r="O52" s="57"/>
      <c r="P52" s="167"/>
      <c r="Q52" s="524"/>
      <c r="R52" s="167"/>
      <c r="S52" s="529"/>
      <c r="T52" s="532" t="s">
        <v>411</v>
      </c>
      <c r="U52" s="531"/>
      <c r="V52" s="531"/>
      <c r="W52" s="531"/>
      <c r="X52" s="531"/>
      <c r="Y52" s="531"/>
      <c r="Z52" s="531"/>
      <c r="AA52" s="531"/>
      <c r="AB52" s="531"/>
      <c r="AC52" s="531"/>
      <c r="AD52" s="531"/>
      <c r="AE52" s="531"/>
      <c r="AF52" s="531"/>
      <c r="AG52" s="531"/>
      <c r="AH52" s="531"/>
      <c r="AI52" s="531"/>
      <c r="AJ52" s="531"/>
      <c r="AK52" s="531"/>
      <c r="AM52" s="129"/>
      <c r="AN52" s="129" t="str">
        <f t="shared" si="2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443</v>
      </c>
      <c r="U53" s="531"/>
      <c r="V53" s="531"/>
      <c r="W53" s="531"/>
      <c r="X53" s="531"/>
      <c r="Y53" s="531"/>
      <c r="Z53" s="531"/>
      <c r="AA53" s="531"/>
      <c r="AB53" s="531"/>
      <c r="AC53" s="531"/>
      <c r="AD53" s="531"/>
      <c r="AE53" s="531"/>
      <c r="AF53" s="531"/>
      <c r="AG53" s="531"/>
      <c r="AH53" s="531"/>
      <c r="AI53" s="531"/>
      <c r="AJ53" s="531"/>
      <c r="AK53" s="531"/>
      <c r="AM53" s="129"/>
      <c r="AN53" s="129" t="str">
        <f t="shared" si="2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500D4-0071-499B-BC7D-0043001200B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4700A9-0068-4F1C-BCB0-0098005F00B3}"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E8008C-00A3-4F48-B8A8-002700D3006E}"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E0076-0057-457F-B4BC-00C300DF006C}"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7">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393</v>
      </c>
      <c r="AM3" s="129"/>
      <c r="AN3" s="129" t="str">
        <f t="shared" si="27"/>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476</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477</v>
      </c>
      <c r="AM4" s="129"/>
      <c r="AN4" s="129" t="str">
        <f t="shared" si="27"/>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8"/>
      <c r="AC5" s="679"/>
      <c r="AD5" s="680"/>
      <c r="AE5" s="680"/>
      <c r="AF5" s="680"/>
      <c r="AG5" s="680"/>
      <c r="AH5" s="680"/>
      <c r="AI5" s="680"/>
      <c r="AJ5" s="681"/>
      <c r="AK5" s="490" t="s">
        <v>479</v>
      </c>
      <c r="AM5" s="129"/>
      <c r="AN5" s="129" t="str">
        <f t="shared" si="27"/>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2"/>
      <c r="AC6" s="431"/>
      <c r="AD6" s="501"/>
      <c r="AE6" s="501"/>
      <c r="AF6" s="501"/>
      <c r="AG6" s="501"/>
      <c r="AH6" s="501"/>
      <c r="AI6" s="501"/>
      <c r="AJ6" s="502"/>
      <c r="AK6" s="617" t="s">
        <v>480</v>
      </c>
      <c r="AM6" s="129"/>
      <c r="AN6" s="129" t="str">
        <f t="shared" si="27"/>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7"/>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7"/>
        <v/>
      </c>
      <c r="AO8" s="129"/>
      <c r="AP8" s="129"/>
      <c r="AQ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490" t="s">
        <v>482</v>
      </c>
      <c r="AM9" s="129"/>
      <c r="AN9" s="129" t="str">
        <f t="shared" si="27"/>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520"/>
      <c r="AC10" s="214"/>
      <c r="AD10" s="214"/>
      <c r="AE10" s="214"/>
      <c r="AF10" s="214"/>
      <c r="AG10" s="214"/>
      <c r="AH10" s="214"/>
      <c r="AI10" s="520"/>
      <c r="AJ10" s="214"/>
      <c r="AK10" s="686"/>
      <c r="AM10" s="129"/>
      <c r="AN10" s="129" t="str">
        <f t="shared" ref="AN10:AN53" si="28">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520"/>
      <c r="AC11" s="214"/>
      <c r="AD11" s="214"/>
      <c r="AE11" s="214"/>
      <c r="AF11" s="214"/>
      <c r="AG11" s="214"/>
      <c r="AH11" s="214"/>
      <c r="AI11" s="520"/>
      <c r="AJ11" s="214"/>
      <c r="AK11" s="521"/>
      <c r="AM11" s="129"/>
      <c r="AN11" s="129" t="str">
        <f t="shared" si="28"/>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M12" s="129"/>
      <c r="AN12" s="129" t="str">
        <f t="shared" si="2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M13" s="129"/>
      <c r="AN13" s="129" t="str">
        <f t="shared" si="28"/>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412</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413</v>
      </c>
      <c r="P20" s="61"/>
      <c r="Q20" s="688"/>
      <c r="R20" s="688"/>
      <c r="S20" s="482"/>
      <c r="T20" s="53" t="s">
        <v>414</v>
      </c>
      <c r="Z20" s="151" t="s">
        <v>415</v>
      </c>
      <c r="AB20" s="151" t="s">
        <v>416</v>
      </c>
      <c r="AC20" s="53" t="s">
        <v>414</v>
      </c>
      <c r="AG20" s="151" t="s">
        <v>417</v>
      </c>
      <c r="AI20" s="151" t="s">
        <v>416</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422</v>
      </c>
      <c r="AC34" s="50"/>
      <c r="AD34" s="50"/>
      <c r="AE34" s="50"/>
      <c r="AF34" s="50"/>
      <c r="AG34" s="50"/>
      <c r="AH34" s="50"/>
      <c r="AI34" s="57" t="s">
        <v>422</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t="s">
        <v>296</v>
      </c>
      <c r="AQ36" s="50">
        <v>14</v>
      </c>
    </row>
    <row r="37" ht="14.65" customHeight="1">
      <c r="Q37" s="539"/>
      <c r="R37" s="539"/>
      <c r="S37" s="484" t="s">
        <v>88</v>
      </c>
      <c r="T37" s="347" t="s">
        <v>423</v>
      </c>
      <c r="U37" s="549"/>
      <c r="V37" s="550" t="s">
        <v>424</v>
      </c>
      <c r="W37" s="551"/>
      <c r="X37" s="551"/>
      <c r="Y37" s="551"/>
      <c r="Z37" s="551"/>
      <c r="AA37" s="552"/>
      <c r="AB37" s="553" t="s">
        <v>425</v>
      </c>
      <c r="AC37" s="550" t="s">
        <v>424</v>
      </c>
      <c r="AD37" s="551"/>
      <c r="AE37" s="551"/>
      <c r="AF37" s="551"/>
      <c r="AG37" s="551"/>
      <c r="AH37" s="552"/>
      <c r="AI37" s="553" t="s">
        <v>426</v>
      </c>
      <c r="AJ37" s="554" t="s">
        <v>427</v>
      </c>
      <c r="AK37" s="157"/>
      <c r="AQ37" s="50">
        <v>14</v>
      </c>
    </row>
    <row r="38" ht="35.649999999999999" customHeight="1">
      <c r="Q38" s="539"/>
      <c r="R38" s="539"/>
      <c r="S38" s="484"/>
      <c r="T38" s="347"/>
      <c r="U38" s="555"/>
      <c r="V38" s="307" t="s">
        <v>484</v>
      </c>
      <c r="W38" s="73" t="s">
        <v>430</v>
      </c>
      <c r="X38" s="72"/>
      <c r="Y38" s="73" t="s">
        <v>431</v>
      </c>
      <c r="Z38" s="145"/>
      <c r="AA38" s="72"/>
      <c r="AB38" s="557"/>
      <c r="AC38" s="307" t="s">
        <v>484</v>
      </c>
      <c r="AD38" s="73" t="s">
        <v>430</v>
      </c>
      <c r="AE38" s="72"/>
      <c r="AF38" s="73" t="s">
        <v>431</v>
      </c>
      <c r="AG38" s="145"/>
      <c r="AH38" s="72"/>
      <c r="AI38" s="557"/>
      <c r="AJ38" s="558"/>
      <c r="AK38" s="157"/>
      <c r="AQ38" s="50">
        <v>34</v>
      </c>
    </row>
    <row r="39" ht="35.649999999999999" customHeight="1">
      <c r="A39" s="151"/>
      <c r="B39" s="151" t="s">
        <v>132</v>
      </c>
      <c r="C39" s="151" t="s">
        <v>133</v>
      </c>
      <c r="D39" s="151" t="s">
        <v>134</v>
      </c>
      <c r="E39" s="481" t="s">
        <v>432</v>
      </c>
      <c r="F39" s="481" t="s">
        <v>433</v>
      </c>
      <c r="G39" s="481" t="s">
        <v>434</v>
      </c>
      <c r="H39" s="481"/>
      <c r="I39" s="481" t="s">
        <v>485</v>
      </c>
      <c r="J39" s="481" t="s">
        <v>437</v>
      </c>
      <c r="K39" s="481" t="s">
        <v>486</v>
      </c>
      <c r="L39" s="481" t="s">
        <v>413</v>
      </c>
      <c r="Q39" s="539"/>
      <c r="R39" s="539"/>
      <c r="S39" s="484"/>
      <c r="T39" s="347"/>
      <c r="U39" s="559"/>
      <c r="V39" s="307" t="s">
        <v>487</v>
      </c>
      <c r="W39" s="246" t="s">
        <v>488</v>
      </c>
      <c r="X39" s="246" t="s">
        <v>489</v>
      </c>
      <c r="Y39" s="246" t="s">
        <v>441</v>
      </c>
      <c r="Z39" s="415" t="s">
        <v>442</v>
      </c>
      <c r="AA39" s="417"/>
      <c r="AB39" s="561"/>
      <c r="AC39" s="307" t="s">
        <v>487</v>
      </c>
      <c r="AD39" s="246" t="s">
        <v>488</v>
      </c>
      <c r="AE39" s="246" t="s">
        <v>489</v>
      </c>
      <c r="AF39" s="246" t="s">
        <v>441</v>
      </c>
      <c r="AG39" s="415" t="s">
        <v>442</v>
      </c>
      <c r="AH39" s="417"/>
      <c r="AI39" s="561"/>
      <c r="AJ39" s="562"/>
      <c r="AK39" s="157"/>
      <c r="AQ39" s="50">
        <v>34</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106</v>
      </c>
      <c r="T40" s="567" t="s">
        <v>107</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231</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120</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8"/>
        <v xml:space="preserve">Наименование тарифа</v>
      </c>
      <c r="AO41" s="129"/>
      <c r="AP41" s="129"/>
      <c r="AQ41" s="50">
        <v>23</v>
      </c>
    </row>
    <row r="42" ht="24" customHeight="1">
      <c r="A42" s="479" t="s">
        <v>231</v>
      </c>
      <c r="B42" s="479" t="s">
        <v>232</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392</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393</v>
      </c>
      <c r="AM42" s="129"/>
      <c r="AN42" s="129" t="str">
        <f t="shared" si="28"/>
        <v xml:space="preserve">Территория действия тарифа</v>
      </c>
      <c r="AO42" s="129"/>
      <c r="AP42" s="129"/>
      <c r="AQ42" s="50">
        <v>23</v>
      </c>
    </row>
    <row r="43" ht="24" customHeight="1">
      <c r="A43" s="479" t="s">
        <v>231</v>
      </c>
      <c r="B43" s="479" t="s">
        <v>232</v>
      </c>
      <c r="C43" s="479" t="s">
        <v>233</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476</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477</v>
      </c>
      <c r="AM43" s="129"/>
      <c r="AN43" s="129" t="str">
        <f t="shared" si="28"/>
        <v xml:space="preserve">Наименование централизованной системы холодного водоснабжения</v>
      </c>
      <c r="AO43" s="129"/>
      <c r="AP43" s="129"/>
      <c r="AQ43" s="50">
        <v>23</v>
      </c>
    </row>
    <row r="44" ht="24" customHeight="1">
      <c r="A44" s="479" t="s">
        <v>231</v>
      </c>
      <c r="B44" s="479" t="s">
        <v>232</v>
      </c>
      <c r="C44" s="479" t="s">
        <v>233</v>
      </c>
      <c r="D44" s="479" t="s">
        <v>492</v>
      </c>
      <c r="E44" s="491"/>
      <c r="F44" s="491"/>
      <c r="G44" s="491"/>
      <c r="H44" s="491"/>
      <c r="I44" s="498" t="str">
        <f>S43&amp;".1"</f>
        <v>...1</v>
      </c>
      <c r="J44" s="479"/>
      <c r="K44" s="479"/>
      <c r="L44" s="481"/>
      <c r="P44" s="132">
        <v>1</v>
      </c>
      <c r="Q44" s="132"/>
      <c r="R44" s="499"/>
      <c r="S44" s="484" t="str">
        <f>$I44</f>
        <v>...1</v>
      </c>
      <c r="T44" s="500" t="s">
        <v>478</v>
      </c>
      <c r="U44" s="486"/>
      <c r="V44" s="676"/>
      <c r="W44" s="677"/>
      <c r="X44" s="677"/>
      <c r="Y44" s="677"/>
      <c r="Z44" s="677"/>
      <c r="AA44" s="677"/>
      <c r="AB44" s="678"/>
      <c r="AC44" s="679"/>
      <c r="AD44" s="680"/>
      <c r="AE44" s="680"/>
      <c r="AF44" s="680"/>
      <c r="AG44" s="680"/>
      <c r="AH44" s="680"/>
      <c r="AI44" s="680"/>
      <c r="AJ44" s="681"/>
      <c r="AK44" s="490" t="s">
        <v>479</v>
      </c>
      <c r="AM44" s="129"/>
      <c r="AN44" s="129" t="str">
        <f t="shared" si="28"/>
        <v xml:space="preserve">Наименование признака дифференциации</v>
      </c>
      <c r="AO44" s="129"/>
      <c r="AP44" s="129"/>
      <c r="AQ44" s="50">
        <v>23</v>
      </c>
    </row>
    <row r="45" ht="24" customHeight="1">
      <c r="A45" s="479" t="s">
        <v>231</v>
      </c>
      <c r="B45" s="479" t="s">
        <v>232</v>
      </c>
      <c r="C45" s="479" t="s">
        <v>233</v>
      </c>
      <c r="D45" s="479" t="s">
        <v>492</v>
      </c>
      <c r="E45" s="491"/>
      <c r="F45" s="491"/>
      <c r="G45" s="491"/>
      <c r="H45" s="491"/>
      <c r="I45" s="503"/>
      <c r="J45" s="498" t="str">
        <f>I44&amp;".1"</f>
        <v>...1.1</v>
      </c>
      <c r="K45" s="479"/>
      <c r="L45" s="481" t="s">
        <v>401</v>
      </c>
      <c r="P45" s="132"/>
      <c r="Q45" s="132">
        <v>1</v>
      </c>
      <c r="R45" s="504"/>
      <c r="S45" s="484" t="str">
        <f>$J45</f>
        <v>...1.1</v>
      </c>
      <c r="T45" s="505" t="s">
        <v>402</v>
      </c>
      <c r="U45" s="486"/>
      <c r="V45" s="431"/>
      <c r="W45" s="501"/>
      <c r="X45" s="501"/>
      <c r="Y45" s="501"/>
      <c r="Z45" s="501"/>
      <c r="AA45" s="501"/>
      <c r="AB45" s="502"/>
      <c r="AC45" s="431"/>
      <c r="AD45" s="501"/>
      <c r="AE45" s="501"/>
      <c r="AF45" s="501"/>
      <c r="AG45" s="501"/>
      <c r="AH45" s="501"/>
      <c r="AI45" s="501"/>
      <c r="AJ45" s="502"/>
      <c r="AK45" s="617" t="s">
        <v>480</v>
      </c>
      <c r="AM45" s="129"/>
      <c r="AN45" s="129" t="str">
        <f t="shared" si="28"/>
        <v xml:space="preserve">Группа потребителей</v>
      </c>
      <c r="AO45" s="129"/>
      <c r="AP45" s="129"/>
      <c r="AQ45" s="50">
        <v>23</v>
      </c>
    </row>
    <row r="46" ht="24" customHeight="1">
      <c r="A46" s="479" t="s">
        <v>231</v>
      </c>
      <c r="B46" s="479" t="s">
        <v>232</v>
      </c>
      <c r="C46" s="479" t="s">
        <v>233</v>
      </c>
      <c r="D46" s="479" t="s">
        <v>492</v>
      </c>
      <c r="E46" s="491"/>
      <c r="F46" s="491"/>
      <c r="G46" s="491"/>
      <c r="H46" s="491"/>
      <c r="I46" s="503"/>
      <c r="J46" s="503"/>
      <c r="K46" s="498" t="str">
        <f>J45&amp;".1"</f>
        <v>...1.1.1</v>
      </c>
      <c r="L46" s="481"/>
      <c r="P46" s="132"/>
      <c r="Q46" s="132"/>
      <c r="R46" s="504">
        <v>1</v>
      </c>
      <c r="S46" s="484" t="str">
        <f>$K46</f>
        <v>...1.1.1</v>
      </c>
      <c r="T46" s="682"/>
      <c r="U46" s="486"/>
      <c r="V46" s="507"/>
      <c r="W46" s="507"/>
      <c r="X46" s="509"/>
      <c r="Y46" s="510"/>
      <c r="Z46" s="224" t="s">
        <v>65</v>
      </c>
      <c r="AA46" s="510"/>
      <c r="AB46" s="224" t="s">
        <v>65</v>
      </c>
      <c r="AC46" s="507"/>
      <c r="AD46" s="507"/>
      <c r="AE46" s="509"/>
      <c r="AF46" s="510"/>
      <c r="AG46" s="224" t="s">
        <v>65</v>
      </c>
      <c r="AH46" s="570"/>
      <c r="AI46" s="224" t="s">
        <v>65</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8"/>
        <v/>
      </c>
      <c r="AO46" s="129"/>
      <c r="AP46" s="129"/>
      <c r="AQ46" s="50">
        <v>23</v>
      </c>
    </row>
    <row r="47" ht="0" customHeight="1">
      <c r="A47" s="479" t="s">
        <v>231</v>
      </c>
      <c r="B47" s="479" t="s">
        <v>232</v>
      </c>
      <c r="C47" s="479" t="s">
        <v>233</v>
      </c>
      <c r="D47" s="479" t="s">
        <v>492</v>
      </c>
      <c r="E47" s="491"/>
      <c r="F47" s="491"/>
      <c r="G47" s="491"/>
      <c r="H47" s="491"/>
      <c r="I47" s="503"/>
      <c r="J47" s="503"/>
      <c r="K47" s="498"/>
      <c r="L47" s="481"/>
      <c r="P47" s="132"/>
      <c r="Q47" s="132"/>
      <c r="R47" s="504"/>
      <c r="S47" s="458"/>
      <c r="T47" s="486"/>
      <c r="U47" s="486"/>
      <c r="V47" s="508"/>
      <c r="W47" s="508"/>
      <c r="X47" s="512" t="str">
        <f>Y46&amp;"-"&amp;AA46</f>
        <v>-</v>
      </c>
      <c r="Y47" s="513"/>
      <c r="Z47" s="224"/>
      <c r="AA47" s="513"/>
      <c r="AB47" s="224"/>
      <c r="AC47" s="508"/>
      <c r="AD47" s="508"/>
      <c r="AE47" s="512" t="str">
        <f>AF46&amp;"-"&amp;AH46</f>
        <v>-</v>
      </c>
      <c r="AF47" s="513"/>
      <c r="AG47" s="224"/>
      <c r="AH47" s="572"/>
      <c r="AI47" s="224"/>
      <c r="AJ47" s="685"/>
      <c r="AK47" s="684"/>
      <c r="AM47" s="129"/>
      <c r="AN47" s="129" t="str">
        <f t="shared" si="28"/>
        <v/>
      </c>
      <c r="AO47" s="129"/>
      <c r="AP47" s="129"/>
      <c r="AQ47" s="50">
        <v>0</v>
      </c>
    </row>
    <row r="48" ht="21" customHeight="1">
      <c r="A48" s="479" t="s">
        <v>231</v>
      </c>
      <c r="B48" s="479" t="s">
        <v>232</v>
      </c>
      <c r="C48" s="479" t="s">
        <v>233</v>
      </c>
      <c r="D48" s="479" t="s">
        <v>492</v>
      </c>
      <c r="E48" s="491"/>
      <c r="F48" s="491"/>
      <c r="G48" s="491"/>
      <c r="H48" s="491"/>
      <c r="I48" s="503"/>
      <c r="J48" s="498"/>
      <c r="K48" s="479"/>
      <c r="L48" s="481"/>
      <c r="P48" s="132"/>
      <c r="Q48" s="132"/>
      <c r="R48" s="499"/>
      <c r="S48" s="515"/>
      <c r="T48" s="519" t="s">
        <v>481</v>
      </c>
      <c r="U48" s="214"/>
      <c r="V48" s="214"/>
      <c r="W48" s="214"/>
      <c r="X48" s="214"/>
      <c r="Y48" s="214"/>
      <c r="Z48" s="214"/>
      <c r="AA48" s="214"/>
      <c r="AB48" s="214"/>
      <c r="AC48" s="214"/>
      <c r="AD48" s="214"/>
      <c r="AE48" s="214"/>
      <c r="AF48" s="214"/>
      <c r="AG48" s="214"/>
      <c r="AH48" s="214"/>
      <c r="AI48" s="214"/>
      <c r="AJ48" s="214"/>
      <c r="AK48" s="490" t="s">
        <v>482</v>
      </c>
      <c r="AM48" s="129"/>
      <c r="AN48" s="129" t="str">
        <f t="shared" si="28"/>
        <v xml:space="preserve">Добавить значение признака дифференциации</v>
      </c>
      <c r="AO48" s="129"/>
      <c r="AP48" s="129"/>
      <c r="AQ48" s="50">
        <v>20</v>
      </c>
    </row>
    <row r="49" ht="22" customHeight="1">
      <c r="A49" s="479" t="s">
        <v>231</v>
      </c>
      <c r="B49" s="479" t="s">
        <v>232</v>
      </c>
      <c r="C49" s="479" t="s">
        <v>233</v>
      </c>
      <c r="D49" s="479" t="s">
        <v>492</v>
      </c>
      <c r="E49" s="491"/>
      <c r="F49" s="491"/>
      <c r="G49" s="491"/>
      <c r="H49" s="491"/>
      <c r="I49" s="498"/>
      <c r="J49" s="479"/>
      <c r="K49" s="479"/>
      <c r="L49" s="481"/>
      <c r="P49" s="132"/>
      <c r="Q49" s="132"/>
      <c r="R49" s="499"/>
      <c r="S49" s="515"/>
      <c r="T49" s="523" t="s">
        <v>407</v>
      </c>
      <c r="U49" s="214"/>
      <c r="V49" s="214"/>
      <c r="W49" s="214"/>
      <c r="X49" s="214"/>
      <c r="Y49" s="214"/>
      <c r="Z49" s="214"/>
      <c r="AA49" s="214"/>
      <c r="AB49" s="520"/>
      <c r="AC49" s="214"/>
      <c r="AD49" s="214"/>
      <c r="AE49" s="214"/>
      <c r="AF49" s="214"/>
      <c r="AG49" s="214"/>
      <c r="AH49" s="214"/>
      <c r="AI49" s="520"/>
      <c r="AJ49" s="214"/>
      <c r="AK49" s="686"/>
      <c r="AM49" s="129"/>
      <c r="AN49" s="129" t="str">
        <f t="shared" si="28"/>
        <v xml:space="preserve">Добавить группу потребителей</v>
      </c>
      <c r="AO49" s="129"/>
      <c r="AP49" s="129"/>
      <c r="AQ49" s="50">
        <v>21</v>
      </c>
    </row>
    <row r="50" ht="22" customHeight="1">
      <c r="A50" s="479" t="s">
        <v>231</v>
      </c>
      <c r="B50" s="479" t="s">
        <v>232</v>
      </c>
      <c r="C50" s="479" t="s">
        <v>233</v>
      </c>
      <c r="D50" s="479" t="s">
        <v>492</v>
      </c>
      <c r="E50" s="491"/>
      <c r="F50" s="491"/>
      <c r="G50" s="491"/>
      <c r="H50" s="480"/>
      <c r="I50" s="479"/>
      <c r="J50" s="479"/>
      <c r="K50" s="479"/>
      <c r="L50" s="481"/>
      <c r="M50" s="482"/>
      <c r="N50" s="482"/>
      <c r="O50" s="53"/>
      <c r="P50" s="143"/>
      <c r="Q50" s="522"/>
      <c r="R50" s="483"/>
      <c r="S50" s="515"/>
      <c r="T50" s="687" t="s">
        <v>483</v>
      </c>
      <c r="U50" s="214"/>
      <c r="V50" s="214"/>
      <c r="W50" s="214"/>
      <c r="X50" s="214"/>
      <c r="Y50" s="214"/>
      <c r="Z50" s="214"/>
      <c r="AA50" s="214"/>
      <c r="AB50" s="520"/>
      <c r="AC50" s="214"/>
      <c r="AD50" s="214"/>
      <c r="AE50" s="214"/>
      <c r="AF50" s="214"/>
      <c r="AG50" s="214"/>
      <c r="AH50" s="214"/>
      <c r="AI50" s="520"/>
      <c r="AJ50" s="214"/>
      <c r="AK50" s="521"/>
      <c r="AM50" s="129"/>
      <c r="AN50" s="129" t="str">
        <f t="shared" si="28"/>
        <v xml:space="preserve">Добавить наименование признака дифференциации</v>
      </c>
      <c r="AO50" s="129"/>
      <c r="AP50" s="129"/>
      <c r="AQ50" s="50">
        <v>21</v>
      </c>
    </row>
    <row r="51" s="57" customFormat="1" ht="0" customHeight="1">
      <c r="A51" s="133" t="s">
        <v>231</v>
      </c>
      <c r="B51" s="133" t="s">
        <v>232</v>
      </c>
      <c r="C51" s="133"/>
      <c r="D51" s="133"/>
      <c r="E51" s="491"/>
      <c r="F51" s="480"/>
      <c r="G51" s="133"/>
      <c r="H51" s="133"/>
      <c r="I51" s="133"/>
      <c r="J51" s="133"/>
      <c r="K51" s="133"/>
      <c r="L51" s="212"/>
      <c r="M51" s="528"/>
      <c r="N51" s="528"/>
      <c r="P51" s="167"/>
      <c r="Q51" s="524"/>
      <c r="R51" s="167"/>
      <c r="S51" s="529"/>
      <c r="T51" s="532" t="s">
        <v>410</v>
      </c>
      <c r="U51" s="531"/>
      <c r="V51" s="531"/>
      <c r="W51" s="531"/>
      <c r="X51" s="531"/>
      <c r="Y51" s="531"/>
      <c r="Z51" s="531"/>
      <c r="AA51" s="531"/>
      <c r="AB51" s="531"/>
      <c r="AC51" s="531"/>
      <c r="AD51" s="531"/>
      <c r="AE51" s="531"/>
      <c r="AF51" s="531"/>
      <c r="AG51" s="531"/>
      <c r="AH51" s="531"/>
      <c r="AI51" s="531"/>
      <c r="AJ51" s="531"/>
      <c r="AK51" s="531"/>
      <c r="AM51" s="129"/>
      <c r="AN51" s="129" t="str">
        <f t="shared" si="28"/>
        <v xml:space="preserve">Добавить централизованную систему для дифференциации</v>
      </c>
      <c r="AO51" s="129"/>
      <c r="AP51" s="129"/>
      <c r="AQ51" s="57">
        <v>0</v>
      </c>
    </row>
    <row r="52" s="57" customFormat="1" ht="0" customHeight="1">
      <c r="A52" s="133" t="s">
        <v>231</v>
      </c>
      <c r="B52" s="133"/>
      <c r="C52" s="133"/>
      <c r="D52" s="133"/>
      <c r="E52" s="480"/>
      <c r="F52" s="133"/>
      <c r="G52" s="133"/>
      <c r="H52" s="133"/>
      <c r="I52" s="133"/>
      <c r="J52" s="133"/>
      <c r="K52" s="133"/>
      <c r="L52" s="212"/>
      <c r="M52" s="528"/>
      <c r="N52" s="528"/>
      <c r="O52" s="57"/>
      <c r="P52" s="167"/>
      <c r="Q52" s="524"/>
      <c r="R52" s="167"/>
      <c r="S52" s="529"/>
      <c r="T52" s="532" t="s">
        <v>411</v>
      </c>
      <c r="U52" s="531"/>
      <c r="V52" s="531"/>
      <c r="W52" s="531"/>
      <c r="X52" s="531"/>
      <c r="Y52" s="531"/>
      <c r="Z52" s="531"/>
      <c r="AA52" s="531"/>
      <c r="AB52" s="531"/>
      <c r="AC52" s="531"/>
      <c r="AD52" s="531"/>
      <c r="AE52" s="531"/>
      <c r="AF52" s="531"/>
      <c r="AG52" s="531"/>
      <c r="AH52" s="531"/>
      <c r="AI52" s="531"/>
      <c r="AJ52" s="531"/>
      <c r="AK52" s="531"/>
      <c r="AM52" s="129"/>
      <c r="AN52" s="129" t="str">
        <f t="shared" si="2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443</v>
      </c>
      <c r="U53" s="531"/>
      <c r="V53" s="531"/>
      <c r="W53" s="531"/>
      <c r="X53" s="531"/>
      <c r="Y53" s="531"/>
      <c r="Z53" s="531"/>
      <c r="AA53" s="531"/>
      <c r="AB53" s="531"/>
      <c r="AC53" s="531"/>
      <c r="AD53" s="531"/>
      <c r="AE53" s="531"/>
      <c r="AF53" s="531"/>
      <c r="AG53" s="531"/>
      <c r="AH53" s="531"/>
      <c r="AI53" s="531"/>
      <c r="AJ53" s="531"/>
      <c r="AK53" s="531"/>
      <c r="AM53" s="129"/>
      <c r="AN53" s="129" t="str">
        <f t="shared" si="2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E008A-00E1-442A-9FFB-000D00B9006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900A5-00AF-408B-853C-00060022004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DC00B4-00B6-4F6F-9B6C-002A00CC008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80053-0045-4FCE-80F8-00CE0077009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9">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393</v>
      </c>
      <c r="AM3" s="129"/>
      <c r="AN3" s="129" t="str">
        <f t="shared" si="29"/>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476</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477</v>
      </c>
      <c r="AM4" s="129"/>
      <c r="AN4" s="129" t="str">
        <f t="shared" si="29"/>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8"/>
      <c r="AC5" s="679"/>
      <c r="AD5" s="680"/>
      <c r="AE5" s="680"/>
      <c r="AF5" s="680"/>
      <c r="AG5" s="680"/>
      <c r="AH5" s="680"/>
      <c r="AI5" s="680"/>
      <c r="AJ5" s="681"/>
      <c r="AK5" s="490" t="s">
        <v>479</v>
      </c>
      <c r="AM5" s="129"/>
      <c r="AN5" s="129" t="str">
        <f t="shared" si="29"/>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2"/>
      <c r="AC6" s="431"/>
      <c r="AD6" s="501"/>
      <c r="AE6" s="501"/>
      <c r="AF6" s="501"/>
      <c r="AG6" s="501"/>
      <c r="AH6" s="501"/>
      <c r="AI6" s="501"/>
      <c r="AJ6" s="502"/>
      <c r="AK6" s="617" t="s">
        <v>480</v>
      </c>
      <c r="AM6" s="129"/>
      <c r="AN6" s="129" t="str">
        <f t="shared" si="29"/>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9"/>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9"/>
        <v/>
      </c>
      <c r="AO8" s="129"/>
      <c r="AP8" s="129"/>
      <c r="AQ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490" t="s">
        <v>482</v>
      </c>
      <c r="AM9" s="129"/>
      <c r="AN9" s="129" t="str">
        <f t="shared" si="29"/>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520"/>
      <c r="AC10" s="214"/>
      <c r="AD10" s="214"/>
      <c r="AE10" s="214"/>
      <c r="AF10" s="214"/>
      <c r="AG10" s="214"/>
      <c r="AH10" s="214"/>
      <c r="AI10" s="520"/>
      <c r="AJ10" s="214"/>
      <c r="AK10" s="686"/>
      <c r="AM10" s="129"/>
      <c r="AN10" s="129" t="str">
        <f t="shared" ref="AN10:AN53" si="30">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520"/>
      <c r="AC11" s="214"/>
      <c r="AD11" s="214"/>
      <c r="AE11" s="214"/>
      <c r="AF11" s="214"/>
      <c r="AG11" s="214"/>
      <c r="AH11" s="214"/>
      <c r="AI11" s="520"/>
      <c r="AJ11" s="214"/>
      <c r="AK11" s="521"/>
      <c r="AM11" s="129"/>
      <c r="AN11" s="129" t="str">
        <f t="shared" si="30"/>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M12" s="129"/>
      <c r="AN12" s="129" t="str">
        <f t="shared" si="30"/>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M13" s="129"/>
      <c r="AN13" s="129" t="str">
        <f t="shared" si="30"/>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412</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413</v>
      </c>
      <c r="P20" s="61"/>
      <c r="Q20" s="688"/>
      <c r="R20" s="688"/>
      <c r="S20" s="482"/>
      <c r="T20" s="53" t="s">
        <v>414</v>
      </c>
      <c r="Z20" s="151" t="s">
        <v>415</v>
      </c>
      <c r="AB20" s="151" t="s">
        <v>416</v>
      </c>
      <c r="AC20" s="53" t="s">
        <v>414</v>
      </c>
      <c r="AG20" s="151" t="s">
        <v>417</v>
      </c>
      <c r="AI20" s="151" t="s">
        <v>416</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422</v>
      </c>
      <c r="AC34" s="50"/>
      <c r="AD34" s="50"/>
      <c r="AE34" s="50"/>
      <c r="AF34" s="50"/>
      <c r="AG34" s="50"/>
      <c r="AH34" s="50"/>
      <c r="AI34" s="57" t="s">
        <v>422</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t="s">
        <v>296</v>
      </c>
      <c r="AQ36" s="50">
        <v>14</v>
      </c>
    </row>
    <row r="37" ht="14.65" customHeight="1">
      <c r="Q37" s="539"/>
      <c r="R37" s="539"/>
      <c r="S37" s="484" t="s">
        <v>88</v>
      </c>
      <c r="T37" s="347" t="s">
        <v>423</v>
      </c>
      <c r="U37" s="549"/>
      <c r="V37" s="550" t="s">
        <v>424</v>
      </c>
      <c r="W37" s="551"/>
      <c r="X37" s="551"/>
      <c r="Y37" s="551"/>
      <c r="Z37" s="551"/>
      <c r="AA37" s="552"/>
      <c r="AB37" s="553" t="s">
        <v>425</v>
      </c>
      <c r="AC37" s="550" t="s">
        <v>424</v>
      </c>
      <c r="AD37" s="551"/>
      <c r="AE37" s="551"/>
      <c r="AF37" s="551"/>
      <c r="AG37" s="551"/>
      <c r="AH37" s="552"/>
      <c r="AI37" s="553" t="s">
        <v>426</v>
      </c>
      <c r="AJ37" s="554" t="s">
        <v>427</v>
      </c>
      <c r="AK37" s="157"/>
      <c r="AQ37" s="50">
        <v>14</v>
      </c>
    </row>
    <row r="38" ht="35.649999999999999" customHeight="1">
      <c r="Q38" s="539"/>
      <c r="R38" s="539"/>
      <c r="S38" s="484"/>
      <c r="T38" s="347"/>
      <c r="U38" s="555"/>
      <c r="V38" s="307" t="s">
        <v>484</v>
      </c>
      <c r="W38" s="73" t="s">
        <v>430</v>
      </c>
      <c r="X38" s="72"/>
      <c r="Y38" s="73" t="s">
        <v>431</v>
      </c>
      <c r="Z38" s="145"/>
      <c r="AA38" s="72"/>
      <c r="AB38" s="557"/>
      <c r="AC38" s="307" t="s">
        <v>484</v>
      </c>
      <c r="AD38" s="73" t="s">
        <v>430</v>
      </c>
      <c r="AE38" s="72"/>
      <c r="AF38" s="73" t="s">
        <v>431</v>
      </c>
      <c r="AG38" s="145"/>
      <c r="AH38" s="72"/>
      <c r="AI38" s="557"/>
      <c r="AJ38" s="558"/>
      <c r="AK38" s="157"/>
      <c r="AQ38" s="50">
        <v>34</v>
      </c>
    </row>
    <row r="39" ht="35.649999999999999" customHeight="1">
      <c r="A39" s="151"/>
      <c r="B39" s="151" t="s">
        <v>132</v>
      </c>
      <c r="C39" s="151" t="s">
        <v>133</v>
      </c>
      <c r="D39" s="151" t="s">
        <v>134</v>
      </c>
      <c r="E39" s="481" t="s">
        <v>432</v>
      </c>
      <c r="F39" s="481" t="s">
        <v>433</v>
      </c>
      <c r="G39" s="481" t="s">
        <v>434</v>
      </c>
      <c r="H39" s="481"/>
      <c r="I39" s="481" t="s">
        <v>485</v>
      </c>
      <c r="J39" s="481" t="s">
        <v>437</v>
      </c>
      <c r="K39" s="481" t="s">
        <v>486</v>
      </c>
      <c r="L39" s="481" t="s">
        <v>413</v>
      </c>
      <c r="Q39" s="539"/>
      <c r="R39" s="539"/>
      <c r="S39" s="484"/>
      <c r="T39" s="347"/>
      <c r="U39" s="559"/>
      <c r="V39" s="307" t="s">
        <v>487</v>
      </c>
      <c r="W39" s="246" t="s">
        <v>488</v>
      </c>
      <c r="X39" s="246" t="s">
        <v>489</v>
      </c>
      <c r="Y39" s="246" t="s">
        <v>441</v>
      </c>
      <c r="Z39" s="415" t="s">
        <v>442</v>
      </c>
      <c r="AA39" s="417"/>
      <c r="AB39" s="561"/>
      <c r="AC39" s="307" t="s">
        <v>487</v>
      </c>
      <c r="AD39" s="246" t="s">
        <v>488</v>
      </c>
      <c r="AE39" s="246" t="s">
        <v>489</v>
      </c>
      <c r="AF39" s="246" t="s">
        <v>441</v>
      </c>
      <c r="AG39" s="415" t="s">
        <v>442</v>
      </c>
      <c r="AH39" s="417"/>
      <c r="AI39" s="561"/>
      <c r="AJ39" s="562"/>
      <c r="AK39" s="157"/>
      <c r="AQ39" s="50">
        <v>34</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106</v>
      </c>
      <c r="T40" s="567" t="s">
        <v>107</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236</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120</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0"/>
        <v xml:space="preserve">Наименование тарифа</v>
      </c>
      <c r="AO41" s="129"/>
      <c r="AP41" s="129"/>
      <c r="AQ41" s="50">
        <v>23</v>
      </c>
    </row>
    <row r="42" ht="24" customHeight="1">
      <c r="A42" s="479" t="s">
        <v>236</v>
      </c>
      <c r="B42" s="479" t="s">
        <v>237</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392</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393</v>
      </c>
      <c r="AM42" s="129"/>
      <c r="AN42" s="129" t="str">
        <f t="shared" si="30"/>
        <v xml:space="preserve">Территория действия тарифа</v>
      </c>
      <c r="AO42" s="129"/>
      <c r="AP42" s="129"/>
      <c r="AQ42" s="50">
        <v>23</v>
      </c>
    </row>
    <row r="43" ht="24" customHeight="1">
      <c r="A43" s="479" t="s">
        <v>236</v>
      </c>
      <c r="B43" s="479" t="s">
        <v>237</v>
      </c>
      <c r="C43" s="479" t="s">
        <v>238</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476</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477</v>
      </c>
      <c r="AM43" s="129"/>
      <c r="AN43" s="129" t="str">
        <f t="shared" si="30"/>
        <v xml:space="preserve">Наименование централизованной системы холодного водоснабжения</v>
      </c>
      <c r="AO43" s="129"/>
      <c r="AP43" s="129"/>
      <c r="AQ43" s="50">
        <v>23</v>
      </c>
    </row>
    <row r="44" ht="24" customHeight="1">
      <c r="A44" s="479" t="s">
        <v>236</v>
      </c>
      <c r="B44" s="479" t="s">
        <v>237</v>
      </c>
      <c r="C44" s="479" t="s">
        <v>238</v>
      </c>
      <c r="D44" s="479" t="s">
        <v>493</v>
      </c>
      <c r="E44" s="491"/>
      <c r="F44" s="491"/>
      <c r="G44" s="491"/>
      <c r="H44" s="491"/>
      <c r="I44" s="498" t="str">
        <f>S43&amp;".1"</f>
        <v>...1</v>
      </c>
      <c r="J44" s="479"/>
      <c r="K44" s="479"/>
      <c r="L44" s="481"/>
      <c r="P44" s="132">
        <v>1</v>
      </c>
      <c r="Q44" s="132"/>
      <c r="R44" s="499"/>
      <c r="S44" s="484" t="str">
        <f>$I44</f>
        <v>...1</v>
      </c>
      <c r="T44" s="500" t="s">
        <v>478</v>
      </c>
      <c r="U44" s="486"/>
      <c r="V44" s="676"/>
      <c r="W44" s="677"/>
      <c r="X44" s="677"/>
      <c r="Y44" s="677"/>
      <c r="Z44" s="677"/>
      <c r="AA44" s="677"/>
      <c r="AB44" s="678"/>
      <c r="AC44" s="679"/>
      <c r="AD44" s="680"/>
      <c r="AE44" s="680"/>
      <c r="AF44" s="680"/>
      <c r="AG44" s="680"/>
      <c r="AH44" s="680"/>
      <c r="AI44" s="680"/>
      <c r="AJ44" s="681"/>
      <c r="AK44" s="490" t="s">
        <v>479</v>
      </c>
      <c r="AM44" s="129"/>
      <c r="AN44" s="129" t="str">
        <f t="shared" si="30"/>
        <v xml:space="preserve">Наименование признака дифференциации</v>
      </c>
      <c r="AO44" s="129"/>
      <c r="AP44" s="129"/>
      <c r="AQ44" s="50">
        <v>23</v>
      </c>
    </row>
    <row r="45" ht="24" customHeight="1">
      <c r="A45" s="479" t="s">
        <v>236</v>
      </c>
      <c r="B45" s="479" t="s">
        <v>237</v>
      </c>
      <c r="C45" s="479" t="s">
        <v>238</v>
      </c>
      <c r="D45" s="479" t="s">
        <v>493</v>
      </c>
      <c r="E45" s="491"/>
      <c r="F45" s="491"/>
      <c r="G45" s="491"/>
      <c r="H45" s="491"/>
      <c r="I45" s="503"/>
      <c r="J45" s="498" t="str">
        <f>I44&amp;".1"</f>
        <v>...1.1</v>
      </c>
      <c r="K45" s="479"/>
      <c r="L45" s="481" t="s">
        <v>401</v>
      </c>
      <c r="P45" s="132"/>
      <c r="Q45" s="132">
        <v>1</v>
      </c>
      <c r="R45" s="504"/>
      <c r="S45" s="484" t="str">
        <f>$J45</f>
        <v>...1.1</v>
      </c>
      <c r="T45" s="505" t="s">
        <v>402</v>
      </c>
      <c r="U45" s="486"/>
      <c r="V45" s="431"/>
      <c r="W45" s="501"/>
      <c r="X45" s="501"/>
      <c r="Y45" s="501"/>
      <c r="Z45" s="501"/>
      <c r="AA45" s="501"/>
      <c r="AB45" s="502"/>
      <c r="AC45" s="431"/>
      <c r="AD45" s="501"/>
      <c r="AE45" s="501"/>
      <c r="AF45" s="501"/>
      <c r="AG45" s="501"/>
      <c r="AH45" s="501"/>
      <c r="AI45" s="501"/>
      <c r="AJ45" s="502"/>
      <c r="AK45" s="617" t="s">
        <v>480</v>
      </c>
      <c r="AM45" s="129"/>
      <c r="AN45" s="129" t="str">
        <f t="shared" si="30"/>
        <v xml:space="preserve">Группа потребителей</v>
      </c>
      <c r="AO45" s="129"/>
      <c r="AP45" s="129"/>
      <c r="AQ45" s="50">
        <v>23</v>
      </c>
    </row>
    <row r="46" ht="24" customHeight="1">
      <c r="A46" s="479" t="s">
        <v>236</v>
      </c>
      <c r="B46" s="479" t="s">
        <v>237</v>
      </c>
      <c r="C46" s="479" t="s">
        <v>238</v>
      </c>
      <c r="D46" s="479" t="s">
        <v>493</v>
      </c>
      <c r="E46" s="491"/>
      <c r="F46" s="491"/>
      <c r="G46" s="491"/>
      <c r="H46" s="491"/>
      <c r="I46" s="503"/>
      <c r="J46" s="503"/>
      <c r="K46" s="498" t="str">
        <f>J45&amp;".1"</f>
        <v>...1.1.1</v>
      </c>
      <c r="L46" s="481"/>
      <c r="P46" s="132"/>
      <c r="Q46" s="132"/>
      <c r="R46" s="504">
        <v>1</v>
      </c>
      <c r="S46" s="484" t="str">
        <f>$K46</f>
        <v>...1.1.1</v>
      </c>
      <c r="T46" s="682"/>
      <c r="U46" s="486"/>
      <c r="V46" s="507"/>
      <c r="W46" s="507"/>
      <c r="X46" s="509"/>
      <c r="Y46" s="510"/>
      <c r="Z46" s="224" t="s">
        <v>65</v>
      </c>
      <c r="AA46" s="510"/>
      <c r="AB46" s="224" t="s">
        <v>65</v>
      </c>
      <c r="AC46" s="507"/>
      <c r="AD46" s="507"/>
      <c r="AE46" s="509"/>
      <c r="AF46" s="510"/>
      <c r="AG46" s="224" t="s">
        <v>65</v>
      </c>
      <c r="AH46" s="570"/>
      <c r="AI46" s="224" t="s">
        <v>65</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0"/>
        <v/>
      </c>
      <c r="AO46" s="129"/>
      <c r="AP46" s="129"/>
      <c r="AQ46" s="50">
        <v>23</v>
      </c>
    </row>
    <row r="47" ht="0" customHeight="1">
      <c r="A47" s="479" t="s">
        <v>236</v>
      </c>
      <c r="B47" s="479" t="s">
        <v>237</v>
      </c>
      <c r="C47" s="479" t="s">
        <v>238</v>
      </c>
      <c r="D47" s="479" t="s">
        <v>493</v>
      </c>
      <c r="E47" s="491"/>
      <c r="F47" s="491"/>
      <c r="G47" s="491"/>
      <c r="H47" s="491"/>
      <c r="I47" s="503"/>
      <c r="J47" s="503"/>
      <c r="K47" s="498"/>
      <c r="L47" s="481"/>
      <c r="P47" s="132"/>
      <c r="Q47" s="132"/>
      <c r="R47" s="504"/>
      <c r="S47" s="458"/>
      <c r="T47" s="486"/>
      <c r="U47" s="486"/>
      <c r="V47" s="508"/>
      <c r="W47" s="508"/>
      <c r="X47" s="512" t="str">
        <f>Y46&amp;"-"&amp;AA46</f>
        <v>-</v>
      </c>
      <c r="Y47" s="513"/>
      <c r="Z47" s="224"/>
      <c r="AA47" s="513"/>
      <c r="AB47" s="224"/>
      <c r="AC47" s="508"/>
      <c r="AD47" s="508"/>
      <c r="AE47" s="512" t="str">
        <f>AF46&amp;"-"&amp;AH46</f>
        <v>-</v>
      </c>
      <c r="AF47" s="513"/>
      <c r="AG47" s="224"/>
      <c r="AH47" s="572"/>
      <c r="AI47" s="224"/>
      <c r="AJ47" s="685"/>
      <c r="AK47" s="684"/>
      <c r="AM47" s="129"/>
      <c r="AN47" s="129" t="str">
        <f t="shared" si="30"/>
        <v/>
      </c>
      <c r="AO47" s="129"/>
      <c r="AP47" s="129"/>
      <c r="AQ47" s="50">
        <v>0</v>
      </c>
    </row>
    <row r="48" ht="21" customHeight="1">
      <c r="A48" s="479" t="s">
        <v>236</v>
      </c>
      <c r="B48" s="479" t="s">
        <v>237</v>
      </c>
      <c r="C48" s="479" t="s">
        <v>238</v>
      </c>
      <c r="D48" s="479" t="s">
        <v>493</v>
      </c>
      <c r="E48" s="491"/>
      <c r="F48" s="491"/>
      <c r="G48" s="491"/>
      <c r="H48" s="491"/>
      <c r="I48" s="503"/>
      <c r="J48" s="498"/>
      <c r="K48" s="479"/>
      <c r="L48" s="481"/>
      <c r="P48" s="132"/>
      <c r="Q48" s="132"/>
      <c r="R48" s="499"/>
      <c r="S48" s="515"/>
      <c r="T48" s="519" t="s">
        <v>481</v>
      </c>
      <c r="U48" s="214"/>
      <c r="V48" s="214"/>
      <c r="W48" s="214"/>
      <c r="X48" s="214"/>
      <c r="Y48" s="214"/>
      <c r="Z48" s="214"/>
      <c r="AA48" s="214"/>
      <c r="AB48" s="214"/>
      <c r="AC48" s="214"/>
      <c r="AD48" s="214"/>
      <c r="AE48" s="214"/>
      <c r="AF48" s="214"/>
      <c r="AG48" s="214"/>
      <c r="AH48" s="214"/>
      <c r="AI48" s="214"/>
      <c r="AJ48" s="214"/>
      <c r="AK48" s="490" t="s">
        <v>482</v>
      </c>
      <c r="AM48" s="129"/>
      <c r="AN48" s="129" t="str">
        <f t="shared" si="30"/>
        <v xml:space="preserve">Добавить значение признака дифференциации</v>
      </c>
      <c r="AO48" s="129"/>
      <c r="AP48" s="129"/>
      <c r="AQ48" s="50">
        <v>20</v>
      </c>
    </row>
    <row r="49" ht="22" customHeight="1">
      <c r="A49" s="479" t="s">
        <v>236</v>
      </c>
      <c r="B49" s="479" t="s">
        <v>237</v>
      </c>
      <c r="C49" s="479" t="s">
        <v>238</v>
      </c>
      <c r="D49" s="479" t="s">
        <v>493</v>
      </c>
      <c r="E49" s="491"/>
      <c r="F49" s="491"/>
      <c r="G49" s="491"/>
      <c r="H49" s="491"/>
      <c r="I49" s="498"/>
      <c r="J49" s="479"/>
      <c r="K49" s="479"/>
      <c r="L49" s="481"/>
      <c r="P49" s="132"/>
      <c r="Q49" s="132"/>
      <c r="R49" s="499"/>
      <c r="S49" s="515"/>
      <c r="T49" s="523" t="s">
        <v>407</v>
      </c>
      <c r="U49" s="214"/>
      <c r="V49" s="214"/>
      <c r="W49" s="214"/>
      <c r="X49" s="214"/>
      <c r="Y49" s="214"/>
      <c r="Z49" s="214"/>
      <c r="AA49" s="214"/>
      <c r="AB49" s="520"/>
      <c r="AC49" s="214"/>
      <c r="AD49" s="214"/>
      <c r="AE49" s="214"/>
      <c r="AF49" s="214"/>
      <c r="AG49" s="214"/>
      <c r="AH49" s="214"/>
      <c r="AI49" s="520"/>
      <c r="AJ49" s="214"/>
      <c r="AK49" s="686"/>
      <c r="AM49" s="129"/>
      <c r="AN49" s="129" t="str">
        <f t="shared" si="30"/>
        <v xml:space="preserve">Добавить группу потребителей</v>
      </c>
      <c r="AO49" s="129"/>
      <c r="AP49" s="129"/>
      <c r="AQ49" s="50">
        <v>21</v>
      </c>
    </row>
    <row r="50" ht="22" customHeight="1">
      <c r="A50" s="479" t="s">
        <v>236</v>
      </c>
      <c r="B50" s="479" t="s">
        <v>237</v>
      </c>
      <c r="C50" s="479" t="s">
        <v>238</v>
      </c>
      <c r="D50" s="479" t="s">
        <v>493</v>
      </c>
      <c r="E50" s="491"/>
      <c r="F50" s="491"/>
      <c r="G50" s="491"/>
      <c r="H50" s="480"/>
      <c r="I50" s="479"/>
      <c r="J50" s="479"/>
      <c r="K50" s="479"/>
      <c r="L50" s="481"/>
      <c r="M50" s="482"/>
      <c r="N50" s="482"/>
      <c r="O50" s="53"/>
      <c r="P50" s="143"/>
      <c r="Q50" s="522"/>
      <c r="R50" s="483"/>
      <c r="S50" s="515"/>
      <c r="T50" s="687" t="s">
        <v>483</v>
      </c>
      <c r="U50" s="214"/>
      <c r="V50" s="214"/>
      <c r="W50" s="214"/>
      <c r="X50" s="214"/>
      <c r="Y50" s="214"/>
      <c r="Z50" s="214"/>
      <c r="AA50" s="214"/>
      <c r="AB50" s="520"/>
      <c r="AC50" s="214"/>
      <c r="AD50" s="214"/>
      <c r="AE50" s="214"/>
      <c r="AF50" s="214"/>
      <c r="AG50" s="214"/>
      <c r="AH50" s="214"/>
      <c r="AI50" s="520"/>
      <c r="AJ50" s="214"/>
      <c r="AK50" s="521"/>
      <c r="AM50" s="129"/>
      <c r="AN50" s="129" t="str">
        <f t="shared" si="30"/>
        <v xml:space="preserve">Добавить наименование признака дифференциации</v>
      </c>
      <c r="AO50" s="129"/>
      <c r="AP50" s="129"/>
      <c r="AQ50" s="50">
        <v>21</v>
      </c>
    </row>
    <row r="51" s="57" customFormat="1" ht="0" customHeight="1">
      <c r="A51" s="133" t="s">
        <v>236</v>
      </c>
      <c r="B51" s="133" t="s">
        <v>237</v>
      </c>
      <c r="C51" s="133"/>
      <c r="D51" s="133"/>
      <c r="E51" s="491"/>
      <c r="F51" s="480"/>
      <c r="G51" s="133"/>
      <c r="H51" s="133"/>
      <c r="I51" s="133"/>
      <c r="J51" s="133"/>
      <c r="K51" s="133"/>
      <c r="L51" s="212"/>
      <c r="M51" s="528"/>
      <c r="N51" s="528"/>
      <c r="P51" s="167"/>
      <c r="Q51" s="524"/>
      <c r="R51" s="167"/>
      <c r="S51" s="529"/>
      <c r="T51" s="532" t="s">
        <v>410</v>
      </c>
      <c r="U51" s="531"/>
      <c r="V51" s="531"/>
      <c r="W51" s="531"/>
      <c r="X51" s="531"/>
      <c r="Y51" s="531"/>
      <c r="Z51" s="531"/>
      <c r="AA51" s="531"/>
      <c r="AB51" s="531"/>
      <c r="AC51" s="531"/>
      <c r="AD51" s="531"/>
      <c r="AE51" s="531"/>
      <c r="AF51" s="531"/>
      <c r="AG51" s="531"/>
      <c r="AH51" s="531"/>
      <c r="AI51" s="531"/>
      <c r="AJ51" s="531"/>
      <c r="AK51" s="531"/>
      <c r="AM51" s="129"/>
      <c r="AN51" s="129" t="str">
        <f t="shared" si="30"/>
        <v xml:space="preserve">Добавить централизованную систему для дифференциации</v>
      </c>
      <c r="AO51" s="129"/>
      <c r="AP51" s="129"/>
      <c r="AQ51" s="57">
        <v>0</v>
      </c>
    </row>
    <row r="52" s="57" customFormat="1" ht="0" customHeight="1">
      <c r="A52" s="133" t="s">
        <v>236</v>
      </c>
      <c r="B52" s="133"/>
      <c r="C52" s="133"/>
      <c r="D52" s="133"/>
      <c r="E52" s="480"/>
      <c r="F52" s="133"/>
      <c r="G52" s="133"/>
      <c r="H52" s="133"/>
      <c r="I52" s="133"/>
      <c r="J52" s="133"/>
      <c r="K52" s="133"/>
      <c r="L52" s="212"/>
      <c r="M52" s="528"/>
      <c r="N52" s="528"/>
      <c r="O52" s="57"/>
      <c r="P52" s="167"/>
      <c r="Q52" s="524"/>
      <c r="R52" s="167"/>
      <c r="S52" s="529"/>
      <c r="T52" s="532" t="s">
        <v>411</v>
      </c>
      <c r="U52" s="531"/>
      <c r="V52" s="531"/>
      <c r="W52" s="531"/>
      <c r="X52" s="531"/>
      <c r="Y52" s="531"/>
      <c r="Z52" s="531"/>
      <c r="AA52" s="531"/>
      <c r="AB52" s="531"/>
      <c r="AC52" s="531"/>
      <c r="AD52" s="531"/>
      <c r="AE52" s="531"/>
      <c r="AF52" s="531"/>
      <c r="AG52" s="531"/>
      <c r="AH52" s="531"/>
      <c r="AI52" s="531"/>
      <c r="AJ52" s="531"/>
      <c r="AK52" s="531"/>
      <c r="AM52" s="129"/>
      <c r="AN52" s="129" t="str">
        <f t="shared" si="30"/>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443</v>
      </c>
      <c r="U53" s="531"/>
      <c r="V53" s="531"/>
      <c r="W53" s="531"/>
      <c r="X53" s="531"/>
      <c r="Y53" s="531"/>
      <c r="Z53" s="531"/>
      <c r="AA53" s="531"/>
      <c r="AB53" s="531"/>
      <c r="AC53" s="531"/>
      <c r="AD53" s="531"/>
      <c r="AE53" s="531"/>
      <c r="AF53" s="531"/>
      <c r="AG53" s="531"/>
      <c r="AH53" s="531"/>
      <c r="AI53" s="531"/>
      <c r="AJ53" s="531"/>
      <c r="AK53" s="531"/>
      <c r="AM53" s="129"/>
      <c r="AN53" s="129" t="str">
        <f t="shared" si="30"/>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30007-00C8-4642-B76E-003E006000F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40006F-0085-49BD-8C2D-00E0000D00E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E4009D-00BF-404F-A1B3-000B0099005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F003D-004D-40B0-956A-00F9006B0036}"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38" width="3.00390625"/>
    <col customWidth="1" min="18" max="18" style="478"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4"/>
      <c r="B2" s="264"/>
      <c r="C2" s="264"/>
      <c r="D2" s="264"/>
      <c r="E2" s="575">
        <v>1</v>
      </c>
      <c r="F2" s="264"/>
      <c r="G2" s="264"/>
      <c r="H2" s="264"/>
      <c r="I2" s="264"/>
      <c r="J2" s="264"/>
      <c r="K2" s="264"/>
      <c r="L2" s="322"/>
      <c r="M2" s="86"/>
      <c r="N2" s="86"/>
      <c r="O2" s="86"/>
      <c r="P2" s="61"/>
      <c r="Q2" s="64"/>
      <c r="R2" s="483"/>
      <c r="S2" s="484" t="e">
        <f>INDEX(PT_DIFFERENTIATION_NUM_NTAR,MATCH(A2,PT_DIFFERENTIATION_NTAR_ID,0))</f>
        <v>#VALUE!</v>
      </c>
      <c r="T2" s="485" t="s">
        <v>120</v>
      </c>
      <c r="U2" s="486"/>
      <c r="V2" s="488"/>
      <c r="W2" s="488"/>
      <c r="X2" s="488"/>
      <c r="Y2" s="488"/>
      <c r="Z2" s="488"/>
      <c r="AA2" s="489"/>
      <c r="AB2" s="488"/>
      <c r="AC2" s="488" t="e">
        <f>INDEX(PT_DIFFERENTIATION_NTAR,MATCH(A2,PT_DIFFERENTIATION_NTAR_ID,0))</f>
        <v>#VALUE!</v>
      </c>
      <c r="AD2" s="488"/>
      <c r="AE2" s="488"/>
      <c r="AF2" s="488"/>
      <c r="AG2" s="488"/>
      <c r="AH2" s="488"/>
      <c r="AI2" s="488"/>
      <c r="AJ2" s="489"/>
      <c r="AK2" s="490" t="s">
        <v>391</v>
      </c>
      <c r="AM2" s="129"/>
      <c r="AN2" s="129" t="str">
        <f t="shared" ref="AN2:AN9" si="31">IF(T2="","",T2)</f>
        <v xml:space="preserve">Наименование тарифа</v>
      </c>
      <c r="AO2" s="129"/>
      <c r="AP2" s="129"/>
      <c r="AQ2" s="50">
        <v>0</v>
      </c>
    </row>
    <row r="3" ht="21" hidden="1" customHeight="1">
      <c r="A3" s="264"/>
      <c r="B3" s="264"/>
      <c r="C3" s="264"/>
      <c r="D3" s="264"/>
      <c r="E3" s="576"/>
      <c r="F3" s="575">
        <v>1</v>
      </c>
      <c r="G3" s="264"/>
      <c r="H3" s="264"/>
      <c r="I3" s="264"/>
      <c r="J3" s="264"/>
      <c r="K3" s="264"/>
      <c r="L3" s="322"/>
      <c r="M3" s="86"/>
      <c r="N3" s="86"/>
      <c r="O3" s="86"/>
      <c r="P3" s="114"/>
      <c r="Q3" s="629"/>
      <c r="R3" s="493"/>
      <c r="S3" s="484" t="e">
        <f>INDEX(PT_DIFFERENTIATION_NUM_TER,MATCH(B3,PT_DIFFERENTIATION_TER_ID,0))</f>
        <v>#VALUE!</v>
      </c>
      <c r="T3" s="494" t="s">
        <v>392</v>
      </c>
      <c r="U3" s="486"/>
      <c r="V3" s="488"/>
      <c r="W3" s="488"/>
      <c r="X3" s="488"/>
      <c r="Y3" s="488"/>
      <c r="Z3" s="488"/>
      <c r="AA3" s="489"/>
      <c r="AB3" s="488"/>
      <c r="AC3" s="488" t="e">
        <f>INDEX(PT_DIFFERENTIATION_TER,MATCH(B3,PT_DIFFERENTIATION_TER_ID,0))</f>
        <v>#VALUE!</v>
      </c>
      <c r="AD3" s="488"/>
      <c r="AE3" s="488"/>
      <c r="AF3" s="488"/>
      <c r="AG3" s="488"/>
      <c r="AH3" s="488"/>
      <c r="AI3" s="488"/>
      <c r="AJ3" s="489"/>
      <c r="AK3" s="490" t="s">
        <v>393</v>
      </c>
      <c r="AM3" s="129"/>
      <c r="AN3" s="129" t="str">
        <f t="shared" si="31"/>
        <v xml:space="preserve">Территория действия тарифа</v>
      </c>
      <c r="AO3" s="129"/>
      <c r="AP3" s="129"/>
      <c r="AQ3" s="50">
        <v>0</v>
      </c>
    </row>
    <row r="4" ht="22.5" hidden="1" customHeight="1">
      <c r="A4" s="264"/>
      <c r="B4" s="264"/>
      <c r="C4" s="264"/>
      <c r="D4" s="264"/>
      <c r="E4" s="576"/>
      <c r="F4" s="576"/>
      <c r="G4" s="575">
        <v>1</v>
      </c>
      <c r="H4" s="264"/>
      <c r="I4" s="264"/>
      <c r="J4" s="264"/>
      <c r="K4" s="264"/>
      <c r="L4" s="322"/>
      <c r="M4" s="86"/>
      <c r="N4" s="86"/>
      <c r="O4" s="86"/>
      <c r="P4" s="135"/>
      <c r="Q4" s="629"/>
      <c r="R4" s="493"/>
      <c r="S4" s="484" t="e">
        <f>INDEX(PT_DIFFERENTIATION_NUM_CS,MATCH(C4,PT_DIFFERENTIATION_CS_ID,0))</f>
        <v>#VALUE!</v>
      </c>
      <c r="T4" s="496" t="s">
        <v>394</v>
      </c>
      <c r="U4" s="486"/>
      <c r="V4" s="488"/>
      <c r="W4" s="488"/>
      <c r="X4" s="488"/>
      <c r="Y4" s="488"/>
      <c r="Z4" s="488"/>
      <c r="AA4" s="489"/>
      <c r="AB4" s="488"/>
      <c r="AC4" s="488" t="e">
        <f>INDEX(PT_DIFFERENTIATION_CS,MATCH(C4,PT_DIFFERENTIATION_CS_ID,0))</f>
        <v>#VALUE!</v>
      </c>
      <c r="AD4" s="488"/>
      <c r="AE4" s="488"/>
      <c r="AF4" s="488"/>
      <c r="AG4" s="488"/>
      <c r="AH4" s="488"/>
      <c r="AI4" s="488"/>
      <c r="AJ4" s="489"/>
      <c r="AK4" s="490" t="s">
        <v>395</v>
      </c>
      <c r="AM4" s="129"/>
      <c r="AN4" s="129" t="str">
        <f t="shared" si="31"/>
        <v xml:space="preserve">Наименование системы теплоснабжения </v>
      </c>
      <c r="AO4" s="129"/>
      <c r="AP4" s="129"/>
      <c r="AQ4" s="50">
        <v>0</v>
      </c>
    </row>
    <row r="5" ht="21" hidden="1" customHeight="1">
      <c r="A5" s="264"/>
      <c r="B5" s="264"/>
      <c r="C5" s="264"/>
      <c r="D5" s="264"/>
      <c r="E5" s="576"/>
      <c r="F5" s="576"/>
      <c r="G5" s="576"/>
      <c r="H5" s="575">
        <v>1</v>
      </c>
      <c r="I5" s="264"/>
      <c r="J5" s="264"/>
      <c r="K5" s="264"/>
      <c r="L5" s="322"/>
      <c r="M5" s="86"/>
      <c r="N5" s="86"/>
      <c r="O5" s="86"/>
      <c r="P5" s="135"/>
      <c r="Q5" s="629"/>
      <c r="R5" s="493"/>
      <c r="S5" s="484" t="e">
        <f>INDEX(PT_DIFFERENTIATION_NUM_IST_TE,MATCH(D5,PT_DIFFERENTIATION_IST_TE_ID,0))</f>
        <v>#VALUE!</v>
      </c>
      <c r="T5" s="497" t="s">
        <v>396</v>
      </c>
      <c r="U5" s="486"/>
      <c r="V5" s="488"/>
      <c r="W5" s="488"/>
      <c r="X5" s="488"/>
      <c r="Y5" s="488"/>
      <c r="Z5" s="488"/>
      <c r="AA5" s="489"/>
      <c r="AB5" s="488"/>
      <c r="AC5" s="488" t="e">
        <f>INDEX(PT_DIFFERENTIATION_IST_TE,MATCH(D5,PT_DIFFERENTIATION_IST_TE_ID,0))</f>
        <v>#VALUE!</v>
      </c>
      <c r="AD5" s="488"/>
      <c r="AE5" s="488"/>
      <c r="AF5" s="488"/>
      <c r="AG5" s="488"/>
      <c r="AH5" s="488"/>
      <c r="AI5" s="488"/>
      <c r="AJ5" s="489"/>
      <c r="AK5" s="490" t="s">
        <v>397</v>
      </c>
      <c r="AM5" s="129"/>
      <c r="AN5" s="129" t="str">
        <f t="shared" si="31"/>
        <v xml:space="preserve">Источник тепловой энергии  </v>
      </c>
      <c r="AO5" s="129"/>
      <c r="AP5" s="129"/>
      <c r="AQ5" s="50">
        <v>0</v>
      </c>
    </row>
    <row r="6" s="57" customFormat="1" ht="0.75" hidden="1" customHeight="1">
      <c r="A6" s="577"/>
      <c r="B6" s="577"/>
      <c r="C6" s="577"/>
      <c r="D6" s="577"/>
      <c r="E6" s="576"/>
      <c r="F6" s="576"/>
      <c r="G6" s="576"/>
      <c r="H6" s="576"/>
      <c r="I6" s="157" t="e">
        <f>S5&amp;".1"</f>
        <v>#VALUE!</v>
      </c>
      <c r="J6" s="577"/>
      <c r="K6" s="577"/>
      <c r="L6" s="578" t="s">
        <v>398</v>
      </c>
      <c r="M6" s="563"/>
      <c r="N6" s="563"/>
      <c r="O6" s="563"/>
      <c r="P6" s="132">
        <v>1</v>
      </c>
      <c r="Q6" s="132"/>
      <c r="R6" s="499"/>
      <c r="S6" s="351"/>
      <c r="T6" s="586"/>
      <c r="U6" s="587"/>
      <c r="V6" s="589"/>
      <c r="W6" s="589"/>
      <c r="X6" s="589"/>
      <c r="Y6" s="589"/>
      <c r="Z6" s="589"/>
      <c r="AA6" s="590"/>
      <c r="AB6" s="589"/>
      <c r="AC6" s="589"/>
      <c r="AD6" s="589"/>
      <c r="AE6" s="589"/>
      <c r="AF6" s="589"/>
      <c r="AG6" s="589"/>
      <c r="AH6" s="589"/>
      <c r="AI6" s="589"/>
      <c r="AJ6" s="590"/>
      <c r="AK6" s="591"/>
      <c r="AM6" s="129"/>
      <c r="AN6" s="129" t="str">
        <f t="shared" si="31"/>
        <v/>
      </c>
      <c r="AO6" s="129"/>
      <c r="AP6" s="129"/>
      <c r="AQ6" s="57">
        <v>0</v>
      </c>
    </row>
    <row r="7" s="57" customFormat="1" ht="0.75" hidden="1" customHeight="1">
      <c r="A7" s="577"/>
      <c r="B7" s="577"/>
      <c r="C7" s="577"/>
      <c r="D7" s="577"/>
      <c r="E7" s="576"/>
      <c r="F7" s="576"/>
      <c r="G7" s="576"/>
      <c r="H7" s="576"/>
      <c r="I7" s="73"/>
      <c r="J7" s="157" t="e">
        <f>S5&amp;".1"</f>
        <v>#VALUE!</v>
      </c>
      <c r="K7" s="577"/>
      <c r="L7" s="578"/>
      <c r="M7" s="563"/>
      <c r="N7" s="563"/>
      <c r="O7" s="563"/>
      <c r="P7" s="132"/>
      <c r="Q7" s="132">
        <v>1</v>
      </c>
      <c r="R7" s="504"/>
      <c r="S7" s="351"/>
      <c r="T7" s="630"/>
      <c r="U7" s="587"/>
      <c r="V7" s="589"/>
      <c r="W7" s="589"/>
      <c r="X7" s="589"/>
      <c r="Y7" s="589"/>
      <c r="Z7" s="589"/>
      <c r="AA7" s="590"/>
      <c r="AB7" s="589"/>
      <c r="AC7" s="589"/>
      <c r="AD7" s="589"/>
      <c r="AE7" s="589"/>
      <c r="AF7" s="589"/>
      <c r="AG7" s="589"/>
      <c r="AH7" s="589"/>
      <c r="AI7" s="589"/>
      <c r="AJ7" s="590"/>
      <c r="AK7" s="591"/>
      <c r="AM7" s="129"/>
      <c r="AN7" s="129" t="str">
        <f t="shared" si="31"/>
        <v/>
      </c>
      <c r="AO7" s="129"/>
      <c r="AP7" s="129"/>
      <c r="AQ7" s="57">
        <v>0</v>
      </c>
    </row>
    <row r="8" ht="21" hidden="1" customHeight="1">
      <c r="A8" s="264"/>
      <c r="B8" s="264"/>
      <c r="C8" s="264"/>
      <c r="D8" s="264"/>
      <c r="E8" s="576"/>
      <c r="F8" s="576"/>
      <c r="G8" s="576"/>
      <c r="H8" s="576"/>
      <c r="I8" s="73"/>
      <c r="J8" s="73"/>
      <c r="K8" s="157" t="e">
        <f>S5&amp;".1"</f>
        <v>#VALUE!</v>
      </c>
      <c r="L8" s="322"/>
      <c r="P8" s="132"/>
      <c r="Q8" s="132"/>
      <c r="R8" s="631">
        <v>1</v>
      </c>
      <c r="S8" s="598" t="e">
        <f>$K8</f>
        <v>#VALUE!</v>
      </c>
      <c r="T8" s="632"/>
      <c r="U8" s="486"/>
      <c r="V8" s="507"/>
      <c r="W8" s="509"/>
      <c r="X8" s="510"/>
      <c r="Y8" s="224" t="s">
        <v>65</v>
      </c>
      <c r="Z8" s="510"/>
      <c r="AA8" s="224" t="s">
        <v>65</v>
      </c>
      <c r="AB8" s="689"/>
      <c r="AC8" s="690" t="s">
        <v>22</v>
      </c>
      <c r="AD8" s="507"/>
      <c r="AE8" s="509"/>
      <c r="AF8" s="510"/>
      <c r="AG8" s="224" t="s">
        <v>65</v>
      </c>
      <c r="AH8" s="510"/>
      <c r="AI8" s="224" t="s">
        <v>65</v>
      </c>
      <c r="AJ8" s="571"/>
      <c r="AK8" s="511" t="s">
        <v>459</v>
      </c>
      <c r="AL8" s="57" t="e">
        <f>STRCHECKDATE(#REF!)</f>
        <v>#NAME?</v>
      </c>
      <c r="AM8" s="129"/>
      <c r="AN8" s="129" t="str">
        <f t="shared" si="31"/>
        <v/>
      </c>
      <c r="AO8" s="129"/>
      <c r="AP8" s="129"/>
      <c r="AQ8" s="50">
        <v>0</v>
      </c>
    </row>
    <row r="9" ht="11.25" hidden="1" customHeight="1">
      <c r="A9" s="264"/>
      <c r="B9" s="264"/>
      <c r="C9" s="264"/>
      <c r="D9" s="264"/>
      <c r="E9" s="576"/>
      <c r="F9" s="576"/>
      <c r="G9" s="576"/>
      <c r="H9" s="576"/>
      <c r="I9" s="73"/>
      <c r="J9" s="157"/>
      <c r="K9" s="264"/>
      <c r="L9" s="322"/>
      <c r="P9" s="132"/>
      <c r="Q9" s="132"/>
      <c r="R9" s="499"/>
      <c r="S9" s="515"/>
      <c r="T9" s="519" t="s">
        <v>463</v>
      </c>
      <c r="U9" s="214"/>
      <c r="V9" s="214"/>
      <c r="W9" s="214"/>
      <c r="X9" s="214"/>
      <c r="Y9" s="214"/>
      <c r="Z9" s="214"/>
      <c r="AA9" s="214"/>
      <c r="AB9" s="214"/>
      <c r="AC9" s="214"/>
      <c r="AD9" s="214"/>
      <c r="AE9" s="214"/>
      <c r="AF9" s="214"/>
      <c r="AG9" s="214"/>
      <c r="AH9" s="214"/>
      <c r="AI9" s="214"/>
      <c r="AJ9" s="517"/>
      <c r="AK9" s="518"/>
      <c r="AM9" s="129"/>
      <c r="AN9" s="129" t="str">
        <f t="shared" si="31"/>
        <v xml:space="preserve">Добавить строку</v>
      </c>
      <c r="AO9" s="129"/>
      <c r="AP9" s="129"/>
      <c r="AQ9" s="50">
        <v>0</v>
      </c>
    </row>
    <row r="10" s="57" customFormat="1" ht="0.75" hidden="1" customHeight="1">
      <c r="A10" s="577"/>
      <c r="B10" s="577"/>
      <c r="C10" s="577"/>
      <c r="D10" s="577"/>
      <c r="E10" s="576"/>
      <c r="F10" s="576"/>
      <c r="G10" s="576"/>
      <c r="H10" s="576"/>
      <c r="I10" s="157"/>
      <c r="J10" s="577"/>
      <c r="K10" s="577"/>
      <c r="L10" s="578"/>
      <c r="M10" s="563"/>
      <c r="N10" s="563"/>
      <c r="O10" s="563"/>
      <c r="P10" s="132"/>
      <c r="Q10" s="132"/>
      <c r="R10" s="499"/>
      <c r="S10" s="592"/>
      <c r="T10" s="593"/>
      <c r="U10" s="594"/>
      <c r="V10" s="594"/>
      <c r="W10" s="594"/>
      <c r="X10" s="594"/>
      <c r="Y10" s="594"/>
      <c r="Z10" s="594"/>
      <c r="AA10" s="594"/>
      <c r="AB10" s="594"/>
      <c r="AC10" s="594"/>
      <c r="AD10" s="594"/>
      <c r="AE10" s="594"/>
      <c r="AF10" s="594"/>
      <c r="AG10" s="594"/>
      <c r="AH10" s="594"/>
      <c r="AI10" s="594"/>
      <c r="AJ10" s="594"/>
      <c r="AK10" s="595"/>
      <c r="AM10" s="129"/>
      <c r="AN10" s="129" t="str">
        <f t="shared" ref="AN10:AN56" si="32">IF(T10="","",T10)</f>
        <v/>
      </c>
      <c r="AO10" s="129"/>
      <c r="AP10" s="129"/>
      <c r="AQ10" s="57">
        <v>0</v>
      </c>
    </row>
    <row r="11" s="57" customFormat="1" ht="0.75" hidden="1" customHeight="1">
      <c r="A11" s="577"/>
      <c r="B11" s="577"/>
      <c r="C11" s="577"/>
      <c r="D11" s="577"/>
      <c r="E11" s="576"/>
      <c r="F11" s="576"/>
      <c r="G11" s="576"/>
      <c r="H11" s="575"/>
      <c r="I11" s="577"/>
      <c r="J11" s="577"/>
      <c r="K11" s="577"/>
      <c r="L11" s="578"/>
      <c r="M11" s="579"/>
      <c r="N11" s="579"/>
      <c r="O11" s="131"/>
      <c r="P11" s="167"/>
      <c r="Q11" s="524"/>
      <c r="R11" s="646"/>
      <c r="S11" s="592"/>
      <c r="T11" s="593"/>
      <c r="U11" s="594"/>
      <c r="V11" s="594"/>
      <c r="W11" s="594"/>
      <c r="X11" s="594"/>
      <c r="Y11" s="594"/>
      <c r="Z11" s="594"/>
      <c r="AA11" s="594"/>
      <c r="AB11" s="594"/>
      <c r="AC11" s="594"/>
      <c r="AD11" s="594"/>
      <c r="AE11" s="594"/>
      <c r="AF11" s="594"/>
      <c r="AG11" s="594"/>
      <c r="AH11" s="594"/>
      <c r="AI11" s="594"/>
      <c r="AJ11" s="594"/>
      <c r="AK11" s="595"/>
      <c r="AM11" s="129"/>
      <c r="AN11" s="129" t="str">
        <f t="shared" si="32"/>
        <v/>
      </c>
      <c r="AO11" s="129"/>
      <c r="AP11" s="129"/>
      <c r="AQ11" s="57">
        <v>0</v>
      </c>
    </row>
    <row r="12" s="57" customFormat="1" ht="0.75" hidden="1" customHeight="1">
      <c r="A12" s="577"/>
      <c r="B12" s="577"/>
      <c r="C12" s="577"/>
      <c r="D12" s="577"/>
      <c r="E12" s="576"/>
      <c r="F12" s="576"/>
      <c r="G12" s="575"/>
      <c r="H12" s="577"/>
      <c r="I12" s="577"/>
      <c r="J12" s="577"/>
      <c r="K12" s="577"/>
      <c r="L12" s="578"/>
      <c r="M12" s="579"/>
      <c r="N12" s="579"/>
      <c r="O12" s="131"/>
      <c r="P12" s="167"/>
      <c r="Q12" s="524"/>
      <c r="R12" s="167"/>
      <c r="S12" s="529"/>
      <c r="T12" s="532" t="s">
        <v>409</v>
      </c>
      <c r="U12" s="531"/>
      <c r="V12" s="531"/>
      <c r="W12" s="531"/>
      <c r="X12" s="531"/>
      <c r="Y12" s="531"/>
      <c r="Z12" s="531"/>
      <c r="AA12" s="531"/>
      <c r="AB12" s="531"/>
      <c r="AC12" s="531"/>
      <c r="AD12" s="531"/>
      <c r="AE12" s="531"/>
      <c r="AF12" s="531"/>
      <c r="AG12" s="531"/>
      <c r="AH12" s="531"/>
      <c r="AI12" s="531"/>
      <c r="AJ12" s="531"/>
      <c r="AK12" s="531"/>
      <c r="AM12" s="129"/>
      <c r="AN12" s="129" t="str">
        <f t="shared" si="32"/>
        <v xml:space="preserve">Добавить источник для дифференциации</v>
      </c>
      <c r="AO12" s="129"/>
      <c r="AP12" s="129"/>
      <c r="AQ12" s="57">
        <v>0</v>
      </c>
    </row>
    <row r="13" s="57" customFormat="1" ht="0.75" hidden="1" customHeight="1">
      <c r="A13" s="577"/>
      <c r="B13" s="577"/>
      <c r="C13" s="577"/>
      <c r="D13" s="577"/>
      <c r="E13" s="576"/>
      <c r="F13" s="575"/>
      <c r="G13" s="577"/>
      <c r="H13" s="577"/>
      <c r="I13" s="577"/>
      <c r="J13" s="577"/>
      <c r="K13" s="577"/>
      <c r="L13" s="578"/>
      <c r="M13" s="580"/>
      <c r="N13" s="580"/>
      <c r="O13" s="131"/>
      <c r="P13" s="167"/>
      <c r="Q13" s="524"/>
      <c r="R13" s="167"/>
      <c r="S13" s="529"/>
      <c r="T13" s="532" t="s">
        <v>410</v>
      </c>
      <c r="U13" s="531"/>
      <c r="V13" s="531"/>
      <c r="W13" s="531"/>
      <c r="X13" s="531"/>
      <c r="Y13" s="531"/>
      <c r="Z13" s="531"/>
      <c r="AA13" s="531"/>
      <c r="AB13" s="531"/>
      <c r="AC13" s="531"/>
      <c r="AD13" s="531"/>
      <c r="AE13" s="531"/>
      <c r="AF13" s="531"/>
      <c r="AG13" s="531"/>
      <c r="AH13" s="531"/>
      <c r="AI13" s="531"/>
      <c r="AJ13" s="531"/>
      <c r="AK13" s="531"/>
      <c r="AM13" s="129"/>
      <c r="AN13" s="129" t="str">
        <f t="shared" si="32"/>
        <v xml:space="preserve">Добавить централизованную систему для дифференциации</v>
      </c>
      <c r="AO13" s="129"/>
      <c r="AP13" s="129"/>
      <c r="AQ13" s="57">
        <v>0</v>
      </c>
    </row>
    <row r="14" s="57" customFormat="1" ht="0.75" hidden="1" customHeight="1">
      <c r="A14" s="577"/>
      <c r="B14" s="577"/>
      <c r="C14" s="577"/>
      <c r="D14" s="577"/>
      <c r="E14" s="575"/>
      <c r="F14" s="577"/>
      <c r="G14" s="577"/>
      <c r="H14" s="577"/>
      <c r="I14" s="577"/>
      <c r="J14" s="577"/>
      <c r="K14" s="577"/>
      <c r="L14" s="578"/>
      <c r="M14" s="580"/>
      <c r="N14" s="580"/>
      <c r="O14" s="131"/>
      <c r="P14" s="167"/>
      <c r="Q14" s="524"/>
      <c r="R14" s="167"/>
      <c r="S14" s="529"/>
      <c r="T14" s="532" t="s">
        <v>411</v>
      </c>
      <c r="U14" s="531"/>
      <c r="V14" s="531"/>
      <c r="W14" s="531"/>
      <c r="X14" s="531"/>
      <c r="Y14" s="531"/>
      <c r="Z14" s="531"/>
      <c r="AA14" s="531"/>
      <c r="AB14" s="531"/>
      <c r="AC14" s="531"/>
      <c r="AD14" s="531"/>
      <c r="AE14" s="531"/>
      <c r="AF14" s="531"/>
      <c r="AG14" s="531"/>
      <c r="AH14" s="531"/>
      <c r="AI14" s="531"/>
      <c r="AJ14" s="531"/>
      <c r="AK14" s="531"/>
      <c r="AM14" s="129"/>
      <c r="AN14" s="129" t="str">
        <f t="shared" si="32"/>
        <v xml:space="preserve">Добавить территорию для дифференциации</v>
      </c>
      <c r="AO14" s="129"/>
      <c r="AP14" s="129"/>
      <c r="AQ14" s="57">
        <v>0</v>
      </c>
    </row>
    <row r="15" ht="14.25" hidden="1" customHeight="1">
      <c r="AQ15" s="50">
        <v>0</v>
      </c>
    </row>
    <row r="16" ht="14.25" hidden="1" customHeight="1">
      <c r="AC16" s="648"/>
      <c r="AD16" s="651"/>
      <c r="AE16" s="652"/>
      <c r="AF16" s="653"/>
      <c r="AG16" s="654" t="s">
        <v>65</v>
      </c>
      <c r="AH16" s="653"/>
      <c r="AI16" s="654" t="s">
        <v>65</v>
      </c>
      <c r="AQ16" s="50">
        <v>0</v>
      </c>
    </row>
    <row r="17" ht="14.25" hidden="1" customHeight="1">
      <c r="AL17" s="131"/>
      <c r="AM17" s="131"/>
      <c r="AN17" s="131"/>
      <c r="AO17" s="131"/>
      <c r="AP17" s="131"/>
      <c r="AQ17" s="50">
        <v>0</v>
      </c>
    </row>
    <row r="18" ht="14.25" hidden="1" customHeight="1">
      <c r="O18" s="581" t="s">
        <v>412</v>
      </c>
      <c r="X18" s="581"/>
      <c r="Z18" s="581"/>
      <c r="AF18" s="581"/>
      <c r="AH18" s="581"/>
      <c r="AL18" s="131"/>
      <c r="AM18" s="131"/>
      <c r="AN18" s="131"/>
      <c r="AO18" s="131"/>
      <c r="AP18" s="131"/>
      <c r="AQ18" s="50">
        <v>0</v>
      </c>
    </row>
    <row r="19" ht="14.25" hidden="1" customHeight="1">
      <c r="AL19" s="131"/>
      <c r="AM19" s="131"/>
      <c r="AN19" s="131"/>
      <c r="AO19" s="131"/>
      <c r="AP19" s="131"/>
      <c r="AQ19" s="50">
        <v>0</v>
      </c>
    </row>
    <row r="20" s="655" customFormat="1" ht="14.25" hidden="1" customHeight="1">
      <c r="A20" s="691"/>
      <c r="B20" s="691"/>
      <c r="C20" s="691"/>
      <c r="D20" s="691"/>
      <c r="E20" s="691"/>
      <c r="F20" s="691"/>
      <c r="G20" s="691"/>
      <c r="H20" s="691"/>
      <c r="I20" s="691"/>
      <c r="J20" s="691"/>
      <c r="K20" s="691"/>
      <c r="L20" s="691"/>
      <c r="M20" s="582"/>
      <c r="N20" s="582"/>
      <c r="O20" s="691" t="s">
        <v>413</v>
      </c>
      <c r="P20" s="656"/>
      <c r="Q20" s="657"/>
      <c r="R20" s="657"/>
      <c r="Y20" s="655" t="s">
        <v>415</v>
      </c>
      <c r="AA20" s="655" t="s">
        <v>416</v>
      </c>
      <c r="AC20" s="655" t="s">
        <v>465</v>
      </c>
      <c r="AG20" s="655" t="s">
        <v>415</v>
      </c>
      <c r="AI20" s="655" t="s">
        <v>416</v>
      </c>
      <c r="AL20" s="658"/>
      <c r="AM20" s="658"/>
      <c r="AN20" s="658"/>
      <c r="AO20" s="658"/>
      <c r="AP20" s="658"/>
      <c r="AQ20" s="655">
        <v>0</v>
      </c>
    </row>
    <row r="21" ht="14.25" hidden="1" customHeight="1">
      <c r="O21" s="322"/>
      <c r="AL21" s="131"/>
      <c r="AM21" s="131"/>
      <c r="AN21" s="131"/>
      <c r="AO21" s="131"/>
      <c r="AP21" s="131"/>
      <c r="AQ21" s="50">
        <v>0</v>
      </c>
    </row>
    <row r="22" ht="14.25" hidden="1" customHeight="1">
      <c r="O22" s="322"/>
      <c r="AL22" s="131"/>
      <c r="AM22" s="131"/>
      <c r="AN22" s="131"/>
      <c r="AO22" s="131"/>
      <c r="AP22" s="131"/>
      <c r="AQ22" s="50">
        <v>0</v>
      </c>
    </row>
    <row r="23" ht="14.65" customHeight="1">
      <c r="Q23" s="659"/>
      <c r="R23" s="539"/>
      <c r="S23" s="540"/>
      <c r="T23" s="91"/>
      <c r="U23" s="91"/>
      <c r="V23" s="50"/>
      <c r="W23" s="50"/>
      <c r="X23" s="50"/>
      <c r="Y23" s="50"/>
      <c r="Z23" s="50"/>
      <c r="AA23" s="50"/>
      <c r="AB23" s="50"/>
      <c r="AC23" s="50"/>
      <c r="AD23" s="50"/>
      <c r="AE23" s="50"/>
      <c r="AF23" s="50"/>
      <c r="AG23" s="50"/>
      <c r="AH23" s="50"/>
      <c r="AI23" s="50"/>
      <c r="AQ23" s="50">
        <v>14</v>
      </c>
    </row>
    <row r="24" ht="39.75" customHeight="1">
      <c r="Q24" s="659"/>
      <c r="R24" s="539"/>
      <c r="S24" s="452"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52"/>
      <c r="U24" s="452"/>
      <c r="V24" s="452"/>
      <c r="W24" s="452"/>
      <c r="X24" s="452"/>
      <c r="Y24" s="452"/>
      <c r="Z24" s="452"/>
      <c r="AA24" s="452"/>
      <c r="AB24" s="452"/>
      <c r="AC24" s="452"/>
      <c r="AD24" s="452"/>
      <c r="AE24" s="452"/>
      <c r="AF24" s="452"/>
      <c r="AG24" s="452"/>
      <c r="AH24" s="452"/>
      <c r="AI24" s="240"/>
      <c r="AQ24" s="50">
        <v>38</v>
      </c>
    </row>
    <row r="25" ht="14.65" customHeight="1">
      <c r="Q25" s="65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65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07"/>
      <c r="B27" s="107"/>
      <c r="C27" s="107"/>
      <c r="D27" s="107"/>
      <c r="E27" s="107"/>
      <c r="F27" s="107"/>
      <c r="G27" s="107"/>
      <c r="H27" s="107"/>
      <c r="I27" s="107"/>
      <c r="J27" s="107"/>
      <c r="K27" s="107"/>
      <c r="L27" s="322"/>
      <c r="M27" s="107"/>
      <c r="N27" s="107"/>
      <c r="O27" s="107"/>
      <c r="P27" s="151"/>
      <c r="Q27" s="151"/>
      <c r="S27" s="542" t="s">
        <v>41</v>
      </c>
      <c r="T27" s="542"/>
      <c r="U27" s="543"/>
      <c r="V27" s="544" t="str">
        <f>IF(TITLE_NAME_OR_PR_CHANGE="",IF(TITLE_NAME_OR_PR="","",TITLE_NAME_OR_PR),TITLE_NAME_OR_PR_CHANGE)</f>
        <v/>
      </c>
      <c r="W27" s="544"/>
      <c r="X27" s="544"/>
      <c r="Y27" s="544"/>
      <c r="Z27" s="544"/>
      <c r="AA27" s="50"/>
      <c r="AB27" s="50"/>
      <c r="AC27" s="544"/>
      <c r="AD27" s="544"/>
      <c r="AE27" s="544"/>
      <c r="AF27" s="544"/>
      <c r="AG27" s="544"/>
      <c r="AH27" s="544"/>
      <c r="AI27" s="50"/>
      <c r="AJ27" s="50"/>
      <c r="AK27" s="545"/>
      <c r="AL27" s="129"/>
      <c r="AM27" s="129"/>
      <c r="AN27" s="129"/>
      <c r="AO27" s="129"/>
      <c r="AP27" s="129"/>
      <c r="AQ27" s="184">
        <v>0</v>
      </c>
    </row>
    <row r="28" s="184" customFormat="1" ht="18.75" hidden="1" customHeight="1">
      <c r="A28" s="107"/>
      <c r="B28" s="107"/>
      <c r="C28" s="107"/>
      <c r="D28" s="107"/>
      <c r="E28" s="107"/>
      <c r="F28" s="107"/>
      <c r="G28" s="107"/>
      <c r="H28" s="107"/>
      <c r="I28" s="107"/>
      <c r="J28" s="107"/>
      <c r="K28" s="107"/>
      <c r="L28" s="322"/>
      <c r="M28" s="107"/>
      <c r="N28" s="107"/>
      <c r="O28" s="107"/>
      <c r="P28" s="151"/>
      <c r="Q28" s="151"/>
      <c r="S28" s="542" t="s">
        <v>418</v>
      </c>
      <c r="T28" s="542"/>
      <c r="U28" s="543"/>
      <c r="V28" s="546" t="str">
        <f>IF(TITLE_DATE_PR_CHANGE="",IF(TITLE_DATE_PR="","",TITLE_DATE_PR),TITLE_DATE_PR_CHANGE)</f>
        <v/>
      </c>
      <c r="W28" s="546"/>
      <c r="X28" s="546"/>
      <c r="Y28" s="546"/>
      <c r="Z28" s="546"/>
      <c r="AA28" s="50"/>
      <c r="AB28" s="50"/>
      <c r="AC28" s="546"/>
      <c r="AD28" s="546"/>
      <c r="AE28" s="546"/>
      <c r="AF28" s="546"/>
      <c r="AG28" s="546"/>
      <c r="AH28" s="546"/>
      <c r="AI28" s="50"/>
      <c r="AJ28" s="50"/>
      <c r="AK28" s="545"/>
      <c r="AL28" s="129"/>
      <c r="AM28" s="129"/>
      <c r="AN28" s="129"/>
      <c r="AO28" s="129"/>
      <c r="AP28" s="129"/>
      <c r="AQ28" s="184">
        <v>0</v>
      </c>
    </row>
    <row r="29" s="184" customFormat="1" ht="18.75" hidden="1" customHeight="1">
      <c r="A29" s="107"/>
      <c r="B29" s="107"/>
      <c r="C29" s="107"/>
      <c r="D29" s="107"/>
      <c r="E29" s="107"/>
      <c r="F29" s="107"/>
      <c r="G29" s="107"/>
      <c r="H29" s="107"/>
      <c r="I29" s="107"/>
      <c r="J29" s="107"/>
      <c r="K29" s="107"/>
      <c r="L29" s="322"/>
      <c r="M29" s="107"/>
      <c r="N29" s="107"/>
      <c r="O29" s="107"/>
      <c r="P29" s="151"/>
      <c r="Q29" s="151"/>
      <c r="S29" s="542" t="s">
        <v>419</v>
      </c>
      <c r="T29" s="542"/>
      <c r="U29" s="543"/>
      <c r="V29" s="544" t="str">
        <f>IF(TITLE_NUMBER_PR_CHANGE="",IF(TITLE_NUMBER_PR="","",TITLE_NUMBER_PR),TITLE_NUMBER_PR_CHANGE)</f>
        <v/>
      </c>
      <c r="W29" s="544"/>
      <c r="X29" s="544"/>
      <c r="Y29" s="544"/>
      <c r="Z29" s="544"/>
      <c r="AA29" s="50"/>
      <c r="AB29" s="50"/>
      <c r="AC29" s="544"/>
      <c r="AD29" s="544"/>
      <c r="AE29" s="544"/>
      <c r="AF29" s="544"/>
      <c r="AG29" s="544"/>
      <c r="AH29" s="544"/>
      <c r="AI29" s="50"/>
      <c r="AJ29" s="50"/>
      <c r="AK29" s="545"/>
      <c r="AL29" s="129"/>
      <c r="AM29" s="129"/>
      <c r="AN29" s="129"/>
      <c r="AO29" s="129"/>
      <c r="AP29" s="129"/>
      <c r="AQ29" s="184">
        <v>0</v>
      </c>
    </row>
    <row r="30" s="184" customFormat="1" ht="18.75" hidden="1" customHeight="1">
      <c r="A30" s="107"/>
      <c r="B30" s="107"/>
      <c r="C30" s="107"/>
      <c r="D30" s="107"/>
      <c r="E30" s="107"/>
      <c r="F30" s="107"/>
      <c r="G30" s="107"/>
      <c r="H30" s="107"/>
      <c r="I30" s="107"/>
      <c r="J30" s="107"/>
      <c r="K30" s="107"/>
      <c r="L30" s="322"/>
      <c r="M30" s="107"/>
      <c r="N30" s="107"/>
      <c r="O30" s="107"/>
      <c r="P30" s="151"/>
      <c r="Q30" s="151"/>
      <c r="S30" s="542" t="s">
        <v>42</v>
      </c>
      <c r="T30" s="542"/>
      <c r="U30" s="543"/>
      <c r="V30" s="544" t="str">
        <f>IF(TITLE_IST_PUB_CHANGE="",IF(TITLE_IST_PUB="","",TITLE_IST_PUB),TITLE_IST_PUB_CHANGE)</f>
        <v/>
      </c>
      <c r="W30" s="544"/>
      <c r="X30" s="544"/>
      <c r="Y30" s="544"/>
      <c r="Z30" s="544"/>
      <c r="AA30" s="50"/>
      <c r="AB30" s="50"/>
      <c r="AC30" s="544"/>
      <c r="AD30" s="544"/>
      <c r="AE30" s="544"/>
      <c r="AF30" s="544"/>
      <c r="AG30" s="544"/>
      <c r="AH30" s="544"/>
      <c r="AI30" s="50"/>
      <c r="AJ30" s="50"/>
      <c r="AK30" s="545"/>
      <c r="AL30" s="129"/>
      <c r="AM30" s="129"/>
      <c r="AN30" s="129"/>
      <c r="AO30" s="129"/>
      <c r="AP30" s="129"/>
      <c r="AQ30" s="184">
        <v>0</v>
      </c>
    </row>
    <row r="31" ht="14.25" hidden="1" customHeight="1">
      <c r="Q31" s="65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07"/>
      <c r="B32" s="107"/>
      <c r="C32" s="107"/>
      <c r="D32" s="107"/>
      <c r="E32" s="107"/>
      <c r="F32" s="107"/>
      <c r="G32" s="107"/>
      <c r="H32" s="107"/>
      <c r="I32" s="107"/>
      <c r="J32" s="107"/>
      <c r="K32" s="107"/>
      <c r="L32" s="322"/>
      <c r="M32" s="107"/>
      <c r="N32" s="107"/>
      <c r="O32" s="107"/>
      <c r="P32" s="151"/>
      <c r="Q32" s="151"/>
      <c r="S32" s="542" t="s">
        <v>418</v>
      </c>
      <c r="T32" s="542"/>
      <c r="U32" s="543"/>
      <c r="V32" s="546" t="str">
        <f>IF(TITLE_DATE_PR_CHANGE="",IF(TITLE_DATE_PR="","",TITLE_DATE_PR),TITLE_DATE_PR_CHANGE)</f>
        <v/>
      </c>
      <c r="W32" s="546"/>
      <c r="X32" s="546"/>
      <c r="Y32" s="546"/>
      <c r="Z32" s="546"/>
      <c r="AA32" s="50"/>
      <c r="AB32" s="50"/>
      <c r="AC32" s="546"/>
      <c r="AD32" s="546"/>
      <c r="AE32" s="546"/>
      <c r="AF32" s="546"/>
      <c r="AG32" s="546"/>
      <c r="AH32" s="546"/>
      <c r="AI32" s="50"/>
      <c r="AJ32" s="50"/>
      <c r="AK32" s="545"/>
      <c r="AL32" s="129"/>
      <c r="AM32" s="129"/>
      <c r="AN32" s="129"/>
      <c r="AO32" s="129"/>
      <c r="AP32" s="129"/>
      <c r="AQ32" s="184">
        <v>0</v>
      </c>
    </row>
    <row r="33" s="184" customFormat="1" ht="18" hidden="1" customHeight="1">
      <c r="A33" s="107"/>
      <c r="B33" s="107"/>
      <c r="C33" s="107"/>
      <c r="D33" s="107"/>
      <c r="E33" s="107"/>
      <c r="F33" s="107"/>
      <c r="G33" s="107"/>
      <c r="H33" s="107"/>
      <c r="I33" s="107"/>
      <c r="J33" s="107"/>
      <c r="K33" s="107"/>
      <c r="L33" s="322"/>
      <c r="M33" s="107"/>
      <c r="N33" s="107"/>
      <c r="O33" s="107"/>
      <c r="P33" s="151"/>
      <c r="Q33" s="151"/>
      <c r="S33" s="542" t="s">
        <v>419</v>
      </c>
      <c r="T33" s="542"/>
      <c r="U33" s="543"/>
      <c r="V33" s="544" t="str">
        <f>IF(TITLE_NUMBER_PR_CHANGE="",IF(TITLE_NUMBER_PR="","",TITLE_NUMBER_PR),TITLE_NUMBER_PR_CHANGE)</f>
        <v/>
      </c>
      <c r="W33" s="544"/>
      <c r="X33" s="544"/>
      <c r="Y33" s="544"/>
      <c r="Z33" s="544"/>
      <c r="AA33" s="50"/>
      <c r="AB33" s="50"/>
      <c r="AC33" s="544"/>
      <c r="AD33" s="544"/>
      <c r="AE33" s="544"/>
      <c r="AF33" s="544"/>
      <c r="AG33" s="544"/>
      <c r="AH33" s="544"/>
      <c r="AI33" s="50"/>
      <c r="AJ33" s="50"/>
      <c r="AK33" s="545"/>
      <c r="AL33" s="129"/>
      <c r="AM33" s="129"/>
      <c r="AN33" s="129"/>
      <c r="AO33" s="129"/>
      <c r="AP33" s="129"/>
      <c r="AQ33" s="184">
        <v>0</v>
      </c>
    </row>
    <row r="34" s="184" customFormat="1" ht="1.05" customHeight="1">
      <c r="A34" s="107"/>
      <c r="B34" s="107"/>
      <c r="C34" s="107"/>
      <c r="D34" s="107"/>
      <c r="E34" s="107"/>
      <c r="F34" s="107"/>
      <c r="G34" s="107"/>
      <c r="H34" s="107"/>
      <c r="I34" s="107"/>
      <c r="J34" s="107"/>
      <c r="K34" s="107"/>
      <c r="L34" s="322"/>
      <c r="M34" s="107"/>
      <c r="N34" s="107"/>
      <c r="O34" s="107"/>
      <c r="P34" s="151"/>
      <c r="Q34" s="151"/>
      <c r="S34" s="50"/>
      <c r="T34" s="50"/>
      <c r="U34" s="140"/>
      <c r="V34" s="50"/>
      <c r="W34" s="50"/>
      <c r="X34" s="50"/>
      <c r="Y34" s="50"/>
      <c r="Z34" s="50"/>
      <c r="AA34" s="57" t="s">
        <v>422</v>
      </c>
      <c r="AB34" s="57"/>
      <c r="AC34" s="50"/>
      <c r="AD34" s="50"/>
      <c r="AE34" s="50"/>
      <c r="AF34" s="50"/>
      <c r="AG34" s="50"/>
      <c r="AH34" s="50"/>
      <c r="AI34" s="57" t="s">
        <v>422</v>
      </c>
      <c r="AL34" s="129"/>
      <c r="AM34" s="129"/>
      <c r="AN34" s="129"/>
      <c r="AO34" s="129"/>
      <c r="AP34" s="129"/>
      <c r="AQ34" s="184">
        <v>1</v>
      </c>
    </row>
    <row r="35" ht="14.65" customHeight="1">
      <c r="Q35" s="65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659"/>
      <c r="R36" s="539"/>
      <c r="S36" s="157" t="s">
        <v>295</v>
      </c>
      <c r="T36" s="157"/>
      <c r="U36" s="157"/>
      <c r="V36" s="157"/>
      <c r="W36" s="157"/>
      <c r="X36" s="157"/>
      <c r="Y36" s="157"/>
      <c r="Z36" s="157"/>
      <c r="AA36" s="307"/>
      <c r="AB36" s="307"/>
      <c r="AC36" s="307"/>
      <c r="AD36" s="157"/>
      <c r="AE36" s="157"/>
      <c r="AF36" s="157"/>
      <c r="AG36" s="157"/>
      <c r="AH36" s="157"/>
      <c r="AI36" s="157"/>
      <c r="AJ36" s="157"/>
      <c r="AK36" s="157" t="s">
        <v>296</v>
      </c>
      <c r="AQ36" s="50">
        <v>14</v>
      </c>
    </row>
    <row r="37" ht="14.65" customHeight="1">
      <c r="Q37" s="659"/>
      <c r="R37" s="539"/>
      <c r="S37" s="484" t="s">
        <v>88</v>
      </c>
      <c r="T37" s="347" t="s">
        <v>494</v>
      </c>
      <c r="U37" s="549"/>
      <c r="V37" s="551"/>
      <c r="W37" s="551"/>
      <c r="X37" s="551"/>
      <c r="Y37" s="551"/>
      <c r="Z37" s="551"/>
      <c r="AA37" s="347" t="s">
        <v>425</v>
      </c>
      <c r="AB37" s="346" t="s">
        <v>495</v>
      </c>
      <c r="AC37" s="346" t="s">
        <v>469</v>
      </c>
      <c r="AD37" s="584" t="s">
        <v>424</v>
      </c>
      <c r="AE37" s="584"/>
      <c r="AF37" s="551"/>
      <c r="AG37" s="551"/>
      <c r="AH37" s="552"/>
      <c r="AI37" s="553" t="s">
        <v>425</v>
      </c>
      <c r="AJ37" s="554" t="s">
        <v>427</v>
      </c>
      <c r="AK37" s="157"/>
      <c r="AQ37" s="50">
        <v>14</v>
      </c>
    </row>
    <row r="38" ht="35.649999999999999" customHeight="1">
      <c r="Q38" s="659"/>
      <c r="R38" s="539"/>
      <c r="S38" s="484"/>
      <c r="T38" s="347"/>
      <c r="U38" s="555"/>
      <c r="V38" s="72" t="s">
        <v>472</v>
      </c>
      <c r="W38" s="157"/>
      <c r="X38" s="304" t="s">
        <v>431</v>
      </c>
      <c r="Y38" s="626"/>
      <c r="Z38" s="626"/>
      <c r="AA38" s="347"/>
      <c r="AB38" s="346"/>
      <c r="AC38" s="346"/>
      <c r="AD38" s="72" t="s">
        <v>472</v>
      </c>
      <c r="AE38" s="157"/>
      <c r="AF38" s="626" t="s">
        <v>431</v>
      </c>
      <c r="AG38" s="626"/>
      <c r="AH38" s="305"/>
      <c r="AI38" s="557"/>
      <c r="AJ38" s="558"/>
      <c r="AK38" s="157"/>
      <c r="AQ38" s="50">
        <v>34</v>
      </c>
    </row>
    <row r="39" ht="14.65" customHeight="1">
      <c r="Q39" s="659"/>
      <c r="R39" s="539"/>
      <c r="S39" s="484"/>
      <c r="T39" s="347"/>
      <c r="U39" s="555"/>
      <c r="V39" s="667" t="str">
        <f>IF($AD$39&lt;&gt;"",$AD$39,"")</f>
        <v/>
      </c>
      <c r="W39" s="667"/>
      <c r="X39" s="310"/>
      <c r="Y39" s="627"/>
      <c r="Z39" s="627"/>
      <c r="AA39" s="347"/>
      <c r="AB39" s="346"/>
      <c r="AC39" s="346"/>
      <c r="AD39" s="692"/>
      <c r="AE39" s="668"/>
      <c r="AF39" s="627"/>
      <c r="AG39" s="627"/>
      <c r="AH39" s="311"/>
      <c r="AI39" s="557"/>
      <c r="AJ39" s="558"/>
      <c r="AK39" s="157"/>
      <c r="AQ39" s="50">
        <v>14</v>
      </c>
    </row>
    <row r="40" ht="14.65" customHeight="1">
      <c r="A40" s="107"/>
      <c r="B40" s="107" t="s">
        <v>132</v>
      </c>
      <c r="C40" s="107" t="s">
        <v>133</v>
      </c>
      <c r="D40" s="107" t="s">
        <v>134</v>
      </c>
      <c r="E40" s="322" t="s">
        <v>432</v>
      </c>
      <c r="F40" s="322" t="s">
        <v>433</v>
      </c>
      <c r="G40" s="322" t="s">
        <v>434</v>
      </c>
      <c r="H40" s="322" t="s">
        <v>435</v>
      </c>
      <c r="I40" s="322" t="s">
        <v>436</v>
      </c>
      <c r="J40" s="322" t="s">
        <v>437</v>
      </c>
      <c r="K40" s="322" t="s">
        <v>438</v>
      </c>
      <c r="L40" s="322" t="s">
        <v>413</v>
      </c>
      <c r="Q40" s="659"/>
      <c r="R40" s="539"/>
      <c r="S40" s="484"/>
      <c r="T40" s="347"/>
      <c r="U40" s="559"/>
      <c r="V40" s="347" t="s">
        <v>473</v>
      </c>
      <c r="W40" s="347" t="s">
        <v>474</v>
      </c>
      <c r="X40" s="246" t="s">
        <v>441</v>
      </c>
      <c r="Y40" s="415" t="s">
        <v>442</v>
      </c>
      <c r="Z40" s="416"/>
      <c r="AA40" s="347"/>
      <c r="AB40" s="346"/>
      <c r="AC40" s="346"/>
      <c r="AD40" s="693" t="s">
        <v>473</v>
      </c>
      <c r="AE40" s="561" t="s">
        <v>474</v>
      </c>
      <c r="AF40" s="246" t="s">
        <v>441</v>
      </c>
      <c r="AG40" s="415" t="s">
        <v>442</v>
      </c>
      <c r="AH40" s="417"/>
      <c r="AI40" s="561"/>
      <c r="AJ40" s="562"/>
      <c r="AK40" s="157"/>
      <c r="AQ40" s="50">
        <v>14</v>
      </c>
    </row>
    <row r="41" s="131" customFormat="1" ht="11.25" hidden="1" customHeight="1">
      <c r="A41" s="107"/>
      <c r="B41" s="107"/>
      <c r="C41" s="107"/>
      <c r="D41" s="107"/>
      <c r="E41" s="107"/>
      <c r="F41" s="107"/>
      <c r="G41" s="107"/>
      <c r="H41" s="107"/>
      <c r="I41" s="107"/>
      <c r="J41" s="107"/>
      <c r="K41" s="107"/>
      <c r="L41" s="322"/>
      <c r="M41" s="60"/>
      <c r="N41" s="60"/>
      <c r="O41" s="60"/>
      <c r="P41" s="596"/>
      <c r="Q41" s="565"/>
      <c r="R41" s="565">
        <v>1</v>
      </c>
      <c r="S41" s="566" t="s">
        <v>106</v>
      </c>
      <c r="T41" s="567" t="s">
        <v>107</v>
      </c>
      <c r="U41" s="568" t="str">
        <f ca="1">OFFSET(U41,0,-1)</f>
        <v>2</v>
      </c>
      <c r="V41" s="569">
        <f ca="1">OFFSET(V41,0,-1)+1</f>
        <v>3</v>
      </c>
      <c r="W41" s="569">
        <f ca="1">OFFSET(W41,0,-1)+1</f>
        <v>4</v>
      </c>
      <c r="X41" s="569">
        <f ca="1">OFFSET(X41,0,-1)+1</f>
        <v>5</v>
      </c>
      <c r="Y41" s="569">
        <f ca="1">OFFSET(Y41,0,-1)+1</f>
        <v>6</v>
      </c>
      <c r="Z41" s="569"/>
      <c r="AA41" s="426">
        <f ca="1">OFFSET(AA41,0,-2)+1</f>
        <v>7</v>
      </c>
      <c r="AB41" s="426"/>
      <c r="AC41" s="426"/>
      <c r="AD41" s="569">
        <f ca="1">OFFSET(AD41,0,-1)+1</f>
        <v>1</v>
      </c>
      <c r="AE41" s="569">
        <f ca="1">OFFSET(AE41,0,-1)+1</f>
        <v>2</v>
      </c>
      <c r="AF41" s="569">
        <f ca="1">OFFSET(AF41,0,-1)+1</f>
        <v>3</v>
      </c>
      <c r="AG41" s="569">
        <f ca="1">OFFSET(AG41,0,-1)+1</f>
        <v>4</v>
      </c>
      <c r="AH41" s="569"/>
      <c r="AI41" s="569">
        <f ca="1">OFFSET(AI41,0,-2)+1</f>
        <v>5</v>
      </c>
      <c r="AJ41" s="568">
        <f ca="1">OFFSET(AJ41,0,-1)</f>
        <v>5</v>
      </c>
      <c r="AK41" s="569">
        <f ca="1">OFFSET(AK41,0,-1)+1</f>
        <v>6</v>
      </c>
      <c r="AL41" s="57"/>
      <c r="AM41" s="57"/>
      <c r="AN41" s="57"/>
      <c r="AO41" s="57"/>
      <c r="AP41" s="57"/>
      <c r="AQ41" s="131">
        <v>0</v>
      </c>
    </row>
    <row r="42" ht="107.25" customHeight="1">
      <c r="A42" s="264" t="s">
        <v>201</v>
      </c>
      <c r="B42" s="264"/>
      <c r="C42" s="264"/>
      <c r="D42" s="264"/>
      <c r="E42" s="575">
        <v>1</v>
      </c>
      <c r="F42" s="264"/>
      <c r="G42" s="264"/>
      <c r="H42" s="264"/>
      <c r="I42" s="264"/>
      <c r="J42" s="264"/>
      <c r="K42" s="264"/>
      <c r="L42" s="322"/>
      <c r="M42" s="86"/>
      <c r="N42" s="86"/>
      <c r="O42" s="86"/>
      <c r="P42" s="61"/>
      <c r="Q42" s="64"/>
      <c r="R42" s="483"/>
      <c r="S42" s="484">
        <f>INDEX(PT_DIFFERENTIATION_NUM_NTAR,MATCH(A42,PT_DIFFERENTIATION_NTAR_ID,0))</f>
        <v>0</v>
      </c>
      <c r="T42" s="485" t="s">
        <v>120</v>
      </c>
      <c r="U42" s="486"/>
      <c r="V42" s="488"/>
      <c r="W42" s="488"/>
      <c r="X42" s="488"/>
      <c r="Y42" s="488"/>
      <c r="Z42" s="488"/>
      <c r="AA42" s="489"/>
      <c r="AB42" s="488"/>
      <c r="AC42" s="488" t="str">
        <f>INDEX(PT_DIFFERENTIATION_NTAR,MATCH(A42,PT_DIFFERENTIATION_NTAR_ID,0))</f>
        <v/>
      </c>
      <c r="AD42" s="488"/>
      <c r="AE42" s="488"/>
      <c r="AF42" s="488"/>
      <c r="AG42" s="488"/>
      <c r="AH42" s="488"/>
      <c r="AI42" s="488"/>
      <c r="AJ42" s="489"/>
      <c r="AK42" s="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9"/>
      <c r="AN42" s="129" t="str">
        <f t="shared" si="32"/>
        <v xml:space="preserve">Наименование тарифа</v>
      </c>
      <c r="AO42" s="129"/>
      <c r="AP42" s="129"/>
      <c r="AQ42" s="50">
        <v>102</v>
      </c>
    </row>
    <row r="43" ht="22" customHeight="1">
      <c r="A43" s="264" t="s">
        <v>201</v>
      </c>
      <c r="B43" s="264" t="s">
        <v>202</v>
      </c>
      <c r="C43" s="264"/>
      <c r="D43" s="264"/>
      <c r="E43" s="576"/>
      <c r="F43" s="575">
        <v>1</v>
      </c>
      <c r="G43" s="264"/>
      <c r="H43" s="264"/>
      <c r="I43" s="264"/>
      <c r="J43" s="264"/>
      <c r="K43" s="264"/>
      <c r="L43" s="322"/>
      <c r="M43" s="86"/>
      <c r="N43" s="86"/>
      <c r="O43" s="86"/>
      <c r="P43" s="114"/>
      <c r="Q43" s="629"/>
      <c r="R43" s="493"/>
      <c r="S43" s="484" t="str">
        <f>INDEX(PT_DIFFERENTIATION_NUM_TER,MATCH(B43,PT_DIFFERENTIATION_TER_ID,0))</f>
        <v>.</v>
      </c>
      <c r="T43" s="494" t="s">
        <v>392</v>
      </c>
      <c r="U43" s="486"/>
      <c r="V43" s="488"/>
      <c r="W43" s="488"/>
      <c r="X43" s="488"/>
      <c r="Y43" s="488"/>
      <c r="Z43" s="488"/>
      <c r="AA43" s="489"/>
      <c r="AB43" s="488"/>
      <c r="AC43" s="488" t="str">
        <f>INDEX(PT_DIFFERENTIATION_TER,MATCH(B43,PT_DIFFERENTIATION_TER_ID,0))</f>
        <v/>
      </c>
      <c r="AD43" s="488"/>
      <c r="AE43" s="488"/>
      <c r="AF43" s="488"/>
      <c r="AG43" s="488"/>
      <c r="AH43" s="488"/>
      <c r="AI43" s="488"/>
      <c r="AJ43" s="489"/>
      <c r="AK43" s="490" t="s">
        <v>393</v>
      </c>
      <c r="AM43" s="129"/>
      <c r="AN43" s="129" t="str">
        <f t="shared" si="32"/>
        <v xml:space="preserve">Территория действия тарифа</v>
      </c>
      <c r="AO43" s="129"/>
      <c r="AP43" s="129"/>
      <c r="AQ43" s="50">
        <v>21</v>
      </c>
    </row>
    <row r="44" ht="24" customHeight="1">
      <c r="A44" s="264" t="s">
        <v>201</v>
      </c>
      <c r="B44" s="264" t="s">
        <v>202</v>
      </c>
      <c r="C44" s="264" t="s">
        <v>203</v>
      </c>
      <c r="D44" s="264"/>
      <c r="E44" s="576"/>
      <c r="F44" s="576"/>
      <c r="G44" s="575">
        <v>1</v>
      </c>
      <c r="H44" s="264"/>
      <c r="I44" s="264"/>
      <c r="J44" s="264"/>
      <c r="K44" s="264"/>
      <c r="L44" s="322"/>
      <c r="M44" s="86"/>
      <c r="N44" s="86"/>
      <c r="O44" s="86"/>
      <c r="P44" s="135"/>
      <c r="Q44" s="629"/>
      <c r="R44" s="493"/>
      <c r="S44" s="484" t="str">
        <f>INDEX(PT_DIFFERENTIATION_NUM_CS,MATCH(C44,PT_DIFFERENTIATION_CS_ID,0))</f>
        <v>..</v>
      </c>
      <c r="T44" s="496" t="s">
        <v>394</v>
      </c>
      <c r="U44" s="486"/>
      <c r="V44" s="488"/>
      <c r="W44" s="488"/>
      <c r="X44" s="488"/>
      <c r="Y44" s="488"/>
      <c r="Z44" s="488"/>
      <c r="AA44" s="489"/>
      <c r="AB44" s="488"/>
      <c r="AC44" s="488" t="str">
        <f>INDEX(PT_DIFFERENTIATION_CS,MATCH(C44,PT_DIFFERENTIATION_CS_ID,0))</f>
        <v/>
      </c>
      <c r="AD44" s="488"/>
      <c r="AE44" s="488"/>
      <c r="AF44" s="488"/>
      <c r="AG44" s="488"/>
      <c r="AH44" s="488"/>
      <c r="AI44" s="488"/>
      <c r="AJ44" s="489"/>
      <c r="AK44" s="490" t="s">
        <v>395</v>
      </c>
      <c r="AM44" s="129"/>
      <c r="AN44" s="129" t="str">
        <f t="shared" si="32"/>
        <v xml:space="preserve">Наименование системы теплоснабжения </v>
      </c>
      <c r="AO44" s="129"/>
      <c r="AP44" s="129"/>
      <c r="AQ44" s="50">
        <v>23</v>
      </c>
    </row>
    <row r="45" ht="22" customHeight="1">
      <c r="A45" s="264" t="s">
        <v>201</v>
      </c>
      <c r="B45" s="264" t="s">
        <v>202</v>
      </c>
      <c r="C45" s="264" t="s">
        <v>203</v>
      </c>
      <c r="D45" s="264" t="s">
        <v>204</v>
      </c>
      <c r="E45" s="576"/>
      <c r="F45" s="576"/>
      <c r="G45" s="576"/>
      <c r="H45" s="575">
        <v>1</v>
      </c>
      <c r="I45" s="264"/>
      <c r="J45" s="264"/>
      <c r="K45" s="264"/>
      <c r="L45" s="322"/>
      <c r="M45" s="86"/>
      <c r="N45" s="86"/>
      <c r="O45" s="86"/>
      <c r="P45" s="135"/>
      <c r="Q45" s="629"/>
      <c r="R45" s="493"/>
      <c r="S45" s="484" t="str">
        <f>INDEX(PT_DIFFERENTIATION_NUM_IST_TE,MATCH(D45,PT_DIFFERENTIATION_IST_TE_ID,0))</f>
        <v>...</v>
      </c>
      <c r="T45" s="497" t="s">
        <v>396</v>
      </c>
      <c r="U45" s="486"/>
      <c r="V45" s="488"/>
      <c r="W45" s="488"/>
      <c r="X45" s="488"/>
      <c r="Y45" s="488"/>
      <c r="Z45" s="488"/>
      <c r="AA45" s="489"/>
      <c r="AB45" s="488"/>
      <c r="AC45" s="488" t="str">
        <f>INDEX(PT_DIFFERENTIATION_IST_TE,MATCH(D45,PT_DIFFERENTIATION_IST_TE_ID,0))</f>
        <v/>
      </c>
      <c r="AD45" s="488"/>
      <c r="AE45" s="488"/>
      <c r="AF45" s="488"/>
      <c r="AG45" s="488"/>
      <c r="AH45" s="488"/>
      <c r="AI45" s="488"/>
      <c r="AJ45" s="489"/>
      <c r="AK45" s="490" t="s">
        <v>397</v>
      </c>
      <c r="AM45" s="129"/>
      <c r="AN45" s="129" t="str">
        <f t="shared" si="32"/>
        <v xml:space="preserve">Источник тепловой энергии  </v>
      </c>
      <c r="AO45" s="129"/>
      <c r="AP45" s="129"/>
      <c r="AQ45" s="50">
        <v>21</v>
      </c>
    </row>
    <row r="46" s="57" customFormat="1" ht="0" customHeight="1">
      <c r="A46" s="577" t="s">
        <v>201</v>
      </c>
      <c r="B46" s="577" t="s">
        <v>202</v>
      </c>
      <c r="C46" s="577" t="s">
        <v>203</v>
      </c>
      <c r="D46" s="577" t="s">
        <v>204</v>
      </c>
      <c r="E46" s="576"/>
      <c r="F46" s="576"/>
      <c r="G46" s="576"/>
      <c r="H46" s="576"/>
      <c r="I46" s="157" t="str">
        <f>S45&amp;".1"</f>
        <v>....1</v>
      </c>
      <c r="J46" s="577"/>
      <c r="K46" s="577"/>
      <c r="L46" s="578" t="s">
        <v>398</v>
      </c>
      <c r="M46" s="563"/>
      <c r="N46" s="563"/>
      <c r="O46" s="563"/>
      <c r="P46" s="132">
        <v>1</v>
      </c>
      <c r="Q46" s="132"/>
      <c r="R46" s="499"/>
      <c r="S46" s="351"/>
      <c r="T46" s="586"/>
      <c r="U46" s="587"/>
      <c r="V46" s="589"/>
      <c r="W46" s="589"/>
      <c r="X46" s="589"/>
      <c r="Y46" s="589"/>
      <c r="Z46" s="589"/>
      <c r="AA46" s="590"/>
      <c r="AB46" s="589"/>
      <c r="AC46" s="589"/>
      <c r="AD46" s="589"/>
      <c r="AE46" s="589"/>
      <c r="AF46" s="589"/>
      <c r="AG46" s="589"/>
      <c r="AH46" s="589"/>
      <c r="AI46" s="589"/>
      <c r="AJ46" s="590"/>
      <c r="AK46" s="591"/>
      <c r="AM46" s="129"/>
      <c r="AN46" s="129" t="str">
        <f t="shared" si="32"/>
        <v/>
      </c>
      <c r="AO46" s="129"/>
      <c r="AP46" s="129"/>
      <c r="AQ46" s="57">
        <v>0</v>
      </c>
    </row>
    <row r="47" s="57" customFormat="1" ht="0" customHeight="1">
      <c r="A47" s="577" t="s">
        <v>201</v>
      </c>
      <c r="B47" s="577" t="s">
        <v>202</v>
      </c>
      <c r="C47" s="577" t="s">
        <v>203</v>
      </c>
      <c r="D47" s="577" t="s">
        <v>204</v>
      </c>
      <c r="E47" s="576"/>
      <c r="F47" s="576"/>
      <c r="G47" s="576"/>
      <c r="H47" s="576"/>
      <c r="I47" s="73"/>
      <c r="J47" s="157" t="str">
        <f>S45&amp;".1"</f>
        <v>....1</v>
      </c>
      <c r="K47" s="577"/>
      <c r="L47" s="578"/>
      <c r="M47" s="563"/>
      <c r="N47" s="563"/>
      <c r="O47" s="563"/>
      <c r="P47" s="132"/>
      <c r="Q47" s="132">
        <v>1</v>
      </c>
      <c r="R47" s="504"/>
      <c r="S47" s="351"/>
      <c r="T47" s="630"/>
      <c r="U47" s="587"/>
      <c r="V47" s="589"/>
      <c r="W47" s="589"/>
      <c r="X47" s="589"/>
      <c r="Y47" s="589"/>
      <c r="Z47" s="589"/>
      <c r="AA47" s="590"/>
      <c r="AB47" s="589"/>
      <c r="AC47" s="589"/>
      <c r="AD47" s="589"/>
      <c r="AE47" s="589"/>
      <c r="AF47" s="589"/>
      <c r="AG47" s="589"/>
      <c r="AH47" s="589"/>
      <c r="AI47" s="589"/>
      <c r="AJ47" s="590"/>
      <c r="AK47" s="591"/>
      <c r="AM47" s="129"/>
      <c r="AN47" s="129" t="str">
        <f t="shared" si="32"/>
        <v/>
      </c>
      <c r="AO47" s="129"/>
      <c r="AP47" s="129"/>
      <c r="AQ47" s="57">
        <v>0</v>
      </c>
    </row>
    <row r="48" ht="22" customHeight="1">
      <c r="A48" s="264" t="s">
        <v>201</v>
      </c>
      <c r="B48" s="264" t="s">
        <v>202</v>
      </c>
      <c r="C48" s="264" t="s">
        <v>203</v>
      </c>
      <c r="D48" s="264" t="s">
        <v>204</v>
      </c>
      <c r="E48" s="576"/>
      <c r="F48" s="576"/>
      <c r="G48" s="576"/>
      <c r="H48" s="576"/>
      <c r="I48" s="73"/>
      <c r="J48" s="73"/>
      <c r="K48" s="157" t="str">
        <f>S45&amp;".1"</f>
        <v>....1</v>
      </c>
      <c r="L48" s="322"/>
      <c r="P48" s="132"/>
      <c r="Q48" s="132"/>
      <c r="R48" s="504">
        <v>1</v>
      </c>
      <c r="S48" s="598" t="str">
        <f>$K48</f>
        <v>....1</v>
      </c>
      <c r="T48" s="632"/>
      <c r="U48" s="486"/>
      <c r="V48" s="507"/>
      <c r="W48" s="509"/>
      <c r="X48" s="510"/>
      <c r="Y48" s="224" t="s">
        <v>65</v>
      </c>
      <c r="Z48" s="510"/>
      <c r="AA48" s="224" t="s">
        <v>65</v>
      </c>
      <c r="AB48" s="689"/>
      <c r="AC48" s="690" t="s">
        <v>22</v>
      </c>
      <c r="AD48" s="507"/>
      <c r="AE48" s="509"/>
      <c r="AF48" s="510"/>
      <c r="AG48" s="224" t="s">
        <v>65</v>
      </c>
      <c r="AH48" s="510"/>
      <c r="AI48" s="224" t="s">
        <v>65</v>
      </c>
      <c r="AJ48" s="571"/>
      <c r="AK48" s="511" t="s">
        <v>475</v>
      </c>
      <c r="AL48" s="57" t="e">
        <f>STRCHECKDATE(#REF!)</f>
        <v>#NAME?</v>
      </c>
      <c r="AM48" s="129"/>
      <c r="AN48" s="129" t="str">
        <f t="shared" si="32"/>
        <v/>
      </c>
      <c r="AO48" s="129"/>
      <c r="AP48" s="129"/>
      <c r="AQ48" s="50">
        <v>21</v>
      </c>
    </row>
    <row r="49" ht="11.5" customHeight="1">
      <c r="A49" s="264" t="s">
        <v>201</v>
      </c>
      <c r="B49" s="264" t="s">
        <v>202</v>
      </c>
      <c r="C49" s="264" t="s">
        <v>203</v>
      </c>
      <c r="D49" s="264" t="s">
        <v>204</v>
      </c>
      <c r="E49" s="576"/>
      <c r="F49" s="576"/>
      <c r="G49" s="576"/>
      <c r="H49" s="576"/>
      <c r="I49" s="73"/>
      <c r="J49" s="157"/>
      <c r="K49" s="264"/>
      <c r="L49" s="322"/>
      <c r="P49" s="132"/>
      <c r="Q49" s="132"/>
      <c r="R49" s="499"/>
      <c r="S49" s="515"/>
      <c r="T49" s="519" t="s">
        <v>463</v>
      </c>
      <c r="U49" s="214"/>
      <c r="V49" s="214"/>
      <c r="W49" s="214"/>
      <c r="X49" s="214"/>
      <c r="Y49" s="214"/>
      <c r="Z49" s="214"/>
      <c r="AA49" s="517"/>
      <c r="AB49" s="214"/>
      <c r="AC49" s="214"/>
      <c r="AD49" s="214"/>
      <c r="AE49" s="214"/>
      <c r="AF49" s="214"/>
      <c r="AG49" s="214"/>
      <c r="AH49" s="214"/>
      <c r="AI49" s="214"/>
      <c r="AJ49" s="517"/>
      <c r="AK49" s="518"/>
      <c r="AM49" s="129"/>
      <c r="AN49" s="129" t="str">
        <f t="shared" si="32"/>
        <v xml:space="preserve">Добавить строку</v>
      </c>
      <c r="AO49" s="129"/>
      <c r="AP49" s="129"/>
      <c r="AQ49" s="50">
        <v>11</v>
      </c>
    </row>
    <row r="50" s="57" customFormat="1" ht="1.05" customHeight="1">
      <c r="A50" s="577" t="s">
        <v>201</v>
      </c>
      <c r="B50" s="577" t="s">
        <v>202</v>
      </c>
      <c r="C50" s="577" t="s">
        <v>203</v>
      </c>
      <c r="D50" s="577" t="s">
        <v>204</v>
      </c>
      <c r="E50" s="576"/>
      <c r="F50" s="576"/>
      <c r="G50" s="576"/>
      <c r="H50" s="576"/>
      <c r="I50" s="157"/>
      <c r="J50" s="577"/>
      <c r="K50" s="577"/>
      <c r="L50" s="578"/>
      <c r="M50" s="563"/>
      <c r="N50" s="563"/>
      <c r="O50" s="563"/>
      <c r="P50" s="132"/>
      <c r="Q50" s="132"/>
      <c r="R50" s="499"/>
      <c r="S50" s="592"/>
      <c r="T50" s="593" t="s">
        <v>407</v>
      </c>
      <c r="U50" s="594"/>
      <c r="V50" s="594"/>
      <c r="W50" s="594"/>
      <c r="X50" s="594"/>
      <c r="Y50" s="594"/>
      <c r="Z50" s="594"/>
      <c r="AA50" s="594"/>
      <c r="AB50" s="594"/>
      <c r="AC50" s="594"/>
      <c r="AD50" s="594"/>
      <c r="AE50" s="594"/>
      <c r="AF50" s="594"/>
      <c r="AG50" s="594"/>
      <c r="AH50" s="594"/>
      <c r="AI50" s="594"/>
      <c r="AJ50" s="594"/>
      <c r="AK50" s="595"/>
      <c r="AM50" s="129"/>
      <c r="AN50" s="129" t="str">
        <f t="shared" si="32"/>
        <v xml:space="preserve">Добавить группу потребителей</v>
      </c>
      <c r="AO50" s="129"/>
      <c r="AP50" s="129"/>
      <c r="AQ50" s="57">
        <v>1</v>
      </c>
    </row>
    <row r="51" s="131" customFormat="1" ht="1.05" customHeight="1">
      <c r="A51" s="577" t="s">
        <v>201</v>
      </c>
      <c r="B51" s="577" t="s">
        <v>202</v>
      </c>
      <c r="C51" s="577" t="s">
        <v>203</v>
      </c>
      <c r="D51" s="577" t="s">
        <v>204</v>
      </c>
      <c r="E51" s="576"/>
      <c r="F51" s="576"/>
      <c r="G51" s="576"/>
      <c r="H51" s="575"/>
      <c r="I51" s="577"/>
      <c r="J51" s="577"/>
      <c r="K51" s="577"/>
      <c r="L51" s="578"/>
      <c r="M51" s="579"/>
      <c r="N51" s="579"/>
      <c r="O51" s="131"/>
      <c r="P51" s="167"/>
      <c r="Q51" s="524"/>
      <c r="R51" s="675"/>
      <c r="S51" s="592"/>
      <c r="T51" s="593"/>
      <c r="U51" s="594"/>
      <c r="V51" s="594"/>
      <c r="W51" s="594"/>
      <c r="X51" s="594"/>
      <c r="Y51" s="594"/>
      <c r="Z51" s="594"/>
      <c r="AA51" s="594"/>
      <c r="AB51" s="594"/>
      <c r="AC51" s="594"/>
      <c r="AD51" s="594"/>
      <c r="AE51" s="594"/>
      <c r="AF51" s="594"/>
      <c r="AG51" s="594"/>
      <c r="AH51" s="594"/>
      <c r="AI51" s="594"/>
      <c r="AJ51" s="594"/>
      <c r="AK51" s="595"/>
      <c r="AL51" s="57"/>
      <c r="AM51" s="129"/>
      <c r="AN51" s="129" t="str">
        <f t="shared" si="32"/>
        <v/>
      </c>
      <c r="AO51" s="129"/>
      <c r="AP51" s="129"/>
      <c r="AQ51" s="131">
        <v>1</v>
      </c>
    </row>
    <row r="52" s="57" customFormat="1" ht="1.05" customHeight="1">
      <c r="A52" s="577" t="s">
        <v>201</v>
      </c>
      <c r="B52" s="577" t="s">
        <v>202</v>
      </c>
      <c r="C52" s="577" t="s">
        <v>203</v>
      </c>
      <c r="D52" s="577"/>
      <c r="E52" s="576"/>
      <c r="F52" s="576"/>
      <c r="G52" s="575"/>
      <c r="H52" s="577"/>
      <c r="I52" s="577"/>
      <c r="J52" s="577"/>
      <c r="K52" s="577"/>
      <c r="L52" s="578"/>
      <c r="M52" s="579"/>
      <c r="N52" s="579"/>
      <c r="O52" s="131"/>
      <c r="P52" s="167"/>
      <c r="Q52" s="524"/>
      <c r="R52" s="167"/>
      <c r="S52" s="529"/>
      <c r="T52" s="532" t="s">
        <v>409</v>
      </c>
      <c r="U52" s="531"/>
      <c r="V52" s="531"/>
      <c r="W52" s="531"/>
      <c r="X52" s="531"/>
      <c r="Y52" s="531"/>
      <c r="Z52" s="531"/>
      <c r="AA52" s="531"/>
      <c r="AB52" s="531"/>
      <c r="AC52" s="531"/>
      <c r="AD52" s="531"/>
      <c r="AE52" s="531"/>
      <c r="AF52" s="531"/>
      <c r="AG52" s="531"/>
      <c r="AH52" s="531"/>
      <c r="AI52" s="531"/>
      <c r="AJ52" s="531"/>
      <c r="AK52" s="531"/>
      <c r="AM52" s="129"/>
      <c r="AN52" s="129" t="str">
        <f t="shared" si="32"/>
        <v xml:space="preserve">Добавить источник для дифференциации</v>
      </c>
      <c r="AO52" s="129"/>
      <c r="AP52" s="129"/>
      <c r="AQ52" s="57">
        <v>1</v>
      </c>
    </row>
    <row r="53" s="57" customFormat="1" ht="1.05" customHeight="1">
      <c r="A53" s="577" t="s">
        <v>201</v>
      </c>
      <c r="B53" s="577" t="s">
        <v>202</v>
      </c>
      <c r="C53" s="577"/>
      <c r="D53" s="577"/>
      <c r="E53" s="576"/>
      <c r="F53" s="575"/>
      <c r="G53" s="577"/>
      <c r="H53" s="577"/>
      <c r="I53" s="577"/>
      <c r="J53" s="577"/>
      <c r="K53" s="577"/>
      <c r="L53" s="578"/>
      <c r="M53" s="580"/>
      <c r="N53" s="580"/>
      <c r="O53" s="131"/>
      <c r="P53" s="167"/>
      <c r="Q53" s="524"/>
      <c r="R53" s="167"/>
      <c r="S53" s="529"/>
      <c r="T53" s="532" t="s">
        <v>410</v>
      </c>
      <c r="U53" s="531"/>
      <c r="V53" s="531"/>
      <c r="W53" s="531"/>
      <c r="X53" s="531"/>
      <c r="Y53" s="531"/>
      <c r="Z53" s="531"/>
      <c r="AA53" s="531"/>
      <c r="AB53" s="531"/>
      <c r="AC53" s="531"/>
      <c r="AD53" s="531"/>
      <c r="AE53" s="531"/>
      <c r="AF53" s="531"/>
      <c r="AG53" s="531"/>
      <c r="AH53" s="531"/>
      <c r="AI53" s="531"/>
      <c r="AJ53" s="531"/>
      <c r="AK53" s="531"/>
      <c r="AM53" s="129"/>
      <c r="AN53" s="129" t="str">
        <f t="shared" si="32"/>
        <v xml:space="preserve">Добавить централизованную систему для дифференциации</v>
      </c>
      <c r="AO53" s="129"/>
      <c r="AP53" s="129"/>
      <c r="AQ53" s="57">
        <v>1</v>
      </c>
    </row>
    <row r="54" s="57" customFormat="1" ht="1.05" customHeight="1">
      <c r="A54" s="577" t="s">
        <v>201</v>
      </c>
      <c r="B54" s="577"/>
      <c r="C54" s="577"/>
      <c r="D54" s="577"/>
      <c r="E54" s="576"/>
      <c r="F54" s="577"/>
      <c r="G54" s="577"/>
      <c r="H54" s="577"/>
      <c r="I54" s="577"/>
      <c r="J54" s="577"/>
      <c r="K54" s="577"/>
      <c r="L54" s="578"/>
      <c r="M54" s="580"/>
      <c r="N54" s="580"/>
      <c r="O54" s="131"/>
      <c r="P54" s="167"/>
      <c r="Q54" s="524"/>
      <c r="R54" s="167"/>
      <c r="S54" s="529"/>
      <c r="T54" s="532" t="s">
        <v>411</v>
      </c>
      <c r="U54" s="531"/>
      <c r="V54" s="531"/>
      <c r="W54" s="531"/>
      <c r="X54" s="531"/>
      <c r="Y54" s="531"/>
      <c r="Z54" s="531"/>
      <c r="AA54" s="531"/>
      <c r="AB54" s="531"/>
      <c r="AC54" s="531"/>
      <c r="AD54" s="531"/>
      <c r="AE54" s="531"/>
      <c r="AF54" s="531"/>
      <c r="AG54" s="531"/>
      <c r="AH54" s="531"/>
      <c r="AI54" s="531"/>
      <c r="AJ54" s="531"/>
      <c r="AK54" s="531"/>
      <c r="AM54" s="129"/>
      <c r="AN54" s="129" t="str">
        <f t="shared" si="32"/>
        <v xml:space="preserve">Добавить территорию для дифференциации</v>
      </c>
      <c r="AO54" s="129"/>
      <c r="AP54" s="129"/>
      <c r="AQ54" s="57">
        <v>1</v>
      </c>
    </row>
    <row r="55" s="57" customFormat="1" ht="1.05" customHeight="1">
      <c r="A55" s="577" t="s">
        <v>201</v>
      </c>
      <c r="B55" s="577"/>
      <c r="C55" s="577"/>
      <c r="D55" s="577"/>
      <c r="E55" s="575"/>
      <c r="F55" s="577"/>
      <c r="G55" s="577"/>
      <c r="H55" s="577"/>
      <c r="I55" s="577"/>
      <c r="J55" s="577"/>
      <c r="K55" s="577"/>
      <c r="L55" s="578"/>
      <c r="M55" s="580"/>
      <c r="N55" s="580"/>
      <c r="O55" s="131"/>
      <c r="P55" s="167"/>
      <c r="Q55" s="524"/>
      <c r="R55" s="167"/>
      <c r="S55" s="529"/>
      <c r="T55" s="532" t="s">
        <v>411</v>
      </c>
      <c r="U55" s="531"/>
      <c r="V55" s="531"/>
      <c r="W55" s="531"/>
      <c r="X55" s="531"/>
      <c r="Y55" s="531"/>
      <c r="Z55" s="531"/>
      <c r="AA55" s="531"/>
      <c r="AB55" s="531"/>
      <c r="AC55" s="531"/>
      <c r="AD55" s="531"/>
      <c r="AE55" s="531"/>
      <c r="AF55" s="531"/>
      <c r="AG55" s="531"/>
      <c r="AH55" s="531"/>
      <c r="AI55" s="531"/>
      <c r="AJ55" s="531"/>
      <c r="AK55" s="531"/>
      <c r="AM55" s="129"/>
      <c r="AN55" s="129" t="str">
        <f t="shared" si="32"/>
        <v xml:space="preserve">Добавить территорию для дифференциации</v>
      </c>
      <c r="AO55" s="129"/>
      <c r="AP55" s="129"/>
      <c r="AQ55" s="57">
        <v>1</v>
      </c>
    </row>
    <row r="56" s="57" customFormat="1" ht="1.05" customHeight="1">
      <c r="A56" s="577"/>
      <c r="B56" s="577"/>
      <c r="C56" s="577"/>
      <c r="D56" s="577"/>
      <c r="E56" s="577"/>
      <c r="F56" s="577"/>
      <c r="G56" s="577"/>
      <c r="H56" s="577"/>
      <c r="I56" s="577"/>
      <c r="J56" s="577"/>
      <c r="K56" s="577"/>
      <c r="L56" s="578"/>
      <c r="M56" s="580"/>
      <c r="N56" s="580"/>
      <c r="O56" s="131"/>
      <c r="P56" s="167"/>
      <c r="Q56" s="524"/>
      <c r="R56" s="167"/>
      <c r="S56" s="529"/>
      <c r="T56" s="532" t="s">
        <v>443</v>
      </c>
      <c r="U56" s="531"/>
      <c r="V56" s="531"/>
      <c r="W56" s="531"/>
      <c r="X56" s="531"/>
      <c r="Y56" s="531"/>
      <c r="Z56" s="531"/>
      <c r="AA56" s="531"/>
      <c r="AB56" s="531"/>
      <c r="AC56" s="531"/>
      <c r="AD56" s="531"/>
      <c r="AE56" s="531"/>
      <c r="AF56" s="531"/>
      <c r="AG56" s="531"/>
      <c r="AH56" s="531"/>
      <c r="AI56" s="531"/>
      <c r="AJ56" s="531"/>
      <c r="AK56" s="531"/>
      <c r="AM56" s="129"/>
      <c r="AN56" s="129" t="str">
        <f t="shared" si="32"/>
        <v xml:space="preserve">Добавить наименование тарифа</v>
      </c>
      <c r="AO56" s="129"/>
      <c r="AP56" s="129"/>
      <c r="AQ56" s="57">
        <v>1</v>
      </c>
    </row>
    <row r="57" ht="11.5" customHeight="1">
      <c r="M57" s="50"/>
      <c r="N57" s="50"/>
      <c r="O57" s="50"/>
      <c r="P57" s="53"/>
      <c r="Q57" s="53"/>
      <c r="R57" s="50"/>
      <c r="S57" s="50"/>
      <c r="AL57" s="50"/>
      <c r="AM57" s="50"/>
      <c r="AN57" s="50"/>
      <c r="AO57" s="50"/>
      <c r="AP57" s="50"/>
      <c r="AQ57" s="50">
        <v>11</v>
      </c>
    </row>
    <row r="58" ht="19.949999999999999" customHeight="1">
      <c r="O58" s="50"/>
      <c r="S58" s="476"/>
      <c r="T58" s="574"/>
      <c r="U58" s="574"/>
      <c r="V58" s="574"/>
      <c r="W58" s="574"/>
      <c r="X58" s="574"/>
      <c r="Y58" s="574"/>
      <c r="Z58" s="574"/>
      <c r="AA58" s="574"/>
      <c r="AB58" s="574"/>
      <c r="AC58" s="574"/>
      <c r="AD58" s="574"/>
      <c r="AE58" s="574"/>
      <c r="AF58" s="574"/>
      <c r="AG58" s="574"/>
      <c r="AH58" s="574"/>
      <c r="AI58" s="574"/>
      <c r="AJ58" s="574"/>
      <c r="AK58" s="574"/>
      <c r="AQ58" s="50">
        <v>19</v>
      </c>
    </row>
    <row r="59" ht="21" customHeight="1">
      <c r="O59" s="50"/>
      <c r="T59" s="574"/>
      <c r="U59" s="574"/>
      <c r="V59" s="574"/>
      <c r="W59" s="574"/>
      <c r="X59" s="574"/>
      <c r="Y59" s="574"/>
      <c r="Z59" s="574"/>
      <c r="AA59" s="574"/>
      <c r="AB59" s="574"/>
      <c r="AC59" s="574"/>
      <c r="AD59" s="574"/>
      <c r="AE59" s="574"/>
      <c r="AF59" s="574"/>
      <c r="AG59" s="574"/>
      <c r="AH59" s="574"/>
      <c r="AI59" s="574"/>
      <c r="AJ59" s="574"/>
      <c r="AK59" s="574"/>
      <c r="AQ59" s="50">
        <v>20</v>
      </c>
    </row>
    <row r="60" ht="14.65" customHeight="1">
      <c r="O60" s="50"/>
      <c r="T60" s="574"/>
      <c r="U60" s="574"/>
      <c r="V60" s="574"/>
      <c r="W60" s="574"/>
      <c r="X60" s="574"/>
      <c r="Y60" s="574"/>
      <c r="Z60" s="574"/>
      <c r="AA60" s="574"/>
      <c r="AB60" s="574"/>
      <c r="AC60" s="574"/>
      <c r="AD60" s="574"/>
      <c r="AE60" s="574"/>
      <c r="AF60" s="574"/>
      <c r="AG60" s="574"/>
      <c r="AH60" s="574"/>
      <c r="AI60" s="574"/>
      <c r="AJ60" s="574"/>
      <c r="AK60" s="574"/>
      <c r="AQ60" s="50">
        <v>14</v>
      </c>
    </row>
    <row r="61" ht="19.949999999999999" customHeight="1">
      <c r="O61" s="50"/>
      <c r="T61" s="574"/>
      <c r="U61" s="574"/>
      <c r="V61" s="574"/>
      <c r="W61" s="574"/>
      <c r="X61" s="574"/>
      <c r="Y61" s="574"/>
      <c r="Z61" s="574"/>
      <c r="AA61" s="574"/>
      <c r="AB61" s="574"/>
      <c r="AC61" s="574"/>
      <c r="AD61" s="574"/>
      <c r="AE61" s="574"/>
      <c r="AF61" s="574"/>
      <c r="AG61" s="574"/>
      <c r="AH61" s="574"/>
      <c r="AI61" s="574"/>
      <c r="AJ61" s="574"/>
      <c r="AK61" s="574"/>
      <c r="AQ61" s="50">
        <v>19</v>
      </c>
    </row>
    <row r="62" ht="16.800000000000001" customHeight="1">
      <c r="O62" s="50"/>
      <c r="T62" s="574"/>
      <c r="U62" s="574"/>
      <c r="V62" s="574"/>
      <c r="W62" s="574"/>
      <c r="X62" s="574"/>
      <c r="Y62" s="574"/>
      <c r="Z62" s="574"/>
      <c r="AA62" s="574"/>
      <c r="AB62" s="574"/>
      <c r="AC62" s="574"/>
      <c r="AD62" s="574"/>
      <c r="AE62" s="574"/>
      <c r="AF62" s="574"/>
      <c r="AG62" s="574"/>
      <c r="AH62" s="574"/>
      <c r="AI62" s="574"/>
      <c r="AJ62" s="574"/>
      <c r="AK62" s="574"/>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38">
        <v>3</v>
      </c>
      <c r="R64" s="478">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1" deleteRows="1" formatCells="1" formatColumns="1" formatRows="1" insertColumns="1" insertHyperlinks="1" insertRows="1" objects="0" pivotTables="1" scenarios="0" selectLockedCells="0" selectUnlockedCells="0" sheet="1" sort="1"/>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2F0072-00DF-4444-B5C2-00D8007B00A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2A00E9-0014-4AD8-BBC5-00A5005300E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EB00E0-0088-4BB4-942A-00EB00F500AD}"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D40053-002D-4927-8609-00F000DA00F3}"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F6001C-0036-410A-AF3B-00C4002B00A9}"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82008C-0089-44D5-A4F1-00A000C10089}"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8" width="3.7109375"/>
    <col customWidth="1" min="18" max="18" style="47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120</v>
      </c>
      <c r="U2" s="486"/>
      <c r="V2" s="488"/>
      <c r="W2" s="488"/>
      <c r="X2" s="488"/>
      <c r="Y2" s="488"/>
      <c r="Z2" s="488"/>
      <c r="AA2" s="488"/>
      <c r="AB2" s="488"/>
      <c r="AC2" s="489"/>
      <c r="AD2" s="487" t="e">
        <f>INDEX(PT_DIFFERENTIATION_NTAR,MATCH(A2,PT_DIFFERENTIATION_NTAR_ID,0))</f>
        <v>#VALUE!</v>
      </c>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9"/>
      <c r="BC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3">IF(T2="","",T2)</f>
        <v xml:space="preserve">Наименование тарифа</v>
      </c>
      <c r="BG2" s="129"/>
      <c r="BH2" s="129"/>
      <c r="BI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392</v>
      </c>
      <c r="U3" s="486"/>
      <c r="V3" s="488"/>
      <c r="W3" s="488"/>
      <c r="X3" s="488"/>
      <c r="Y3" s="488"/>
      <c r="Z3" s="488"/>
      <c r="AA3" s="488"/>
      <c r="AB3" s="488"/>
      <c r="AC3" s="489"/>
      <c r="AD3" s="487" t="e">
        <f>INDEX(PT_DIFFERENTIATION_TER,MATCH(B3,PT_DIFFERENTIATION_TER_ID,0))</f>
        <v>#VALUE!</v>
      </c>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9"/>
      <c r="BC3" s="490" t="s">
        <v>393</v>
      </c>
      <c r="BE3" s="129"/>
      <c r="BF3" s="129" t="str">
        <f t="shared" si="33"/>
        <v xml:space="preserve">Территория действия тарифа</v>
      </c>
      <c r="BG3" s="129"/>
      <c r="BH3" s="129"/>
      <c r="BI3" s="50">
        <v>0</v>
      </c>
    </row>
    <row r="4" ht="42"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476</v>
      </c>
      <c r="U4" s="486"/>
      <c r="V4" s="488"/>
      <c r="W4" s="488"/>
      <c r="X4" s="488"/>
      <c r="Y4" s="488"/>
      <c r="Z4" s="488"/>
      <c r="AA4" s="488"/>
      <c r="AB4" s="488"/>
      <c r="AC4" s="489"/>
      <c r="AD4" s="487" t="e">
        <f>INDEX(PT_DIFFERENTIATION_CS,MATCH(C4,PT_DIFFERENTIATION_CS_ID,0))</f>
        <v>#VALUE!</v>
      </c>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9"/>
      <c r="BC4" s="490" t="s">
        <v>477</v>
      </c>
      <c r="BE4" s="129"/>
      <c r="BF4" s="129" t="str">
        <f t="shared" si="33"/>
        <v xml:space="preserve">Наименование централизованной системы холодного водоснабжения</v>
      </c>
      <c r="BG4" s="129"/>
      <c r="BH4" s="129"/>
      <c r="BI4" s="50">
        <v>0</v>
      </c>
    </row>
    <row r="5" s="57" customFormat="1" ht="14.25" hidden="1" customHeight="1">
      <c r="A5" s="133"/>
      <c r="B5" s="133"/>
      <c r="C5" s="133"/>
      <c r="D5" s="133"/>
      <c r="E5" s="491"/>
      <c r="F5" s="491"/>
      <c r="G5" s="491"/>
      <c r="H5" s="480">
        <v>1</v>
      </c>
      <c r="I5" s="133"/>
      <c r="J5" s="133"/>
      <c r="K5" s="133"/>
      <c r="L5" s="212"/>
      <c r="M5" s="464"/>
      <c r="N5" s="464"/>
      <c r="O5" s="464"/>
      <c r="P5" s="694"/>
      <c r="Q5" s="695"/>
      <c r="R5" s="504"/>
      <c r="S5" s="351"/>
      <c r="T5" s="696"/>
      <c r="U5" s="587"/>
      <c r="V5" s="589"/>
      <c r="W5" s="589"/>
      <c r="X5" s="589"/>
      <c r="Y5" s="589"/>
      <c r="Z5" s="589"/>
      <c r="AA5" s="589"/>
      <c r="AB5" s="589"/>
      <c r="AC5" s="590"/>
      <c r="AD5" s="588"/>
      <c r="AE5" s="589"/>
      <c r="AF5" s="589"/>
      <c r="AG5" s="589"/>
      <c r="AH5" s="589"/>
      <c r="AI5" s="589"/>
      <c r="AJ5" s="589"/>
      <c r="AK5" s="589"/>
      <c r="AL5" s="589"/>
      <c r="AM5" s="589"/>
      <c r="AN5" s="589"/>
      <c r="AO5" s="589"/>
      <c r="AP5" s="589"/>
      <c r="AQ5" s="589"/>
      <c r="AR5" s="589"/>
      <c r="AS5" s="589"/>
      <c r="AT5" s="589"/>
      <c r="AU5" s="589"/>
      <c r="AV5" s="589"/>
      <c r="AW5" s="589"/>
      <c r="AX5" s="589"/>
      <c r="AY5" s="589"/>
      <c r="AZ5" s="589"/>
      <c r="BA5" s="589"/>
      <c r="BB5" s="590"/>
      <c r="BC5" s="591" t="s">
        <v>397</v>
      </c>
      <c r="BE5" s="129"/>
      <c r="BF5" s="129" t="str">
        <f t="shared" si="33"/>
        <v/>
      </c>
      <c r="BG5" s="129"/>
      <c r="BH5" s="129"/>
      <c r="BI5" s="57">
        <v>0</v>
      </c>
    </row>
    <row r="6" s="57" customFormat="1" ht="14.25" hidden="1" customHeight="1">
      <c r="A6" s="133"/>
      <c r="B6" s="133"/>
      <c r="C6" s="133"/>
      <c r="D6" s="133"/>
      <c r="E6" s="491"/>
      <c r="F6" s="491"/>
      <c r="G6" s="491"/>
      <c r="H6" s="491"/>
      <c r="I6" s="498" t="str">
        <f>S5&amp;".1"</f>
        <v>.1</v>
      </c>
      <c r="J6" s="133"/>
      <c r="K6" s="133"/>
      <c r="L6" s="212" t="s">
        <v>398</v>
      </c>
      <c r="M6" s="596"/>
      <c r="N6" s="596"/>
      <c r="O6" s="596"/>
      <c r="P6" s="132">
        <v>1</v>
      </c>
      <c r="Q6" s="132"/>
      <c r="R6" s="499"/>
      <c r="S6" s="351"/>
      <c r="T6" s="586"/>
      <c r="U6" s="587"/>
      <c r="V6" s="589"/>
      <c r="W6" s="589"/>
      <c r="X6" s="589"/>
      <c r="Y6" s="589"/>
      <c r="Z6" s="589"/>
      <c r="AA6" s="589"/>
      <c r="AB6" s="589"/>
      <c r="AC6" s="590"/>
      <c r="AD6" s="588"/>
      <c r="AE6" s="589"/>
      <c r="AF6" s="589"/>
      <c r="AG6" s="589"/>
      <c r="AH6" s="589"/>
      <c r="AI6" s="589"/>
      <c r="AJ6" s="589"/>
      <c r="AK6" s="589"/>
      <c r="AL6" s="589"/>
      <c r="AM6" s="589"/>
      <c r="AN6" s="589"/>
      <c r="AO6" s="589"/>
      <c r="AP6" s="589"/>
      <c r="AQ6" s="589"/>
      <c r="AR6" s="589"/>
      <c r="AS6" s="589"/>
      <c r="AT6" s="589"/>
      <c r="AU6" s="589"/>
      <c r="AV6" s="589"/>
      <c r="AW6" s="589"/>
      <c r="AX6" s="589"/>
      <c r="AY6" s="589"/>
      <c r="AZ6" s="589"/>
      <c r="BA6" s="589"/>
      <c r="BB6" s="590"/>
      <c r="BC6" s="591"/>
      <c r="BE6" s="129"/>
      <c r="BF6" s="129" t="str">
        <f t="shared" si="33"/>
        <v/>
      </c>
      <c r="BG6" s="129"/>
      <c r="BH6" s="129"/>
      <c r="BI6" s="57">
        <v>0</v>
      </c>
    </row>
    <row r="7" s="57" customFormat="1" ht="14.25" hidden="1" customHeight="1">
      <c r="A7" s="133"/>
      <c r="B7" s="133"/>
      <c r="C7" s="133"/>
      <c r="D7" s="133"/>
      <c r="E7" s="491"/>
      <c r="F7" s="491"/>
      <c r="G7" s="491"/>
      <c r="H7" s="491"/>
      <c r="I7" s="503"/>
      <c r="J7" s="498" t="str">
        <f>S5&amp;".1"</f>
        <v>.1</v>
      </c>
      <c r="K7" s="133"/>
      <c r="L7" s="212"/>
      <c r="M7" s="596"/>
      <c r="N7" s="596"/>
      <c r="O7" s="596"/>
      <c r="P7" s="132"/>
      <c r="Q7" s="132">
        <v>1</v>
      </c>
      <c r="R7" s="504"/>
      <c r="S7" s="351"/>
      <c r="T7" s="630"/>
      <c r="U7" s="587"/>
      <c r="V7" s="589"/>
      <c r="W7" s="589"/>
      <c r="X7" s="589"/>
      <c r="Y7" s="589"/>
      <c r="Z7" s="589"/>
      <c r="AA7" s="589"/>
      <c r="AB7" s="589"/>
      <c r="AC7" s="590"/>
      <c r="AD7" s="588"/>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90"/>
      <c r="BC7" s="591"/>
      <c r="BE7" s="129"/>
      <c r="BF7" s="129" t="str">
        <f t="shared" si="33"/>
        <v/>
      </c>
      <c r="BG7" s="129"/>
      <c r="BH7" s="129"/>
      <c r="BI7" s="57">
        <v>0</v>
      </c>
    </row>
    <row r="8" ht="11.25" hidden="1" customHeight="1">
      <c r="A8" s="479"/>
      <c r="B8" s="479"/>
      <c r="C8" s="479"/>
      <c r="D8" s="479"/>
      <c r="E8" s="491"/>
      <c r="F8" s="491"/>
      <c r="G8" s="491"/>
      <c r="H8" s="491"/>
      <c r="I8" s="503"/>
      <c r="J8" s="503"/>
      <c r="K8" s="498" t="e">
        <f>S4&amp;".1"</f>
        <v>#VALUE!</v>
      </c>
      <c r="L8" s="481"/>
      <c r="P8" s="132"/>
      <c r="Q8" s="132"/>
      <c r="R8" s="631">
        <v>1</v>
      </c>
      <c r="S8" s="598" t="e">
        <f>$K8</f>
        <v>#VALUE!</v>
      </c>
      <c r="T8" s="689"/>
      <c r="U8" s="486"/>
      <c r="V8" s="507"/>
      <c r="W8" s="509"/>
      <c r="X8" s="507"/>
      <c r="Y8" s="509"/>
      <c r="Z8" s="510"/>
      <c r="AA8" s="224" t="s">
        <v>65</v>
      </c>
      <c r="AB8" s="510"/>
      <c r="AC8" s="224" t="s">
        <v>65</v>
      </c>
      <c r="AD8" s="314" t="s">
        <v>65</v>
      </c>
      <c r="AE8" s="633"/>
      <c r="AF8" s="345">
        <v>1</v>
      </c>
      <c r="AG8" s="690"/>
      <c r="AH8" s="224" t="s">
        <v>65</v>
      </c>
      <c r="AI8" s="633"/>
      <c r="AJ8" s="345">
        <v>1</v>
      </c>
      <c r="AK8" s="87" t="s">
        <v>22</v>
      </c>
      <c r="AL8" s="224" t="s">
        <v>65</v>
      </c>
      <c r="AM8" s="304"/>
      <c r="AN8" s="345">
        <v>1</v>
      </c>
      <c r="AO8" s="697"/>
      <c r="AP8" s="698" t="s">
        <v>65</v>
      </c>
      <c r="AQ8" s="634"/>
      <c r="AR8" s="345">
        <v>1</v>
      </c>
      <c r="AS8" s="95" t="s">
        <v>22</v>
      </c>
      <c r="AT8" s="507"/>
      <c r="AU8" s="509"/>
      <c r="AV8" s="507"/>
      <c r="AW8" s="509"/>
      <c r="AX8" s="510"/>
      <c r="AY8" s="224" t="s">
        <v>65</v>
      </c>
      <c r="AZ8" s="510"/>
      <c r="BA8" s="224" t="s">
        <v>65</v>
      </c>
      <c r="BB8" s="571"/>
      <c r="BC8" s="511" t="s">
        <v>496</v>
      </c>
      <c r="BE8" s="129"/>
      <c r="BF8" s="129" t="str">
        <f t="shared" si="33"/>
        <v/>
      </c>
      <c r="BG8" s="129"/>
      <c r="BH8" s="129"/>
      <c r="BI8" s="50">
        <v>0</v>
      </c>
    </row>
    <row r="9" ht="11.25" hidden="1" customHeight="1">
      <c r="A9" s="479"/>
      <c r="B9" s="479"/>
      <c r="C9" s="479"/>
      <c r="D9" s="479"/>
      <c r="E9" s="491"/>
      <c r="F9" s="491"/>
      <c r="G9" s="491"/>
      <c r="H9" s="491"/>
      <c r="I9" s="503"/>
      <c r="J9" s="503"/>
      <c r="K9" s="498"/>
      <c r="L9" s="481"/>
      <c r="P9" s="132"/>
      <c r="Q9" s="132"/>
      <c r="R9" s="631"/>
      <c r="S9" s="635"/>
      <c r="T9" s="699"/>
      <c r="U9" s="486"/>
      <c r="V9" s="622"/>
      <c r="W9" s="639"/>
      <c r="X9" s="622"/>
      <c r="Y9" s="639"/>
      <c r="Z9" s="622"/>
      <c r="AA9" s="622"/>
      <c r="AB9" s="622"/>
      <c r="AC9" s="622"/>
      <c r="AD9" s="320"/>
      <c r="AE9" s="633"/>
      <c r="AF9" s="345"/>
      <c r="AG9" s="690"/>
      <c r="AH9" s="224"/>
      <c r="AI9" s="633"/>
      <c r="AJ9" s="345"/>
      <c r="AK9" s="87"/>
      <c r="AL9" s="224"/>
      <c r="AM9" s="310"/>
      <c r="AN9" s="345"/>
      <c r="AO9" s="697"/>
      <c r="AP9" s="700"/>
      <c r="AQ9" s="638"/>
      <c r="AR9" s="177"/>
      <c r="AS9" s="177" t="s">
        <v>497</v>
      </c>
      <c r="AT9" s="622"/>
      <c r="AU9" s="639"/>
      <c r="AV9" s="622"/>
      <c r="AW9" s="639"/>
      <c r="AX9" s="622"/>
      <c r="AY9" s="622"/>
      <c r="AZ9" s="622"/>
      <c r="BA9" s="622"/>
      <c r="BB9" s="637"/>
      <c r="BC9" s="514"/>
      <c r="BE9" s="129"/>
      <c r="BF9" s="129"/>
      <c r="BG9" s="129"/>
      <c r="BH9" s="129"/>
      <c r="BI9" s="50">
        <v>0</v>
      </c>
    </row>
    <row r="10" ht="11.25" hidden="1" customHeight="1">
      <c r="A10" s="479"/>
      <c r="B10" s="479"/>
      <c r="C10" s="479"/>
      <c r="D10" s="479"/>
      <c r="E10" s="491"/>
      <c r="F10" s="491"/>
      <c r="G10" s="491"/>
      <c r="H10" s="491"/>
      <c r="I10" s="503"/>
      <c r="J10" s="503"/>
      <c r="K10" s="498"/>
      <c r="L10" s="481"/>
      <c r="P10" s="132"/>
      <c r="Q10" s="132"/>
      <c r="R10" s="631"/>
      <c r="S10" s="635"/>
      <c r="T10" s="699"/>
      <c r="U10" s="486"/>
      <c r="V10" s="622"/>
      <c r="W10" s="639"/>
      <c r="X10" s="622"/>
      <c r="Y10" s="639"/>
      <c r="Z10" s="622"/>
      <c r="AA10" s="622"/>
      <c r="AB10" s="622"/>
      <c r="AC10" s="622"/>
      <c r="AD10" s="320"/>
      <c r="AE10" s="633"/>
      <c r="AF10" s="345"/>
      <c r="AG10" s="690"/>
      <c r="AH10" s="224"/>
      <c r="AI10" s="633"/>
      <c r="AJ10" s="345"/>
      <c r="AK10" s="87"/>
      <c r="AL10" s="224"/>
      <c r="AM10" s="638"/>
      <c r="AN10" s="701"/>
      <c r="AO10" s="701" t="s">
        <v>498</v>
      </c>
      <c r="AP10" s="177"/>
      <c r="AQ10" s="177"/>
      <c r="AR10" s="177"/>
      <c r="AS10" s="622"/>
      <c r="AT10" s="622"/>
      <c r="AU10" s="639"/>
      <c r="AV10" s="622"/>
      <c r="AW10" s="639"/>
      <c r="AX10" s="622"/>
      <c r="AY10" s="622"/>
      <c r="AZ10" s="622"/>
      <c r="BA10" s="622"/>
      <c r="BB10" s="637"/>
      <c r="BC10" s="514"/>
      <c r="BE10" s="129"/>
      <c r="BF10" s="129"/>
      <c r="BG10" s="129"/>
      <c r="BH10" s="129"/>
      <c r="BI10" s="50">
        <v>0</v>
      </c>
    </row>
    <row r="11" ht="11.25" hidden="1" customHeight="1">
      <c r="A11" s="479"/>
      <c r="B11" s="479"/>
      <c r="C11" s="479"/>
      <c r="D11" s="479"/>
      <c r="E11" s="491"/>
      <c r="F11" s="491"/>
      <c r="G11" s="491"/>
      <c r="H11" s="491"/>
      <c r="I11" s="503"/>
      <c r="J11" s="503"/>
      <c r="K11" s="498"/>
      <c r="L11" s="481"/>
      <c r="P11" s="132"/>
      <c r="Q11" s="132"/>
      <c r="R11" s="631"/>
      <c r="S11" s="635"/>
      <c r="T11" s="699"/>
      <c r="U11" s="486"/>
      <c r="V11" s="622"/>
      <c r="W11" s="639"/>
      <c r="X11" s="622"/>
      <c r="Y11" s="639"/>
      <c r="Z11" s="622"/>
      <c r="AA11" s="622"/>
      <c r="AB11" s="622"/>
      <c r="AC11" s="622"/>
      <c r="AD11" s="320"/>
      <c r="AE11" s="633"/>
      <c r="AF11" s="345"/>
      <c r="AG11" s="690"/>
      <c r="AH11" s="224"/>
      <c r="AI11" s="641"/>
      <c r="AJ11" s="172"/>
      <c r="AK11" s="441" t="s">
        <v>499</v>
      </c>
      <c r="AL11" s="622"/>
      <c r="AM11" s="622"/>
      <c r="AN11" s="622"/>
      <c r="AO11" s="622"/>
      <c r="AP11" s="622"/>
      <c r="AQ11" s="622"/>
      <c r="AR11" s="622"/>
      <c r="AS11" s="622"/>
      <c r="AT11" s="622"/>
      <c r="AU11" s="639"/>
      <c r="AV11" s="622"/>
      <c r="AW11" s="639"/>
      <c r="AX11" s="622"/>
      <c r="AY11" s="622"/>
      <c r="AZ11" s="622"/>
      <c r="BA11" s="622"/>
      <c r="BB11" s="637"/>
      <c r="BC11" s="514"/>
      <c r="BE11" s="129"/>
      <c r="BF11" s="129"/>
      <c r="BG11" s="129"/>
      <c r="BH11" s="129"/>
      <c r="BI11" s="50">
        <v>0</v>
      </c>
    </row>
    <row r="12" ht="11.25" hidden="1" customHeight="1">
      <c r="A12" s="479"/>
      <c r="B12" s="479"/>
      <c r="C12" s="479"/>
      <c r="D12" s="479"/>
      <c r="E12" s="491"/>
      <c r="F12" s="491"/>
      <c r="G12" s="491"/>
      <c r="H12" s="491"/>
      <c r="I12" s="503"/>
      <c r="J12" s="503"/>
      <c r="K12" s="498"/>
      <c r="L12" s="481"/>
      <c r="P12" s="132"/>
      <c r="Q12" s="132"/>
      <c r="R12" s="631"/>
      <c r="S12" s="608"/>
      <c r="T12" s="702"/>
      <c r="U12" s="486"/>
      <c r="V12" s="622"/>
      <c r="W12" s="623" t="str">
        <f>Z8&amp;"-"&amp;AB8</f>
        <v>-</v>
      </c>
      <c r="X12" s="622"/>
      <c r="Y12" s="623" t="str">
        <f>AB8&amp;"-"&amp;AD8</f>
        <v>-да</v>
      </c>
      <c r="Z12" s="622"/>
      <c r="AA12" s="622"/>
      <c r="AB12" s="622"/>
      <c r="AC12" s="622"/>
      <c r="AD12" s="220"/>
      <c r="AE12" s="644"/>
      <c r="AF12" s="645"/>
      <c r="AG12" s="177" t="s">
        <v>500</v>
      </c>
      <c r="AH12" s="622"/>
      <c r="AI12" s="622"/>
      <c r="AJ12" s="622"/>
      <c r="AK12" s="622"/>
      <c r="AL12" s="622"/>
      <c r="AM12" s="622"/>
      <c r="AN12" s="622"/>
      <c r="AO12" s="622"/>
      <c r="AP12" s="622"/>
      <c r="AQ12" s="622"/>
      <c r="AR12" s="622"/>
      <c r="AS12" s="622"/>
      <c r="AT12" s="622"/>
      <c r="AU12" s="623" t="str">
        <f>AX8&amp;"-"&amp;AZ8</f>
        <v>-</v>
      </c>
      <c r="AV12" s="622"/>
      <c r="AW12" s="623" t="str">
        <f>AZ8&amp;"-"&amp;BB8</f>
        <v>-</v>
      </c>
      <c r="AX12" s="622"/>
      <c r="AY12" s="622"/>
      <c r="AZ12" s="622"/>
      <c r="BA12" s="622"/>
      <c r="BB12" s="643" t="str">
        <f>BE8&amp;"-"&amp;BG8</f>
        <v>-</v>
      </c>
      <c r="BC12" s="514"/>
      <c r="BE12" s="129"/>
      <c r="BF12" s="129" t="str">
        <f t="shared" ref="BF12:BF63" si="34">IF(T12="","",T12)</f>
        <v/>
      </c>
      <c r="BG12" s="129"/>
      <c r="BH12" s="129"/>
      <c r="BI12" s="50">
        <v>0</v>
      </c>
    </row>
    <row r="13" ht="11.25" hidden="1" customHeight="1">
      <c r="A13" s="479"/>
      <c r="B13" s="479"/>
      <c r="C13" s="479"/>
      <c r="D13" s="479"/>
      <c r="E13" s="491"/>
      <c r="F13" s="491"/>
      <c r="G13" s="491"/>
      <c r="H13" s="491"/>
      <c r="I13" s="503"/>
      <c r="J13" s="498"/>
      <c r="K13" s="479"/>
      <c r="L13" s="481"/>
      <c r="P13" s="132"/>
      <c r="Q13" s="132"/>
      <c r="R13" s="499"/>
      <c r="S13" s="515"/>
      <c r="T13" s="519" t="s">
        <v>463</v>
      </c>
      <c r="U13" s="214"/>
      <c r="V13" s="214"/>
      <c r="W13" s="214"/>
      <c r="X13" s="214"/>
      <c r="Y13" s="214"/>
      <c r="Z13" s="214"/>
      <c r="AA13" s="214"/>
      <c r="AB13" s="214"/>
      <c r="AC13" s="214"/>
      <c r="AD13" s="67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17"/>
      <c r="BC13" s="518"/>
      <c r="BE13" s="129"/>
      <c r="BF13" s="129" t="str">
        <f t="shared" si="34"/>
        <v xml:space="preserve">Добавить строку</v>
      </c>
      <c r="BG13" s="129"/>
      <c r="BH13" s="129"/>
      <c r="BI13" s="50">
        <v>0</v>
      </c>
    </row>
    <row r="14" s="57" customFormat="1" ht="14.25" hidden="1" customHeight="1">
      <c r="A14" s="133"/>
      <c r="B14" s="133"/>
      <c r="C14" s="133"/>
      <c r="D14" s="133"/>
      <c r="E14" s="491"/>
      <c r="F14" s="491"/>
      <c r="G14" s="491"/>
      <c r="H14" s="491"/>
      <c r="I14" s="498"/>
      <c r="J14" s="133"/>
      <c r="K14" s="133"/>
      <c r="L14" s="212"/>
      <c r="M14" s="596"/>
      <c r="N14" s="596"/>
      <c r="O14" s="596"/>
      <c r="P14" s="132"/>
      <c r="Q14" s="132"/>
      <c r="R14" s="499"/>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5"/>
      <c r="BE14" s="129"/>
      <c r="BF14" s="129" t="str">
        <f t="shared" si="34"/>
        <v/>
      </c>
      <c r="BG14" s="129"/>
      <c r="BH14" s="129"/>
      <c r="BI14" s="57">
        <v>0</v>
      </c>
    </row>
    <row r="15" s="57" customFormat="1" ht="14.25" hidden="1" customHeight="1">
      <c r="A15" s="133"/>
      <c r="B15" s="133"/>
      <c r="C15" s="133"/>
      <c r="D15" s="133"/>
      <c r="E15" s="491"/>
      <c r="F15" s="491"/>
      <c r="G15" s="491"/>
      <c r="H15" s="480"/>
      <c r="I15" s="133"/>
      <c r="J15" s="133"/>
      <c r="K15" s="133"/>
      <c r="L15" s="212"/>
      <c r="M15" s="464"/>
      <c r="N15" s="464"/>
      <c r="O15" s="57"/>
      <c r="P15" s="167"/>
      <c r="Q15" s="524"/>
      <c r="R15" s="646"/>
      <c r="S15" s="592"/>
      <c r="T15" s="593"/>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5"/>
      <c r="BE15" s="129"/>
      <c r="BF15" s="129" t="str">
        <f t="shared" si="34"/>
        <v/>
      </c>
      <c r="BG15" s="129"/>
      <c r="BH15" s="129"/>
      <c r="BI15" s="57">
        <v>0</v>
      </c>
    </row>
    <row r="16" s="57" customFormat="1" ht="14.25" hidden="1" customHeight="1">
      <c r="A16" s="133"/>
      <c r="B16" s="133"/>
      <c r="C16" s="133"/>
      <c r="D16" s="133"/>
      <c r="E16" s="491"/>
      <c r="F16" s="491"/>
      <c r="G16" s="480"/>
      <c r="H16" s="133"/>
      <c r="I16" s="133"/>
      <c r="J16" s="133"/>
      <c r="K16" s="133"/>
      <c r="L16" s="212"/>
      <c r="M16" s="464"/>
      <c r="N16" s="464"/>
      <c r="P16" s="167"/>
      <c r="Q16" s="524"/>
      <c r="R16" s="167"/>
      <c r="S16" s="529"/>
      <c r="T16" s="532"/>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E16" s="129"/>
      <c r="BF16" s="129" t="str">
        <f t="shared" si="34"/>
        <v/>
      </c>
      <c r="BG16" s="129"/>
      <c r="BH16" s="129"/>
      <c r="BI16" s="57">
        <v>0</v>
      </c>
    </row>
    <row r="17" s="57" customFormat="1" ht="14.25" hidden="1" customHeight="1">
      <c r="A17" s="133"/>
      <c r="B17" s="133"/>
      <c r="C17" s="133"/>
      <c r="D17" s="133"/>
      <c r="E17" s="491"/>
      <c r="F17" s="480"/>
      <c r="G17" s="133"/>
      <c r="H17" s="133"/>
      <c r="I17" s="133"/>
      <c r="J17" s="133"/>
      <c r="K17" s="133"/>
      <c r="L17" s="212"/>
      <c r="M17" s="528"/>
      <c r="N17" s="528"/>
      <c r="P17" s="167"/>
      <c r="Q17" s="524"/>
      <c r="R17" s="167"/>
      <c r="S17" s="529"/>
      <c r="T17" s="532" t="s">
        <v>410</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E17" s="129"/>
      <c r="BF17" s="129" t="str">
        <f t="shared" si="34"/>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0"/>
      <c r="F18" s="133"/>
      <c r="G18" s="133"/>
      <c r="H18" s="133"/>
      <c r="I18" s="133"/>
      <c r="J18" s="133"/>
      <c r="K18" s="133"/>
      <c r="L18" s="212"/>
      <c r="M18" s="528"/>
      <c r="N18" s="528"/>
      <c r="O18" s="57"/>
      <c r="P18" s="167"/>
      <c r="Q18" s="524"/>
      <c r="R18" s="167"/>
      <c r="S18" s="529"/>
      <c r="T18" s="532" t="s">
        <v>411</v>
      </c>
      <c r="U18" s="531"/>
      <c r="V18" s="531"/>
      <c r="W18" s="531"/>
      <c r="X18" s="5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E18" s="129"/>
      <c r="BF18" s="129" t="str">
        <f t="shared" si="34"/>
        <v xml:space="preserve">Добавить территорию для дифференциации</v>
      </c>
      <c r="BG18" s="129"/>
      <c r="BH18" s="129"/>
      <c r="BI18" s="57">
        <v>0</v>
      </c>
    </row>
    <row r="19" ht="14.25" hidden="1" customHeight="1">
      <c r="AC19" s="50"/>
      <c r="BA19" s="50"/>
      <c r="BI19" s="50">
        <v>0</v>
      </c>
    </row>
    <row r="20" ht="14.25" hidden="1" customHeight="1">
      <c r="AD20" s="531" t="s">
        <v>19</v>
      </c>
      <c r="AE20" s="647"/>
      <c r="AF20" s="531">
        <v>1</v>
      </c>
      <c r="AG20" s="648"/>
      <c r="AH20" s="531" t="s">
        <v>19</v>
      </c>
      <c r="AI20" s="647"/>
      <c r="AJ20" s="531">
        <v>1</v>
      </c>
      <c r="AK20" s="648"/>
      <c r="AL20" s="531" t="s">
        <v>19</v>
      </c>
      <c r="AM20" s="649"/>
      <c r="AN20" s="531">
        <v>1</v>
      </c>
      <c r="AO20" s="134"/>
      <c r="AP20" s="531" t="s">
        <v>19</v>
      </c>
      <c r="AQ20" s="649"/>
      <c r="AR20" s="531">
        <v>1</v>
      </c>
      <c r="AS20" s="134"/>
      <c r="AT20" s="508"/>
      <c r="AU20" s="583"/>
      <c r="AV20" s="508"/>
      <c r="AW20" s="583"/>
      <c r="AX20" s="653"/>
      <c r="AY20" s="654" t="s">
        <v>65</v>
      </c>
      <c r="AZ20" s="653"/>
      <c r="BA20" s="654" t="s">
        <v>65</v>
      </c>
      <c r="BI20" s="50">
        <v>0</v>
      </c>
    </row>
    <row r="21" ht="14.25" hidden="1" customHeight="1">
      <c r="BD21" s="131"/>
      <c r="BE21" s="131"/>
      <c r="BF21" s="131"/>
      <c r="BG21" s="131"/>
      <c r="BH21" s="131"/>
      <c r="BI21" s="50">
        <v>0</v>
      </c>
    </row>
    <row r="22" ht="14.25" hidden="1" customHeight="1">
      <c r="O22" s="537" t="s">
        <v>412</v>
      </c>
      <c r="Z22" s="581"/>
      <c r="AB22" s="581"/>
      <c r="AC22" s="50"/>
      <c r="AX22" s="581"/>
      <c r="AZ22" s="581"/>
      <c r="BA22" s="50"/>
      <c r="BD22" s="131"/>
      <c r="BE22" s="131"/>
      <c r="BF22" s="131"/>
      <c r="BG22" s="131"/>
      <c r="BH22" s="131"/>
      <c r="BI22" s="50">
        <v>0</v>
      </c>
    </row>
    <row r="23" ht="14.25" hidden="1" customHeight="1">
      <c r="AC23" s="50"/>
      <c r="BA23" s="50"/>
      <c r="BD23" s="131"/>
      <c r="BE23" s="131"/>
      <c r="BF23" s="131"/>
      <c r="BG23" s="131"/>
      <c r="BH23" s="131"/>
      <c r="BI23" s="50">
        <v>0</v>
      </c>
    </row>
    <row r="24" s="655" customFormat="1" ht="14.25" hidden="1" customHeight="1">
      <c r="M24" s="656"/>
      <c r="N24" s="656"/>
      <c r="O24" s="655" t="s">
        <v>413</v>
      </c>
      <c r="P24" s="656"/>
      <c r="Q24" s="657"/>
      <c r="R24" s="657"/>
      <c r="AA24" s="655" t="s">
        <v>415</v>
      </c>
      <c r="AC24" s="655" t="s">
        <v>416</v>
      </c>
      <c r="AD24" s="655" t="s">
        <v>464</v>
      </c>
      <c r="AH24" s="655" t="s">
        <v>464</v>
      </c>
      <c r="AK24" s="655" t="s">
        <v>501</v>
      </c>
      <c r="AL24" s="655" t="s">
        <v>464</v>
      </c>
      <c r="AP24" s="655" t="s">
        <v>464</v>
      </c>
      <c r="AY24" s="655" t="s">
        <v>415</v>
      </c>
      <c r="BA24" s="655" t="s">
        <v>416</v>
      </c>
      <c r="BD24" s="658"/>
      <c r="BE24" s="658"/>
      <c r="BF24" s="658"/>
      <c r="BG24" s="658"/>
      <c r="BH24" s="658"/>
      <c r="BI24" s="655">
        <v>0</v>
      </c>
    </row>
    <row r="25" ht="14.25" hidden="1" customHeight="1">
      <c r="O25" s="481"/>
      <c r="BD25" s="131"/>
      <c r="BE25" s="131"/>
      <c r="BF25" s="131"/>
      <c r="BG25" s="131"/>
      <c r="BH25" s="131"/>
      <c r="BI25" s="50">
        <v>0</v>
      </c>
    </row>
    <row r="26" ht="14.25" hidden="1" customHeight="1">
      <c r="O26" s="481"/>
      <c r="BD26" s="131"/>
      <c r="BE26" s="131"/>
      <c r="BF26" s="131"/>
      <c r="BG26" s="131"/>
      <c r="BH26" s="131"/>
      <c r="BI26" s="50">
        <v>0</v>
      </c>
    </row>
    <row r="27" ht="14.65" customHeight="1">
      <c r="Q27" s="659"/>
      <c r="R27" s="539"/>
      <c r="S27" s="54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59"/>
      <c r="R28" s="539"/>
      <c r="S28" s="452"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240"/>
      <c r="BI28" s="50">
        <v>14</v>
      </c>
    </row>
    <row r="29" ht="14.65" customHeight="1">
      <c r="Q29" s="659"/>
      <c r="R29" s="539"/>
      <c r="S29" s="303" t="str">
        <f>IF(org=0,"Не определено",org)</f>
        <v xml:space="preserve">АО "ДГК" СП "Биробиджанская ТЭЦ"</v>
      </c>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240"/>
      <c r="BI29" s="50">
        <v>14</v>
      </c>
    </row>
    <row r="30" ht="14.25" hidden="1" customHeight="1">
      <c r="Q30" s="659"/>
      <c r="R30" s="539"/>
      <c r="S30" s="540"/>
      <c r="T30" s="91"/>
      <c r="U30" s="9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0"/>
      <c r="BI30" s="50">
        <v>0</v>
      </c>
    </row>
    <row r="31" s="184" customFormat="1" ht="25.5" hidden="1" customHeight="1">
      <c r="A31" s="151"/>
      <c r="B31" s="151"/>
      <c r="C31" s="151"/>
      <c r="D31" s="151"/>
      <c r="E31" s="151"/>
      <c r="F31" s="151"/>
      <c r="G31" s="151"/>
      <c r="H31" s="151"/>
      <c r="I31" s="151"/>
      <c r="J31" s="151"/>
      <c r="K31" s="151"/>
      <c r="L31" s="481"/>
      <c r="M31" s="151"/>
      <c r="N31" s="151"/>
      <c r="O31" s="151"/>
      <c r="P31" s="151"/>
      <c r="Q31" s="151"/>
      <c r="S31" s="542" t="s">
        <v>41</v>
      </c>
      <c r="T31" s="542"/>
      <c r="U31" s="543"/>
      <c r="V31" s="544" t="str">
        <f>IF(TITLE_NAME_OR_PR_CHANGE="",IF(TITLE_NAME_OR_PR="","",TITLE_NAME_OR_PR),TITLE_NAME_OR_PR_CHANGE)</f>
        <v/>
      </c>
      <c r="W31" s="544"/>
      <c r="X31" s="544"/>
      <c r="Y31" s="544"/>
      <c r="Z31" s="544"/>
      <c r="AA31" s="544"/>
      <c r="AB31" s="544"/>
      <c r="AC31" s="50"/>
      <c r="AD31" s="544" t="str">
        <f>IF(TITLE_NAME_OR_PR_CHANGE="",IF(TITLE_NAME_OR_PR="","",TITLE_NAME_OR_PR),TITLE_NAME_OR_PR_CHANGE)</f>
        <v/>
      </c>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0"/>
      <c r="BB31" s="50"/>
      <c r="BC31" s="545"/>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418</v>
      </c>
      <c r="T32" s="542"/>
      <c r="U32" s="543"/>
      <c r="V32" s="546" t="str">
        <f>IF(TITLE_DATE_PR_CHANGE="",IF(TITLE_DATE_PR="","",TITLE_DATE_PR),TITLE_DATE_PR_CHANGE)</f>
        <v/>
      </c>
      <c r="W32" s="546"/>
      <c r="X32" s="546"/>
      <c r="Y32" s="546"/>
      <c r="Z32" s="546"/>
      <c r="AA32" s="546"/>
      <c r="AB32" s="546"/>
      <c r="AC32" s="50"/>
      <c r="AD32" s="546" t="str">
        <f>IF(TITLE_DATE_PR_CHANGE="",IF(TITLE_DATE_PR="","",TITLE_DATE_PR),TITLE_DATE_PR_CHANGE)</f>
        <v/>
      </c>
      <c r="AE32" s="546"/>
      <c r="AF32" s="546"/>
      <c r="AG32" s="546"/>
      <c r="AH32" s="546"/>
      <c r="AI32" s="546"/>
      <c r="AJ32" s="546"/>
      <c r="AK32" s="546"/>
      <c r="AL32" s="546"/>
      <c r="AM32" s="546"/>
      <c r="AN32" s="546"/>
      <c r="AO32" s="546"/>
      <c r="AP32" s="546"/>
      <c r="AQ32" s="546"/>
      <c r="AR32" s="546"/>
      <c r="AS32" s="546"/>
      <c r="AT32" s="546"/>
      <c r="AU32" s="546"/>
      <c r="AV32" s="546"/>
      <c r="AW32" s="546"/>
      <c r="AX32" s="546"/>
      <c r="AY32" s="546"/>
      <c r="AZ32" s="546"/>
      <c r="BA32" s="50"/>
      <c r="BB32" s="50"/>
      <c r="BC32" s="545"/>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419</v>
      </c>
      <c r="T33" s="542"/>
      <c r="U33" s="543"/>
      <c r="V33" s="544" t="str">
        <f>IF(TITLE_NUMBER_PR_CHANGE="",IF(TITLE_NUMBER_PR="","",TITLE_NUMBER_PR),TITLE_NUMBER_PR_CHANGE)</f>
        <v/>
      </c>
      <c r="W33" s="544"/>
      <c r="X33" s="544"/>
      <c r="Y33" s="544"/>
      <c r="Z33" s="544"/>
      <c r="AA33" s="544"/>
      <c r="AB33" s="544"/>
      <c r="AC33" s="50"/>
      <c r="AD33" s="544" t="str">
        <f>IF(TITLE_NUMBER_PR_CHANGE="",IF(TITLE_NUMBER_PR="","",TITLE_NUMBER_PR),TITLE_NUMBER_PR_CHANGE)</f>
        <v/>
      </c>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0"/>
      <c r="BB33" s="50"/>
      <c r="BC33" s="545"/>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81"/>
      <c r="M34" s="151"/>
      <c r="N34" s="151"/>
      <c r="O34" s="151"/>
      <c r="P34" s="151"/>
      <c r="Q34" s="151"/>
      <c r="S34" s="542" t="s">
        <v>42</v>
      </c>
      <c r="T34" s="542"/>
      <c r="U34" s="543"/>
      <c r="V34" s="544" t="str">
        <f>IF(TITLE_IST_PUB_CHANGE="",IF(TITLE_IST_PUB="","",TITLE_IST_PUB),TITLE_IST_PUB_CHANGE)</f>
        <v/>
      </c>
      <c r="W34" s="544"/>
      <c r="X34" s="544"/>
      <c r="Y34" s="544"/>
      <c r="Z34" s="544"/>
      <c r="AA34" s="544"/>
      <c r="AB34" s="544"/>
      <c r="AC34" s="50"/>
      <c r="AD34" s="544" t="str">
        <f>IF(TITLE_IST_PUB_CHANGE="",IF(TITLE_IST_PUB="","",TITLE_IST_PUB),TITLE_IST_PUB_CHANGE)</f>
        <v/>
      </c>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0"/>
      <c r="BB34" s="50"/>
      <c r="BC34" s="545"/>
      <c r="BD34" s="129"/>
      <c r="BE34" s="129"/>
      <c r="BF34" s="129"/>
      <c r="BG34" s="129"/>
      <c r="BH34" s="129"/>
      <c r="BI34" s="184">
        <v>0</v>
      </c>
    </row>
    <row r="35" ht="14.25" hidden="1" customHeight="1">
      <c r="Q35" s="659"/>
      <c r="R35" s="539"/>
      <c r="S35" s="540"/>
      <c r="T35" s="91"/>
      <c r="U35" s="9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0"/>
      <c r="BI35" s="50">
        <v>0</v>
      </c>
    </row>
    <row r="36" s="184" customFormat="1" ht="18.75" hidden="1" customHeight="1">
      <c r="A36" s="151"/>
      <c r="B36" s="151"/>
      <c r="C36" s="151"/>
      <c r="D36" s="151"/>
      <c r="E36" s="151"/>
      <c r="F36" s="151"/>
      <c r="G36" s="151"/>
      <c r="H36" s="151"/>
      <c r="I36" s="151"/>
      <c r="J36" s="151"/>
      <c r="K36" s="151"/>
      <c r="L36" s="481"/>
      <c r="M36" s="151"/>
      <c r="N36" s="151"/>
      <c r="O36" s="151"/>
      <c r="P36" s="151"/>
      <c r="Q36" s="151"/>
      <c r="S36" s="542" t="s">
        <v>418</v>
      </c>
      <c r="T36" s="542"/>
      <c r="U36" s="543"/>
      <c r="V36" s="546" t="str">
        <f>IF(TITLE_DATE_PR_CHANGE="",IF(TITLE_DATE_PR="","",TITLE_DATE_PR),TITLE_DATE_PR_CHANGE)</f>
        <v/>
      </c>
      <c r="W36" s="546"/>
      <c r="X36" s="546"/>
      <c r="Y36" s="546"/>
      <c r="Z36" s="546"/>
      <c r="AA36" s="546"/>
      <c r="AB36" s="546"/>
      <c r="AC36" s="50"/>
      <c r="AD36" s="546" t="str">
        <f>IF(TITLE_DATE_PR_CHANGE="",IF(TITLE_DATE_PR="","",TITLE_DATE_PR),TITLE_DATE_PR_CHANGE)</f>
        <v/>
      </c>
      <c r="AE36" s="546"/>
      <c r="AF36" s="546"/>
      <c r="AG36" s="546"/>
      <c r="AH36" s="546"/>
      <c r="AI36" s="546"/>
      <c r="AJ36" s="546"/>
      <c r="AK36" s="546"/>
      <c r="AL36" s="546"/>
      <c r="AM36" s="546"/>
      <c r="AN36" s="546"/>
      <c r="AO36" s="546"/>
      <c r="AP36" s="546"/>
      <c r="AQ36" s="546"/>
      <c r="AR36" s="546"/>
      <c r="AS36" s="546"/>
      <c r="AT36" s="546"/>
      <c r="AU36" s="546"/>
      <c r="AV36" s="546"/>
      <c r="AW36" s="546"/>
      <c r="AX36" s="546"/>
      <c r="AY36" s="546"/>
      <c r="AZ36" s="546"/>
      <c r="BA36" s="50"/>
      <c r="BB36" s="50"/>
      <c r="BC36" s="545"/>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1"/>
      <c r="M37" s="151"/>
      <c r="N37" s="151"/>
      <c r="O37" s="151"/>
      <c r="P37" s="151"/>
      <c r="Q37" s="151"/>
      <c r="S37" s="542" t="s">
        <v>419</v>
      </c>
      <c r="T37" s="542"/>
      <c r="U37" s="543"/>
      <c r="V37" s="544" t="str">
        <f>IF(TITLE_NUMBER_PR_CHANGE="",IF(TITLE_NUMBER_PR="","",TITLE_NUMBER_PR),TITLE_NUMBER_PR_CHANGE)</f>
        <v/>
      </c>
      <c r="W37" s="544"/>
      <c r="X37" s="544"/>
      <c r="Y37" s="544"/>
      <c r="Z37" s="544"/>
      <c r="AA37" s="544"/>
      <c r="AB37" s="544"/>
      <c r="AC37" s="50"/>
      <c r="AD37" s="544" t="str">
        <f>IF(TITLE_NUMBER_PR_CHANGE="",IF(TITLE_NUMBER_PR="","",TITLE_NUMBER_PR),TITLE_NUMBER_PR_CHANGE)</f>
        <v/>
      </c>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0"/>
      <c r="BB37" s="50"/>
      <c r="BC37" s="545"/>
      <c r="BD37" s="129"/>
      <c r="BE37" s="129"/>
      <c r="BF37" s="129"/>
      <c r="BG37" s="129"/>
      <c r="BH37" s="129"/>
      <c r="BI37" s="184">
        <v>0</v>
      </c>
    </row>
    <row r="38" s="184" customFormat="1" ht="0" customHeight="1">
      <c r="A38" s="151"/>
      <c r="B38" s="151"/>
      <c r="C38" s="151"/>
      <c r="D38" s="151"/>
      <c r="E38" s="151"/>
      <c r="F38" s="151"/>
      <c r="G38" s="151"/>
      <c r="H38" s="151"/>
      <c r="I38" s="151"/>
      <c r="J38" s="151"/>
      <c r="K38" s="151"/>
      <c r="L38" s="481"/>
      <c r="M38" s="151"/>
      <c r="N38" s="151"/>
      <c r="O38" s="151"/>
      <c r="P38" s="151"/>
      <c r="Q38" s="151"/>
      <c r="S38" s="50"/>
      <c r="T38" s="50"/>
      <c r="U38" s="140"/>
      <c r="V38" s="50"/>
      <c r="W38" s="50"/>
      <c r="X38" s="50"/>
      <c r="Y38" s="50"/>
      <c r="Z38" s="50"/>
      <c r="AA38" s="50"/>
      <c r="AB38" s="50"/>
      <c r="AC38" s="57" t="s">
        <v>422</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422</v>
      </c>
      <c r="BD38" s="129"/>
      <c r="BE38" s="129"/>
      <c r="BF38" s="129"/>
      <c r="BG38" s="129"/>
      <c r="BH38" s="129"/>
      <c r="BI38" s="184">
        <v>0</v>
      </c>
    </row>
    <row r="39" ht="14.65" customHeight="1">
      <c r="Q39" s="659"/>
      <c r="R39" s="539"/>
      <c r="S39" s="540"/>
      <c r="T39" s="91"/>
      <c r="U39" s="547"/>
      <c r="V39" s="548"/>
      <c r="W39" s="548"/>
      <c r="X39" s="548"/>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I39" s="50">
        <v>14</v>
      </c>
    </row>
    <row r="40" ht="14.65" customHeight="1">
      <c r="Q40" s="659"/>
      <c r="R40" s="539"/>
      <c r="S40" s="157" t="s">
        <v>295</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296</v>
      </c>
      <c r="BI40" s="50">
        <v>14</v>
      </c>
    </row>
    <row r="41" ht="14.65" customHeight="1">
      <c r="Q41" s="659"/>
      <c r="R41" s="539"/>
      <c r="S41" s="484" t="s">
        <v>88</v>
      </c>
      <c r="T41" s="347" t="s">
        <v>502</v>
      </c>
      <c r="U41" s="549"/>
      <c r="V41" s="550" t="s">
        <v>424</v>
      </c>
      <c r="W41" s="551"/>
      <c r="X41" s="551"/>
      <c r="Y41" s="551"/>
      <c r="Z41" s="551"/>
      <c r="AA41" s="551"/>
      <c r="AB41" s="552"/>
      <c r="AC41" s="553" t="s">
        <v>425</v>
      </c>
      <c r="AD41" s="661" t="s">
        <v>503</v>
      </c>
      <c r="AE41" s="584"/>
      <c r="AF41" s="584"/>
      <c r="AG41" s="662"/>
      <c r="AH41" s="661" t="s">
        <v>504</v>
      </c>
      <c r="AI41" s="584"/>
      <c r="AJ41" s="584"/>
      <c r="AK41" s="662"/>
      <c r="AL41" s="661" t="s">
        <v>505</v>
      </c>
      <c r="AM41" s="584"/>
      <c r="AN41" s="584"/>
      <c r="AO41" s="662"/>
      <c r="AP41" s="661" t="s">
        <v>506</v>
      </c>
      <c r="AQ41" s="584"/>
      <c r="AR41" s="584"/>
      <c r="AS41" s="662"/>
      <c r="AT41" s="550" t="s">
        <v>424</v>
      </c>
      <c r="AU41" s="551"/>
      <c r="AV41" s="551"/>
      <c r="AW41" s="551"/>
      <c r="AX41" s="551"/>
      <c r="AY41" s="551"/>
      <c r="AZ41" s="552"/>
      <c r="BA41" s="553" t="s">
        <v>425</v>
      </c>
      <c r="BB41" s="554" t="s">
        <v>427</v>
      </c>
      <c r="BC41" s="157"/>
      <c r="BI41" s="50">
        <v>14</v>
      </c>
    </row>
    <row r="42" ht="35.649999999999999" customHeight="1">
      <c r="Q42" s="659"/>
      <c r="R42" s="539"/>
      <c r="S42" s="484"/>
      <c r="T42" s="347"/>
      <c r="U42" s="555"/>
      <c r="V42" s="304" t="s">
        <v>507</v>
      </c>
      <c r="W42" s="305"/>
      <c r="X42" s="304" t="s">
        <v>508</v>
      </c>
      <c r="Y42" s="305"/>
      <c r="Z42" s="304" t="s">
        <v>509</v>
      </c>
      <c r="AA42" s="626"/>
      <c r="AB42" s="305"/>
      <c r="AC42" s="557"/>
      <c r="AD42" s="664"/>
      <c r="AE42" s="665"/>
      <c r="AF42" s="665"/>
      <c r="AG42" s="666"/>
      <c r="AH42" s="664"/>
      <c r="AI42" s="665"/>
      <c r="AJ42" s="665"/>
      <c r="AK42" s="666"/>
      <c r="AL42" s="664"/>
      <c r="AM42" s="665"/>
      <c r="AN42" s="665"/>
      <c r="AO42" s="666"/>
      <c r="AP42" s="664"/>
      <c r="AQ42" s="665"/>
      <c r="AR42" s="665"/>
      <c r="AS42" s="666"/>
      <c r="AT42" s="304" t="s">
        <v>507</v>
      </c>
      <c r="AU42" s="305"/>
      <c r="AV42" s="304" t="s">
        <v>508</v>
      </c>
      <c r="AW42" s="305"/>
      <c r="AX42" s="304" t="s">
        <v>509</v>
      </c>
      <c r="AY42" s="626"/>
      <c r="AZ42" s="305"/>
      <c r="BA42" s="557"/>
      <c r="BB42" s="558"/>
      <c r="BC42" s="157"/>
      <c r="BI42" s="50">
        <v>34</v>
      </c>
    </row>
    <row r="43" ht="14.65" customHeight="1">
      <c r="Q43" s="659"/>
      <c r="R43" s="539"/>
      <c r="S43" s="484"/>
      <c r="T43" s="347"/>
      <c r="U43" s="555"/>
      <c r="V43" s="310"/>
      <c r="W43" s="311"/>
      <c r="X43" s="310"/>
      <c r="Y43" s="311"/>
      <c r="Z43" s="310"/>
      <c r="AA43" s="627"/>
      <c r="AB43" s="311"/>
      <c r="AC43" s="557"/>
      <c r="AD43" s="664"/>
      <c r="AE43" s="665"/>
      <c r="AF43" s="665"/>
      <c r="AG43" s="666"/>
      <c r="AH43" s="664"/>
      <c r="AI43" s="665"/>
      <c r="AJ43" s="665"/>
      <c r="AK43" s="666"/>
      <c r="AL43" s="664"/>
      <c r="AM43" s="665"/>
      <c r="AN43" s="665"/>
      <c r="AO43" s="666"/>
      <c r="AP43" s="664"/>
      <c r="AQ43" s="665"/>
      <c r="AR43" s="665"/>
      <c r="AS43" s="666"/>
      <c r="AT43" s="310"/>
      <c r="AU43" s="311"/>
      <c r="AV43" s="310"/>
      <c r="AW43" s="311"/>
      <c r="AX43" s="310"/>
      <c r="AY43" s="627"/>
      <c r="AZ43" s="311"/>
      <c r="BA43" s="557"/>
      <c r="BB43" s="558"/>
      <c r="BC43" s="157"/>
      <c r="BI43" s="50">
        <v>14</v>
      </c>
    </row>
    <row r="44" ht="14.65" customHeight="1">
      <c r="A44" s="151"/>
      <c r="B44" s="151" t="s">
        <v>132</v>
      </c>
      <c r="C44" s="151" t="s">
        <v>133</v>
      </c>
      <c r="D44" s="151" t="s">
        <v>134</v>
      </c>
      <c r="E44" s="481" t="s">
        <v>432</v>
      </c>
      <c r="F44" s="481" t="s">
        <v>433</v>
      </c>
      <c r="G44" s="481" t="s">
        <v>434</v>
      </c>
      <c r="H44" s="481" t="s">
        <v>435</v>
      </c>
      <c r="I44" s="481" t="s">
        <v>436</v>
      </c>
      <c r="J44" s="481" t="s">
        <v>437</v>
      </c>
      <c r="K44" s="481" t="s">
        <v>438</v>
      </c>
      <c r="L44" s="481" t="s">
        <v>413</v>
      </c>
      <c r="Q44" s="659"/>
      <c r="R44" s="539"/>
      <c r="S44" s="484"/>
      <c r="T44" s="347"/>
      <c r="U44" s="559"/>
      <c r="V44" s="347" t="s">
        <v>473</v>
      </c>
      <c r="W44" s="347" t="s">
        <v>474</v>
      </c>
      <c r="X44" s="347" t="s">
        <v>473</v>
      </c>
      <c r="Y44" s="347" t="s">
        <v>474</v>
      </c>
      <c r="Z44" s="246" t="s">
        <v>441</v>
      </c>
      <c r="AA44" s="415" t="s">
        <v>442</v>
      </c>
      <c r="AB44" s="417"/>
      <c r="AC44" s="561"/>
      <c r="AD44" s="670"/>
      <c r="AE44" s="671"/>
      <c r="AF44" s="671"/>
      <c r="AG44" s="672"/>
      <c r="AH44" s="670"/>
      <c r="AI44" s="671"/>
      <c r="AJ44" s="671"/>
      <c r="AK44" s="672"/>
      <c r="AL44" s="670"/>
      <c r="AM44" s="671"/>
      <c r="AN44" s="671"/>
      <c r="AO44" s="672"/>
      <c r="AP44" s="670"/>
      <c r="AQ44" s="671"/>
      <c r="AR44" s="671"/>
      <c r="AS44" s="672"/>
      <c r="AT44" s="347" t="s">
        <v>473</v>
      </c>
      <c r="AU44" s="347" t="s">
        <v>474</v>
      </c>
      <c r="AV44" s="347" t="s">
        <v>473</v>
      </c>
      <c r="AW44" s="347" t="s">
        <v>474</v>
      </c>
      <c r="AX44" s="246" t="s">
        <v>441</v>
      </c>
      <c r="AY44" s="415" t="s">
        <v>442</v>
      </c>
      <c r="AZ44" s="417"/>
      <c r="BA44" s="561"/>
      <c r="BB44" s="562"/>
      <c r="BC44" s="157"/>
      <c r="BI44" s="50">
        <v>14</v>
      </c>
    </row>
    <row r="45" s="131" customFormat="1" ht="11.25" hidden="1" customHeight="1">
      <c r="A45" s="151"/>
      <c r="B45" s="151"/>
      <c r="C45" s="151"/>
      <c r="D45" s="151"/>
      <c r="E45" s="151"/>
      <c r="F45" s="151"/>
      <c r="G45" s="151"/>
      <c r="H45" s="151"/>
      <c r="I45" s="151"/>
      <c r="J45" s="151"/>
      <c r="K45" s="151"/>
      <c r="L45" s="481"/>
      <c r="M45" s="61"/>
      <c r="N45" s="61"/>
      <c r="O45" s="61"/>
      <c r="P45" s="596"/>
      <c r="Q45" s="565"/>
      <c r="R45" s="565">
        <v>1</v>
      </c>
      <c r="S45" s="566" t="s">
        <v>106</v>
      </c>
      <c r="T45" s="567" t="s">
        <v>107</v>
      </c>
      <c r="U45" s="568" t="str">
        <f ca="1">OFFSET(U45,0,-1)</f>
        <v>2</v>
      </c>
      <c r="V45" s="569">
        <f ca="1">OFFSET(V45,0,-1)+1</f>
        <v>3</v>
      </c>
      <c r="W45" s="569">
        <f ca="1">OFFSET(W45,0,-1)+1</f>
        <v>4</v>
      </c>
      <c r="X45" s="569">
        <f ca="1">OFFSET(X45,0,-1)+1</f>
        <v>5</v>
      </c>
      <c r="Y45" s="569">
        <f ca="1">OFFSET(Y45,0,-1)+1</f>
        <v>6</v>
      </c>
      <c r="Z45" s="569">
        <f ca="1">OFFSET(Z45,0,-1)+1</f>
        <v>7</v>
      </c>
      <c r="AA45" s="569">
        <f ca="1">OFFSET(AA45,0,-1)+1</f>
        <v>8</v>
      </c>
      <c r="AB45" s="569"/>
      <c r="AC45" s="569">
        <f ca="1">OFFSET(AC45,0,-2)+1</f>
        <v>9</v>
      </c>
      <c r="AD45" s="569">
        <f ca="1">OFFSET(AD45,0,-1)+1</f>
        <v>10</v>
      </c>
      <c r="AE45" s="569"/>
      <c r="AF45" s="569"/>
      <c r="AG45" s="569"/>
      <c r="AH45" s="569"/>
      <c r="AI45" s="569"/>
      <c r="AJ45" s="569"/>
      <c r="AK45" s="569"/>
      <c r="AL45" s="569"/>
      <c r="AM45" s="569"/>
      <c r="AN45" s="569"/>
      <c r="AO45" s="569"/>
      <c r="AP45" s="569"/>
      <c r="AQ45" s="569"/>
      <c r="AR45" s="569"/>
      <c r="AS45" s="569"/>
      <c r="AT45" s="569"/>
      <c r="AU45" s="569"/>
      <c r="AV45" s="569"/>
      <c r="AW45" s="569">
        <f ca="1">OFFSET(AW45,0,-1)+1</f>
        <v>1</v>
      </c>
      <c r="AX45" s="569">
        <f ca="1">OFFSET(AX45,0,-1)+1</f>
        <v>2</v>
      </c>
      <c r="AY45" s="569">
        <f ca="1">OFFSET(AY45,0,-1)+1</f>
        <v>3</v>
      </c>
      <c r="AZ45" s="569"/>
      <c r="BA45" s="569">
        <f ca="1">OFFSET(BA45,0,-2)+1</f>
        <v>4</v>
      </c>
      <c r="BB45" s="568">
        <f ca="1">OFFSET(BB45,0,-1)</f>
        <v>4</v>
      </c>
      <c r="BC45" s="569">
        <f ca="1">OFFSET(BC45,0,-1)+1</f>
        <v>5</v>
      </c>
      <c r="BD45" s="57"/>
      <c r="BE45" s="57"/>
      <c r="BF45" s="57"/>
      <c r="BG45" s="57"/>
      <c r="BH45" s="57"/>
      <c r="BI45" s="131">
        <v>0</v>
      </c>
    </row>
    <row r="46" ht="22" customHeight="1">
      <c r="A46" s="479" t="s">
        <v>241</v>
      </c>
      <c r="B46" s="479"/>
      <c r="C46" s="479"/>
      <c r="D46" s="479"/>
      <c r="E46" s="480">
        <v>1</v>
      </c>
      <c r="F46" s="479"/>
      <c r="G46" s="479"/>
      <c r="H46" s="479"/>
      <c r="I46" s="479"/>
      <c r="J46" s="479"/>
      <c r="K46" s="479"/>
      <c r="L46" s="481"/>
      <c r="M46" s="482"/>
      <c r="N46" s="482"/>
      <c r="O46" s="482"/>
      <c r="P46" s="61"/>
      <c r="Q46" s="64"/>
      <c r="R46" s="483"/>
      <c r="S46" s="484">
        <f>INDEX(PT_DIFFERENTIATION_NUM_NTAR,MATCH(A46,PT_DIFFERENTIATION_NTAR_ID,0))</f>
        <v>0</v>
      </c>
      <c r="T46" s="485" t="s">
        <v>120</v>
      </c>
      <c r="U46" s="486"/>
      <c r="V46" s="488"/>
      <c r="W46" s="488"/>
      <c r="X46" s="488"/>
      <c r="Y46" s="488"/>
      <c r="Z46" s="488"/>
      <c r="AA46" s="488"/>
      <c r="AB46" s="488"/>
      <c r="AC46" s="489"/>
      <c r="AD46" s="487" t="str">
        <f>INDEX(PT_DIFFERENTIATION_NTAR,MATCH(A46,PT_DIFFERENTIATION_NTAR_ID,0))</f>
        <v/>
      </c>
      <c r="AE46" s="488"/>
      <c r="AF46" s="488"/>
      <c r="AG46" s="488"/>
      <c r="AH46" s="488"/>
      <c r="AI46" s="488"/>
      <c r="AJ46" s="488"/>
      <c r="AK46" s="488"/>
      <c r="AL46" s="488"/>
      <c r="AM46" s="488"/>
      <c r="AN46" s="488"/>
      <c r="AO46" s="488"/>
      <c r="AP46" s="488"/>
      <c r="AQ46" s="488"/>
      <c r="AR46" s="488"/>
      <c r="AS46" s="488"/>
      <c r="AT46" s="488"/>
      <c r="AU46" s="488"/>
      <c r="AV46" s="488"/>
      <c r="AW46" s="488"/>
      <c r="AX46" s="488"/>
      <c r="AY46" s="488"/>
      <c r="AZ46" s="488"/>
      <c r="BA46" s="488"/>
      <c r="BB46" s="489"/>
      <c r="BC46"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34"/>
        <v xml:space="preserve">Наименование тарифа</v>
      </c>
      <c r="BG46" s="129"/>
      <c r="BH46" s="129"/>
      <c r="BI46" s="50">
        <v>21</v>
      </c>
    </row>
    <row r="47" ht="22" customHeight="1">
      <c r="A47" s="479" t="s">
        <v>241</v>
      </c>
      <c r="B47" s="479" t="s">
        <v>242</v>
      </c>
      <c r="C47" s="479"/>
      <c r="D47" s="479"/>
      <c r="E47" s="491"/>
      <c r="F47" s="480">
        <v>1</v>
      </c>
      <c r="G47" s="479"/>
      <c r="H47" s="479"/>
      <c r="I47" s="479"/>
      <c r="J47" s="479"/>
      <c r="K47" s="479"/>
      <c r="L47" s="481"/>
      <c r="M47" s="482"/>
      <c r="N47" s="482"/>
      <c r="O47" s="482"/>
      <c r="P47" s="114"/>
      <c r="Q47" s="629"/>
      <c r="R47" s="493"/>
      <c r="S47" s="484" t="str">
        <f>INDEX(PT_DIFFERENTIATION_NUM_TER,MATCH(B47,PT_DIFFERENTIATION_TER_ID,0))</f>
        <v>.</v>
      </c>
      <c r="T47" s="494" t="s">
        <v>392</v>
      </c>
      <c r="U47" s="486"/>
      <c r="V47" s="488"/>
      <c r="W47" s="488"/>
      <c r="X47" s="488"/>
      <c r="Y47" s="488"/>
      <c r="Z47" s="488"/>
      <c r="AA47" s="488"/>
      <c r="AB47" s="488"/>
      <c r="AC47" s="489"/>
      <c r="AD47" s="487" t="str">
        <f>INDEX(PT_DIFFERENTIATION_TER,MATCH(B47,PT_DIFFERENTIATION_TER_ID,0))</f>
        <v/>
      </c>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9"/>
      <c r="BC47" s="490" t="s">
        <v>393</v>
      </c>
      <c r="BE47" s="129"/>
      <c r="BF47" s="129" t="str">
        <f t="shared" si="34"/>
        <v xml:space="preserve">Территория действия тарифа</v>
      </c>
      <c r="BG47" s="129"/>
      <c r="BH47" s="129"/>
      <c r="BI47" s="50">
        <v>21</v>
      </c>
    </row>
    <row r="48" ht="43.049999999999997" customHeight="1">
      <c r="A48" s="479" t="s">
        <v>241</v>
      </c>
      <c r="B48" s="479" t="s">
        <v>242</v>
      </c>
      <c r="C48" s="479" t="s">
        <v>243</v>
      </c>
      <c r="D48" s="479"/>
      <c r="E48" s="491"/>
      <c r="F48" s="491"/>
      <c r="G48" s="480">
        <v>1</v>
      </c>
      <c r="H48" s="479"/>
      <c r="I48" s="479"/>
      <c r="J48" s="479"/>
      <c r="K48" s="479"/>
      <c r="L48" s="481"/>
      <c r="M48" s="482"/>
      <c r="N48" s="482"/>
      <c r="O48" s="482"/>
      <c r="P48" s="135"/>
      <c r="Q48" s="629"/>
      <c r="R48" s="493"/>
      <c r="S48" s="484" t="str">
        <f>INDEX(PT_DIFFERENTIATION_NUM_CS,MATCH(C48,PT_DIFFERENTIATION_CS_ID,0))</f>
        <v>..</v>
      </c>
      <c r="T48" s="496" t="s">
        <v>476</v>
      </c>
      <c r="U48" s="486"/>
      <c r="V48" s="488"/>
      <c r="W48" s="488"/>
      <c r="X48" s="488"/>
      <c r="Y48" s="488"/>
      <c r="Z48" s="488"/>
      <c r="AA48" s="488"/>
      <c r="AB48" s="488"/>
      <c r="AC48" s="489"/>
      <c r="AD48" s="487" t="str">
        <f>INDEX(PT_DIFFERENTIATION_CS,MATCH(C48,PT_DIFFERENTIATION_CS_ID,0))</f>
        <v/>
      </c>
      <c r="AE48" s="488"/>
      <c r="AF48" s="488"/>
      <c r="AG48" s="488"/>
      <c r="AH48" s="488"/>
      <c r="AI48" s="488"/>
      <c r="AJ48" s="488"/>
      <c r="AK48" s="488"/>
      <c r="AL48" s="488"/>
      <c r="AM48" s="488"/>
      <c r="AN48" s="488"/>
      <c r="AO48" s="488"/>
      <c r="AP48" s="488"/>
      <c r="AQ48" s="488"/>
      <c r="AR48" s="488"/>
      <c r="AS48" s="488"/>
      <c r="AT48" s="488"/>
      <c r="AU48" s="488"/>
      <c r="AV48" s="488"/>
      <c r="AW48" s="488"/>
      <c r="AX48" s="488"/>
      <c r="AY48" s="488"/>
      <c r="AZ48" s="488"/>
      <c r="BA48" s="488"/>
      <c r="BB48" s="489"/>
      <c r="BC48" s="490" t="s">
        <v>477</v>
      </c>
      <c r="BE48" s="129"/>
      <c r="BF48" s="129" t="str">
        <f t="shared" si="34"/>
        <v xml:space="preserve">Наименование централизованной системы холодного водоснабжения</v>
      </c>
      <c r="BG48" s="129"/>
      <c r="BH48" s="129"/>
      <c r="BI48" s="50">
        <v>41</v>
      </c>
    </row>
    <row r="49" s="57" customFormat="1" ht="0" customHeight="1">
      <c r="A49" s="133" t="s">
        <v>241</v>
      </c>
      <c r="B49" s="133" t="s">
        <v>242</v>
      </c>
      <c r="C49" s="133" t="s">
        <v>243</v>
      </c>
      <c r="D49" s="133" t="s">
        <v>510</v>
      </c>
      <c r="E49" s="491"/>
      <c r="F49" s="491"/>
      <c r="G49" s="491"/>
      <c r="H49" s="480">
        <v>1</v>
      </c>
      <c r="I49" s="133"/>
      <c r="J49" s="133"/>
      <c r="K49" s="133"/>
      <c r="L49" s="212"/>
      <c r="M49" s="464"/>
      <c r="N49" s="464"/>
      <c r="O49" s="464"/>
      <c r="P49" s="694"/>
      <c r="Q49" s="695"/>
      <c r="R49" s="504"/>
      <c r="S49" s="351"/>
      <c r="T49" s="696"/>
      <c r="U49" s="587"/>
      <c r="V49" s="589"/>
      <c r="W49" s="589"/>
      <c r="X49" s="589"/>
      <c r="Y49" s="589"/>
      <c r="Z49" s="589"/>
      <c r="AA49" s="589"/>
      <c r="AB49" s="589"/>
      <c r="AC49" s="590"/>
      <c r="AD49" s="588"/>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90"/>
      <c r="BC49" s="591" t="s">
        <v>397</v>
      </c>
      <c r="BE49" s="129"/>
      <c r="BF49" s="129" t="str">
        <f t="shared" si="34"/>
        <v/>
      </c>
      <c r="BG49" s="129"/>
      <c r="BH49" s="129"/>
      <c r="BI49" s="57">
        <v>0</v>
      </c>
    </row>
    <row r="50" s="57" customFormat="1" ht="0" customHeight="1">
      <c r="A50" s="133" t="s">
        <v>241</v>
      </c>
      <c r="B50" s="133" t="s">
        <v>242</v>
      </c>
      <c r="C50" s="133" t="s">
        <v>243</v>
      </c>
      <c r="D50" s="133" t="s">
        <v>510</v>
      </c>
      <c r="E50" s="491"/>
      <c r="F50" s="491"/>
      <c r="G50" s="491"/>
      <c r="H50" s="491"/>
      <c r="I50" s="498" t="str">
        <f>S49&amp;".1"</f>
        <v>.1</v>
      </c>
      <c r="J50" s="133"/>
      <c r="K50" s="133"/>
      <c r="L50" s="212" t="s">
        <v>398</v>
      </c>
      <c r="M50" s="596"/>
      <c r="N50" s="596"/>
      <c r="O50" s="596"/>
      <c r="P50" s="132">
        <v>1</v>
      </c>
      <c r="Q50" s="132"/>
      <c r="R50" s="499"/>
      <c r="S50" s="351"/>
      <c r="T50" s="586"/>
      <c r="U50" s="587"/>
      <c r="V50" s="589"/>
      <c r="W50" s="589"/>
      <c r="X50" s="589"/>
      <c r="Y50" s="589"/>
      <c r="Z50" s="589"/>
      <c r="AA50" s="589"/>
      <c r="AB50" s="589"/>
      <c r="AC50" s="590"/>
      <c r="AD50" s="588"/>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90"/>
      <c r="BC50" s="591"/>
      <c r="BE50" s="129"/>
      <c r="BF50" s="129" t="str">
        <f t="shared" si="34"/>
        <v/>
      </c>
      <c r="BG50" s="129"/>
      <c r="BH50" s="129"/>
      <c r="BI50" s="57">
        <v>0</v>
      </c>
    </row>
    <row r="51" s="57" customFormat="1" ht="0" customHeight="1">
      <c r="A51" s="133" t="s">
        <v>241</v>
      </c>
      <c r="B51" s="133" t="s">
        <v>242</v>
      </c>
      <c r="C51" s="133" t="s">
        <v>243</v>
      </c>
      <c r="D51" s="133" t="s">
        <v>510</v>
      </c>
      <c r="E51" s="491"/>
      <c r="F51" s="491"/>
      <c r="G51" s="491"/>
      <c r="H51" s="491"/>
      <c r="I51" s="503"/>
      <c r="J51" s="498" t="str">
        <f>S49&amp;".1"</f>
        <v>.1</v>
      </c>
      <c r="K51" s="133"/>
      <c r="L51" s="212"/>
      <c r="M51" s="596"/>
      <c r="N51" s="596"/>
      <c r="O51" s="596"/>
      <c r="P51" s="132"/>
      <c r="Q51" s="132">
        <v>1</v>
      </c>
      <c r="R51" s="504"/>
      <c r="S51" s="351"/>
      <c r="T51" s="630"/>
      <c r="U51" s="587"/>
      <c r="V51" s="589"/>
      <c r="W51" s="589"/>
      <c r="X51" s="589"/>
      <c r="Y51" s="589"/>
      <c r="Z51" s="589"/>
      <c r="AA51" s="589"/>
      <c r="AB51" s="589"/>
      <c r="AC51" s="590"/>
      <c r="AD51" s="588"/>
      <c r="AE51" s="589"/>
      <c r="AF51" s="589"/>
      <c r="AG51" s="589"/>
      <c r="AH51" s="589"/>
      <c r="AI51" s="589"/>
      <c r="AJ51" s="589"/>
      <c r="AK51" s="589"/>
      <c r="AL51" s="589"/>
      <c r="AM51" s="589"/>
      <c r="AN51" s="703"/>
      <c r="AO51" s="703"/>
      <c r="AP51" s="589"/>
      <c r="AQ51" s="589"/>
      <c r="AR51" s="589"/>
      <c r="AS51" s="589"/>
      <c r="AT51" s="589"/>
      <c r="AU51" s="589"/>
      <c r="AV51" s="589"/>
      <c r="AW51" s="589"/>
      <c r="AX51" s="589"/>
      <c r="AY51" s="589"/>
      <c r="AZ51" s="589"/>
      <c r="BA51" s="589"/>
      <c r="BB51" s="590"/>
      <c r="BC51" s="591"/>
      <c r="BE51" s="129"/>
      <c r="BF51" s="129" t="str">
        <f t="shared" si="34"/>
        <v/>
      </c>
      <c r="BG51" s="129"/>
      <c r="BH51" s="129"/>
      <c r="BI51" s="57">
        <v>0</v>
      </c>
    </row>
    <row r="52" ht="11.5" customHeight="1">
      <c r="A52" s="479" t="s">
        <v>241</v>
      </c>
      <c r="B52" s="479" t="s">
        <v>242</v>
      </c>
      <c r="C52" s="479" t="s">
        <v>243</v>
      </c>
      <c r="D52" s="479" t="s">
        <v>510</v>
      </c>
      <c r="E52" s="491"/>
      <c r="F52" s="491"/>
      <c r="G52" s="491"/>
      <c r="H52" s="491"/>
      <c r="I52" s="503"/>
      <c r="J52" s="503"/>
      <c r="K52" s="498" t="str">
        <f>S48&amp;".1"</f>
        <v>...1</v>
      </c>
      <c r="L52" s="481"/>
      <c r="P52" s="132"/>
      <c r="Q52" s="132"/>
      <c r="R52" s="504">
        <v>1</v>
      </c>
      <c r="S52" s="598" t="str">
        <f>$K52</f>
        <v>...1</v>
      </c>
      <c r="T52" s="689"/>
      <c r="U52" s="486"/>
      <c r="V52" s="507"/>
      <c r="W52" s="509"/>
      <c r="X52" s="507"/>
      <c r="Y52" s="509"/>
      <c r="Z52" s="510"/>
      <c r="AA52" s="224" t="s">
        <v>65</v>
      </c>
      <c r="AB52" s="510"/>
      <c r="AC52" s="224" t="s">
        <v>65</v>
      </c>
      <c r="AD52" s="314" t="s">
        <v>65</v>
      </c>
      <c r="AE52" s="633"/>
      <c r="AF52" s="345">
        <v>1</v>
      </c>
      <c r="AG52" s="690"/>
      <c r="AH52" s="224" t="s">
        <v>65</v>
      </c>
      <c r="AI52" s="633"/>
      <c r="AJ52" s="345">
        <v>1</v>
      </c>
      <c r="AK52" s="87" t="s">
        <v>22</v>
      </c>
      <c r="AL52" s="224" t="s">
        <v>65</v>
      </c>
      <c r="AM52" s="304"/>
      <c r="AN52" s="345">
        <v>1</v>
      </c>
      <c r="AO52" s="697"/>
      <c r="AP52" s="698" t="s">
        <v>65</v>
      </c>
      <c r="AQ52" s="634"/>
      <c r="AR52" s="345">
        <v>1</v>
      </c>
      <c r="AS52" s="95" t="s">
        <v>22</v>
      </c>
      <c r="AT52" s="507"/>
      <c r="AU52" s="509"/>
      <c r="AV52" s="507"/>
      <c r="AW52" s="509"/>
      <c r="AX52" s="510"/>
      <c r="AY52" s="224" t="s">
        <v>65</v>
      </c>
      <c r="AZ52" s="510"/>
      <c r="BA52" s="224" t="s">
        <v>65</v>
      </c>
      <c r="BB52" s="571"/>
      <c r="BC52" s="511" t="s">
        <v>496</v>
      </c>
      <c r="BE52" s="129"/>
      <c r="BF52" s="129" t="str">
        <f t="shared" si="34"/>
        <v/>
      </c>
      <c r="BG52" s="129"/>
      <c r="BH52" s="129"/>
      <c r="BI52" s="50">
        <v>11</v>
      </c>
    </row>
    <row r="53" ht="11.5" customHeight="1">
      <c r="A53" s="479"/>
      <c r="B53" s="479"/>
      <c r="C53" s="479"/>
      <c r="D53" s="479"/>
      <c r="E53" s="491"/>
      <c r="F53" s="491"/>
      <c r="G53" s="491"/>
      <c r="H53" s="491"/>
      <c r="I53" s="503"/>
      <c r="J53" s="503"/>
      <c r="K53" s="498"/>
      <c r="L53" s="481"/>
      <c r="P53" s="132"/>
      <c r="Q53" s="132"/>
      <c r="R53" s="504"/>
      <c r="S53" s="635"/>
      <c r="T53" s="699"/>
      <c r="U53" s="486"/>
      <c r="V53" s="622"/>
      <c r="W53" s="639"/>
      <c r="X53" s="622"/>
      <c r="Y53" s="639"/>
      <c r="Z53" s="622"/>
      <c r="AA53" s="622"/>
      <c r="AB53" s="622"/>
      <c r="AC53" s="622"/>
      <c r="AD53" s="320"/>
      <c r="AE53" s="633"/>
      <c r="AF53" s="345"/>
      <c r="AG53" s="690"/>
      <c r="AH53" s="224"/>
      <c r="AI53" s="633"/>
      <c r="AJ53" s="345"/>
      <c r="AK53" s="87"/>
      <c r="AL53" s="224"/>
      <c r="AM53" s="310"/>
      <c r="AN53" s="345"/>
      <c r="AO53" s="697"/>
      <c r="AP53" s="700"/>
      <c r="AQ53" s="638"/>
      <c r="AR53" s="177"/>
      <c r="AS53" s="177" t="s">
        <v>497</v>
      </c>
      <c r="AT53" s="622"/>
      <c r="AU53" s="639"/>
      <c r="AV53" s="622"/>
      <c r="AW53" s="639"/>
      <c r="AX53" s="622"/>
      <c r="AY53" s="622"/>
      <c r="AZ53" s="622"/>
      <c r="BA53" s="622"/>
      <c r="BB53" s="637"/>
      <c r="BC53" s="514"/>
      <c r="BE53" s="129"/>
      <c r="BF53" s="129"/>
      <c r="BG53" s="129"/>
      <c r="BH53" s="129"/>
      <c r="BI53" s="50">
        <v>11</v>
      </c>
    </row>
    <row r="54" ht="11.5" customHeight="1">
      <c r="A54" s="479" t="s">
        <v>241</v>
      </c>
      <c r="B54" s="479"/>
      <c r="C54" s="479"/>
      <c r="D54" s="479"/>
      <c r="E54" s="491"/>
      <c r="F54" s="491"/>
      <c r="G54" s="491"/>
      <c r="H54" s="491"/>
      <c r="I54" s="503"/>
      <c r="J54" s="503"/>
      <c r="K54" s="498"/>
      <c r="L54" s="481"/>
      <c r="P54" s="132"/>
      <c r="Q54" s="132"/>
      <c r="R54" s="504"/>
      <c r="S54" s="635"/>
      <c r="T54" s="699"/>
      <c r="U54" s="486"/>
      <c r="V54" s="622"/>
      <c r="W54" s="639"/>
      <c r="X54" s="622"/>
      <c r="Y54" s="639"/>
      <c r="Z54" s="622"/>
      <c r="AA54" s="622"/>
      <c r="AB54" s="622"/>
      <c r="AC54" s="622"/>
      <c r="AD54" s="320"/>
      <c r="AE54" s="633"/>
      <c r="AF54" s="345"/>
      <c r="AG54" s="690"/>
      <c r="AH54" s="224"/>
      <c r="AI54" s="633"/>
      <c r="AJ54" s="345"/>
      <c r="AK54" s="87"/>
      <c r="AL54" s="224"/>
      <c r="AM54" s="638"/>
      <c r="AN54" s="701"/>
      <c r="AO54" s="701" t="s">
        <v>498</v>
      </c>
      <c r="AP54" s="177"/>
      <c r="AQ54" s="177"/>
      <c r="AR54" s="177"/>
      <c r="AS54" s="622"/>
      <c r="AT54" s="622"/>
      <c r="AU54" s="639"/>
      <c r="AV54" s="622"/>
      <c r="AW54" s="639"/>
      <c r="AX54" s="622"/>
      <c r="AY54" s="622"/>
      <c r="AZ54" s="622"/>
      <c r="BA54" s="622"/>
      <c r="BB54" s="637"/>
      <c r="BC54" s="514"/>
      <c r="BE54" s="129"/>
      <c r="BF54" s="129"/>
      <c r="BG54" s="129"/>
      <c r="BH54" s="129"/>
      <c r="BI54" s="50">
        <v>11</v>
      </c>
    </row>
    <row r="55" ht="11.5" customHeight="1">
      <c r="A55" s="479" t="s">
        <v>241</v>
      </c>
      <c r="B55" s="479"/>
      <c r="C55" s="479"/>
      <c r="D55" s="479"/>
      <c r="E55" s="491"/>
      <c r="F55" s="491"/>
      <c r="G55" s="491"/>
      <c r="H55" s="491"/>
      <c r="I55" s="503"/>
      <c r="J55" s="503"/>
      <c r="K55" s="498"/>
      <c r="L55" s="481"/>
      <c r="P55" s="132"/>
      <c r="Q55" s="132"/>
      <c r="R55" s="504"/>
      <c r="S55" s="635"/>
      <c r="T55" s="699"/>
      <c r="U55" s="486"/>
      <c r="V55" s="622"/>
      <c r="W55" s="639"/>
      <c r="X55" s="622"/>
      <c r="Y55" s="639"/>
      <c r="Z55" s="622"/>
      <c r="AA55" s="622"/>
      <c r="AB55" s="622"/>
      <c r="AC55" s="622"/>
      <c r="AD55" s="320"/>
      <c r="AE55" s="633"/>
      <c r="AF55" s="345"/>
      <c r="AG55" s="690"/>
      <c r="AH55" s="224"/>
      <c r="AI55" s="641"/>
      <c r="AJ55" s="172"/>
      <c r="AK55" s="441" t="s">
        <v>499</v>
      </c>
      <c r="AL55" s="622"/>
      <c r="AM55" s="622"/>
      <c r="AN55" s="622"/>
      <c r="AO55" s="622"/>
      <c r="AP55" s="622"/>
      <c r="AQ55" s="622"/>
      <c r="AR55" s="622"/>
      <c r="AS55" s="622"/>
      <c r="AT55" s="622"/>
      <c r="AU55" s="639"/>
      <c r="AV55" s="622"/>
      <c r="AW55" s="639"/>
      <c r="AX55" s="622"/>
      <c r="AY55" s="622"/>
      <c r="AZ55" s="622"/>
      <c r="BA55" s="622"/>
      <c r="BB55" s="637"/>
      <c r="BC55" s="514"/>
      <c r="BE55" s="129"/>
      <c r="BF55" s="129"/>
      <c r="BG55" s="129"/>
      <c r="BH55" s="129"/>
      <c r="BI55" s="50">
        <v>11</v>
      </c>
    </row>
    <row r="56" ht="11.5" customHeight="1">
      <c r="A56" s="479" t="s">
        <v>241</v>
      </c>
      <c r="B56" s="479" t="s">
        <v>242</v>
      </c>
      <c r="C56" s="479" t="s">
        <v>243</v>
      </c>
      <c r="D56" s="479" t="s">
        <v>510</v>
      </c>
      <c r="E56" s="491"/>
      <c r="F56" s="491"/>
      <c r="G56" s="491"/>
      <c r="H56" s="491"/>
      <c r="I56" s="503"/>
      <c r="J56" s="503"/>
      <c r="K56" s="498"/>
      <c r="L56" s="481"/>
      <c r="P56" s="132"/>
      <c r="Q56" s="132"/>
      <c r="R56" s="504"/>
      <c r="S56" s="608"/>
      <c r="T56" s="702"/>
      <c r="U56" s="486"/>
      <c r="V56" s="622"/>
      <c r="W56" s="623" t="str">
        <f>Z52&amp;"-"&amp;AB52</f>
        <v>-</v>
      </c>
      <c r="X56" s="622"/>
      <c r="Y56" s="623" t="str">
        <f>AB52&amp;"-"&amp;AD52</f>
        <v>-да</v>
      </c>
      <c r="Z56" s="622"/>
      <c r="AA56" s="622"/>
      <c r="AB56" s="622"/>
      <c r="AC56" s="622"/>
      <c r="AD56" s="220"/>
      <c r="AE56" s="644"/>
      <c r="AF56" s="645"/>
      <c r="AG56" s="177" t="s">
        <v>500</v>
      </c>
      <c r="AH56" s="622"/>
      <c r="AI56" s="622"/>
      <c r="AJ56" s="622"/>
      <c r="AK56" s="622"/>
      <c r="AL56" s="622"/>
      <c r="AM56" s="622"/>
      <c r="AN56" s="622"/>
      <c r="AO56" s="622"/>
      <c r="AP56" s="622"/>
      <c r="AQ56" s="622"/>
      <c r="AR56" s="622"/>
      <c r="AS56" s="622"/>
      <c r="AT56" s="622"/>
      <c r="AU56" s="623" t="str">
        <f>AX52&amp;"-"&amp;AZ52</f>
        <v>-</v>
      </c>
      <c r="AV56" s="622"/>
      <c r="AW56" s="623" t="str">
        <f>AZ52&amp;"-"&amp;BB52</f>
        <v>-</v>
      </c>
      <c r="AX56" s="622"/>
      <c r="AY56" s="622"/>
      <c r="AZ56" s="622"/>
      <c r="BA56" s="622"/>
      <c r="BB56" s="643" t="str">
        <f>BE52&amp;"-"&amp;BG52</f>
        <v>-</v>
      </c>
      <c r="BC56" s="514"/>
      <c r="BE56" s="129"/>
      <c r="BF56" s="129" t="str">
        <f t="shared" si="34"/>
        <v/>
      </c>
      <c r="BG56" s="129"/>
      <c r="BH56" s="129"/>
      <c r="BI56" s="50">
        <v>11</v>
      </c>
    </row>
    <row r="57" ht="11.5" customHeight="1">
      <c r="A57" s="479" t="s">
        <v>241</v>
      </c>
      <c r="B57" s="479" t="s">
        <v>242</v>
      </c>
      <c r="C57" s="479" t="s">
        <v>243</v>
      </c>
      <c r="D57" s="479" t="s">
        <v>510</v>
      </c>
      <c r="E57" s="491"/>
      <c r="F57" s="491"/>
      <c r="G57" s="491"/>
      <c r="H57" s="491"/>
      <c r="I57" s="503"/>
      <c r="J57" s="498"/>
      <c r="K57" s="479"/>
      <c r="L57" s="481"/>
      <c r="P57" s="132"/>
      <c r="Q57" s="132"/>
      <c r="R57" s="499"/>
      <c r="S57" s="515"/>
      <c r="T57" s="519" t="s">
        <v>463</v>
      </c>
      <c r="U57" s="214"/>
      <c r="V57" s="214"/>
      <c r="W57" s="214"/>
      <c r="X57" s="214"/>
      <c r="Y57" s="214"/>
      <c r="Z57" s="214"/>
      <c r="AA57" s="214"/>
      <c r="AB57" s="214"/>
      <c r="AC57" s="517"/>
      <c r="AD57" s="67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17"/>
      <c r="BC57" s="518"/>
      <c r="BE57" s="129"/>
      <c r="BF57" s="129" t="str">
        <f t="shared" si="34"/>
        <v xml:space="preserve">Добавить строку</v>
      </c>
      <c r="BG57" s="129"/>
      <c r="BH57" s="129"/>
      <c r="BI57" s="50">
        <v>11</v>
      </c>
    </row>
    <row r="58" s="57" customFormat="1" ht="0" customHeight="1">
      <c r="A58" s="133" t="s">
        <v>241</v>
      </c>
      <c r="B58" s="133" t="s">
        <v>242</v>
      </c>
      <c r="C58" s="133" t="s">
        <v>243</v>
      </c>
      <c r="D58" s="133" t="s">
        <v>510</v>
      </c>
      <c r="E58" s="491"/>
      <c r="F58" s="491"/>
      <c r="G58" s="491"/>
      <c r="H58" s="491"/>
      <c r="I58" s="498"/>
      <c r="J58" s="133"/>
      <c r="K58" s="133"/>
      <c r="L58" s="212"/>
      <c r="M58" s="596"/>
      <c r="N58" s="596"/>
      <c r="O58" s="596"/>
      <c r="P58" s="132"/>
      <c r="Q58" s="132"/>
      <c r="R58" s="499"/>
      <c r="S58" s="592"/>
      <c r="T58" s="593"/>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5"/>
      <c r="BE58" s="129"/>
      <c r="BF58" s="129" t="str">
        <f t="shared" si="34"/>
        <v/>
      </c>
      <c r="BG58" s="129"/>
      <c r="BH58" s="129"/>
      <c r="BI58" s="57">
        <v>0</v>
      </c>
    </row>
    <row r="59" s="57" customFormat="1" ht="0" customHeight="1">
      <c r="A59" s="133" t="s">
        <v>241</v>
      </c>
      <c r="B59" s="133" t="s">
        <v>242</v>
      </c>
      <c r="C59" s="133" t="s">
        <v>243</v>
      </c>
      <c r="D59" s="133" t="s">
        <v>510</v>
      </c>
      <c r="E59" s="491"/>
      <c r="F59" s="491"/>
      <c r="G59" s="491"/>
      <c r="H59" s="480"/>
      <c r="I59" s="133"/>
      <c r="J59" s="133"/>
      <c r="K59" s="133"/>
      <c r="L59" s="212"/>
      <c r="M59" s="464"/>
      <c r="N59" s="464"/>
      <c r="O59" s="57"/>
      <c r="P59" s="167"/>
      <c r="Q59" s="524"/>
      <c r="R59" s="646"/>
      <c r="S59" s="592"/>
      <c r="T59" s="593"/>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5"/>
      <c r="BE59" s="129"/>
      <c r="BF59" s="129" t="str">
        <f t="shared" si="34"/>
        <v/>
      </c>
      <c r="BG59" s="129"/>
      <c r="BH59" s="129"/>
      <c r="BI59" s="57">
        <v>0</v>
      </c>
    </row>
    <row r="60" s="57" customFormat="1" ht="0" customHeight="1">
      <c r="A60" s="133" t="s">
        <v>241</v>
      </c>
      <c r="B60" s="133" t="s">
        <v>242</v>
      </c>
      <c r="C60" s="133" t="s">
        <v>243</v>
      </c>
      <c r="D60" s="133"/>
      <c r="E60" s="491"/>
      <c r="F60" s="491"/>
      <c r="G60" s="480"/>
      <c r="H60" s="133"/>
      <c r="I60" s="133"/>
      <c r="J60" s="133"/>
      <c r="K60" s="133"/>
      <c r="L60" s="212"/>
      <c r="M60" s="464"/>
      <c r="N60" s="464"/>
      <c r="P60" s="167"/>
      <c r="Q60" s="524"/>
      <c r="R60" s="167"/>
      <c r="S60" s="529"/>
      <c r="T60" s="532"/>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E60" s="129"/>
      <c r="BF60" s="129" t="str">
        <f t="shared" si="34"/>
        <v/>
      </c>
      <c r="BG60" s="129"/>
      <c r="BH60" s="129"/>
      <c r="BI60" s="57">
        <v>0</v>
      </c>
    </row>
    <row r="61" s="57" customFormat="1" ht="0" customHeight="1">
      <c r="A61" s="133" t="s">
        <v>241</v>
      </c>
      <c r="B61" s="133" t="s">
        <v>242</v>
      </c>
      <c r="C61" s="133"/>
      <c r="D61" s="133"/>
      <c r="E61" s="491"/>
      <c r="F61" s="480"/>
      <c r="G61" s="133"/>
      <c r="H61" s="133"/>
      <c r="I61" s="133"/>
      <c r="J61" s="133"/>
      <c r="K61" s="133"/>
      <c r="L61" s="212"/>
      <c r="M61" s="528"/>
      <c r="N61" s="528"/>
      <c r="P61" s="167"/>
      <c r="Q61" s="524"/>
      <c r="R61" s="167"/>
      <c r="S61" s="529"/>
      <c r="T61" s="532" t="s">
        <v>410</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1"/>
      <c r="AX61" s="531"/>
      <c r="AY61" s="531"/>
      <c r="AZ61" s="531"/>
      <c r="BA61" s="531"/>
      <c r="BB61" s="531"/>
      <c r="BC61" s="531"/>
      <c r="BE61" s="129"/>
      <c r="BF61" s="129" t="str">
        <f t="shared" si="34"/>
        <v xml:space="preserve">Добавить централизованную систему для дифференциации</v>
      </c>
      <c r="BG61" s="129"/>
      <c r="BH61" s="129"/>
      <c r="BI61" s="57">
        <v>0</v>
      </c>
    </row>
    <row r="62" s="57" customFormat="1" ht="0" customHeight="1">
      <c r="A62" s="133" t="s">
        <v>241</v>
      </c>
      <c r="B62" s="133"/>
      <c r="C62" s="133"/>
      <c r="D62" s="133"/>
      <c r="E62" s="480"/>
      <c r="F62" s="133"/>
      <c r="G62" s="133"/>
      <c r="H62" s="133"/>
      <c r="I62" s="133"/>
      <c r="J62" s="133"/>
      <c r="K62" s="133"/>
      <c r="L62" s="212"/>
      <c r="M62" s="528"/>
      <c r="N62" s="528"/>
      <c r="O62" s="57"/>
      <c r="P62" s="167"/>
      <c r="Q62" s="524"/>
      <c r="R62" s="167"/>
      <c r="S62" s="529"/>
      <c r="T62" s="532" t="s">
        <v>411</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31"/>
      <c r="BB62" s="531"/>
      <c r="BC62" s="531"/>
      <c r="BE62" s="129"/>
      <c r="BF62" s="129" t="str">
        <f t="shared" si="34"/>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28"/>
      <c r="N63" s="528"/>
      <c r="P63" s="167"/>
      <c r="Q63" s="524"/>
      <c r="R63" s="167"/>
      <c r="S63" s="529"/>
      <c r="T63" s="532" t="s">
        <v>443</v>
      </c>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1"/>
      <c r="AY63" s="531"/>
      <c r="AZ63" s="531"/>
      <c r="BA63" s="531"/>
      <c r="BB63" s="531"/>
      <c r="BC63" s="531"/>
      <c r="BE63" s="129"/>
      <c r="BF63" s="129" t="str">
        <f t="shared" si="34"/>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76"/>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c r="BI65" s="50">
        <v>19</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c r="BI66" s="50">
        <v>14</v>
      </c>
    </row>
    <row r="67" ht="19.949999999999999" customHeight="1">
      <c r="O67" s="53"/>
      <c r="S67" s="476"/>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38">
        <v>0</v>
      </c>
      <c r="R69" s="47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2001E-005E-42FF-86C1-007E0077007E}"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E40034-00E9-4D3B-804A-0096000E0038}"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80015-00ED-462E-BA01-00D100F80014}"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BD0005-00A6-453E-B8C8-001A00B500A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1A000E-000E-4BE2-A739-00F00083001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5">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393</v>
      </c>
      <c r="AM3" s="129"/>
      <c r="AN3" s="129" t="str">
        <f t="shared" si="35"/>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511</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512</v>
      </c>
      <c r="AM4" s="129"/>
      <c r="AN4" s="129" t="str">
        <f t="shared" si="35"/>
        <v xml:space="preserve">Наименование централизованной системы водоотведения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8"/>
      <c r="AC5" s="679"/>
      <c r="AD5" s="680"/>
      <c r="AE5" s="680"/>
      <c r="AF5" s="680"/>
      <c r="AG5" s="680"/>
      <c r="AH5" s="680"/>
      <c r="AI5" s="680"/>
      <c r="AJ5" s="681"/>
      <c r="AK5" s="490" t="s">
        <v>479</v>
      </c>
      <c r="AM5" s="129"/>
      <c r="AN5" s="129" t="str">
        <f t="shared" si="35"/>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2"/>
      <c r="AC6" s="431"/>
      <c r="AD6" s="501"/>
      <c r="AE6" s="501"/>
      <c r="AF6" s="501"/>
      <c r="AG6" s="501"/>
      <c r="AH6" s="501"/>
      <c r="AI6" s="501"/>
      <c r="AJ6" s="502"/>
      <c r="AK6" s="617" t="s">
        <v>480</v>
      </c>
      <c r="AM6" s="129"/>
      <c r="AN6" s="129" t="str">
        <f t="shared" si="35"/>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5"/>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35"/>
        <v/>
      </c>
      <c r="AO8" s="129"/>
      <c r="AP8" s="129"/>
      <c r="AQ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490" t="s">
        <v>482</v>
      </c>
      <c r="AM9" s="129"/>
      <c r="AN9" s="129" t="str">
        <f t="shared" si="35"/>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520"/>
      <c r="AC10" s="214"/>
      <c r="AD10" s="214"/>
      <c r="AE10" s="214"/>
      <c r="AF10" s="214"/>
      <c r="AG10" s="214"/>
      <c r="AH10" s="214"/>
      <c r="AI10" s="520"/>
      <c r="AJ10" s="214"/>
      <c r="AK10" s="686"/>
      <c r="AM10" s="129"/>
      <c r="AN10" s="129" t="str">
        <f t="shared" ref="AN10:AN53" si="36">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520"/>
      <c r="AC11" s="214"/>
      <c r="AD11" s="214"/>
      <c r="AE11" s="214"/>
      <c r="AF11" s="214"/>
      <c r="AG11" s="214"/>
      <c r="AH11" s="214"/>
      <c r="AI11" s="520"/>
      <c r="AJ11" s="214"/>
      <c r="AK11" s="521"/>
      <c r="AM11" s="129"/>
      <c r="AN11" s="129" t="str">
        <f t="shared" si="36"/>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M12" s="129"/>
      <c r="AN12" s="129" t="str">
        <f t="shared" si="3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M13" s="129"/>
      <c r="AN13" s="129" t="str">
        <f t="shared" si="36"/>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412</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413</v>
      </c>
      <c r="P20" s="61"/>
      <c r="Q20" s="688"/>
      <c r="R20" s="688"/>
      <c r="S20" s="482"/>
      <c r="T20" s="53" t="s">
        <v>414</v>
      </c>
      <c r="Z20" s="151" t="s">
        <v>415</v>
      </c>
      <c r="AB20" s="151" t="s">
        <v>416</v>
      </c>
      <c r="AC20" s="53" t="s">
        <v>414</v>
      </c>
      <c r="AG20" s="151" t="s">
        <v>417</v>
      </c>
      <c r="AI20" s="151" t="s">
        <v>416</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422</v>
      </c>
      <c r="AC34" s="50"/>
      <c r="AD34" s="50"/>
      <c r="AE34" s="50"/>
      <c r="AF34" s="50"/>
      <c r="AG34" s="50"/>
      <c r="AH34" s="50"/>
      <c r="AI34" s="57" t="s">
        <v>422</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t="s">
        <v>296</v>
      </c>
      <c r="AQ36" s="50">
        <v>14</v>
      </c>
    </row>
    <row r="37" ht="14.65" customHeight="1">
      <c r="Q37" s="539"/>
      <c r="R37" s="539"/>
      <c r="S37" s="484" t="s">
        <v>88</v>
      </c>
      <c r="T37" s="347" t="s">
        <v>423</v>
      </c>
      <c r="U37" s="549"/>
      <c r="V37" s="550" t="s">
        <v>424</v>
      </c>
      <c r="W37" s="551"/>
      <c r="X37" s="551"/>
      <c r="Y37" s="551"/>
      <c r="Z37" s="551"/>
      <c r="AA37" s="552"/>
      <c r="AB37" s="553" t="s">
        <v>425</v>
      </c>
      <c r="AC37" s="550" t="s">
        <v>424</v>
      </c>
      <c r="AD37" s="551"/>
      <c r="AE37" s="551"/>
      <c r="AF37" s="551"/>
      <c r="AG37" s="551"/>
      <c r="AH37" s="552"/>
      <c r="AI37" s="553" t="s">
        <v>426</v>
      </c>
      <c r="AJ37" s="554" t="s">
        <v>427</v>
      </c>
      <c r="AK37" s="157"/>
      <c r="AQ37" s="50">
        <v>14</v>
      </c>
    </row>
    <row r="38" ht="35.649999999999999" customHeight="1">
      <c r="Q38" s="539"/>
      <c r="R38" s="539"/>
      <c r="S38" s="484"/>
      <c r="T38" s="347"/>
      <c r="U38" s="555"/>
      <c r="V38" s="307" t="s">
        <v>484</v>
      </c>
      <c r="W38" s="73" t="s">
        <v>430</v>
      </c>
      <c r="X38" s="72"/>
      <c r="Y38" s="73" t="s">
        <v>431</v>
      </c>
      <c r="Z38" s="145"/>
      <c r="AA38" s="72"/>
      <c r="AB38" s="557"/>
      <c r="AC38" s="307" t="s">
        <v>484</v>
      </c>
      <c r="AD38" s="73" t="s">
        <v>430</v>
      </c>
      <c r="AE38" s="72"/>
      <c r="AF38" s="73" t="s">
        <v>431</v>
      </c>
      <c r="AG38" s="145"/>
      <c r="AH38" s="72"/>
      <c r="AI38" s="557"/>
      <c r="AJ38" s="558"/>
      <c r="AK38" s="157"/>
      <c r="AQ38" s="50">
        <v>34</v>
      </c>
    </row>
    <row r="39" ht="90.299999999999997" customHeight="1">
      <c r="A39" s="151"/>
      <c r="B39" s="151" t="s">
        <v>132</v>
      </c>
      <c r="C39" s="151" t="s">
        <v>133</v>
      </c>
      <c r="D39" s="151" t="s">
        <v>134</v>
      </c>
      <c r="E39" s="481" t="s">
        <v>432</v>
      </c>
      <c r="F39" s="481" t="s">
        <v>433</v>
      </c>
      <c r="G39" s="481" t="s">
        <v>434</v>
      </c>
      <c r="H39" s="481"/>
      <c r="I39" s="481" t="s">
        <v>485</v>
      </c>
      <c r="J39" s="481" t="s">
        <v>437</v>
      </c>
      <c r="K39" s="481" t="s">
        <v>486</v>
      </c>
      <c r="L39" s="481" t="s">
        <v>413</v>
      </c>
      <c r="Q39" s="539"/>
      <c r="R39" s="539"/>
      <c r="S39" s="484"/>
      <c r="T39" s="347"/>
      <c r="U39" s="559"/>
      <c r="V39" s="307" t="s">
        <v>513</v>
      </c>
      <c r="W39" s="246" t="s">
        <v>514</v>
      </c>
      <c r="X39" s="246" t="s">
        <v>489</v>
      </c>
      <c r="Y39" s="246" t="s">
        <v>441</v>
      </c>
      <c r="Z39" s="415" t="s">
        <v>442</v>
      </c>
      <c r="AA39" s="417"/>
      <c r="AB39" s="561"/>
      <c r="AC39" s="307" t="s">
        <v>513</v>
      </c>
      <c r="AD39" s="246" t="s">
        <v>514</v>
      </c>
      <c r="AE39" s="246" t="s">
        <v>489</v>
      </c>
      <c r="AF39" s="246" t="s">
        <v>441</v>
      </c>
      <c r="AG39" s="415" t="s">
        <v>442</v>
      </c>
      <c r="AH39" s="417"/>
      <c r="AI39" s="561"/>
      <c r="AJ39" s="562"/>
      <c r="AK39" s="157"/>
      <c r="AQ39" s="50">
        <v>86</v>
      </c>
    </row>
    <row r="40" s="131" customFormat="1" ht="11.25" hidden="1" customHeight="1">
      <c r="A40" s="151"/>
      <c r="B40" s="151"/>
      <c r="C40" s="151"/>
      <c r="D40" s="151"/>
      <c r="E40" s="151"/>
      <c r="F40" s="151"/>
      <c r="G40" s="151"/>
      <c r="H40" s="151"/>
      <c r="I40" s="151"/>
      <c r="J40" s="151"/>
      <c r="K40" s="151"/>
      <c r="L40" s="481"/>
      <c r="M40" s="61"/>
      <c r="N40" s="61"/>
      <c r="O40" s="61"/>
      <c r="P40" s="563"/>
      <c r="Q40" s="564"/>
      <c r="R40" s="565">
        <v>1</v>
      </c>
      <c r="S40" s="566" t="s">
        <v>106</v>
      </c>
      <c r="T40" s="567" t="s">
        <v>107</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261</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120</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6"/>
        <v xml:space="preserve">Наименование тарифа</v>
      </c>
      <c r="AO41" s="129"/>
      <c r="AP41" s="129"/>
      <c r="AQ41" s="50">
        <v>23</v>
      </c>
    </row>
    <row r="42" ht="24" customHeight="1">
      <c r="A42" s="479" t="s">
        <v>261</v>
      </c>
      <c r="B42" s="479" t="s">
        <v>262</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392</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393</v>
      </c>
      <c r="AM42" s="129"/>
      <c r="AN42" s="129" t="str">
        <f t="shared" si="36"/>
        <v xml:space="preserve">Территория действия тарифа</v>
      </c>
      <c r="AO42" s="129"/>
      <c r="AP42" s="129"/>
      <c r="AQ42" s="50">
        <v>23</v>
      </c>
    </row>
    <row r="43" ht="24" customHeight="1">
      <c r="A43" s="479" t="s">
        <v>261</v>
      </c>
      <c r="B43" s="479" t="s">
        <v>262</v>
      </c>
      <c r="C43" s="479" t="s">
        <v>263</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511</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512</v>
      </c>
      <c r="AM43" s="129"/>
      <c r="AN43" s="129" t="str">
        <f t="shared" si="36"/>
        <v xml:space="preserve">Наименование централизованной системы водоотведения</v>
      </c>
      <c r="AO43" s="129"/>
      <c r="AP43" s="129"/>
      <c r="AQ43" s="50">
        <v>23</v>
      </c>
    </row>
    <row r="44" ht="24" customHeight="1">
      <c r="A44" s="479" t="s">
        <v>261</v>
      </c>
      <c r="B44" s="479" t="s">
        <v>262</v>
      </c>
      <c r="C44" s="479" t="s">
        <v>263</v>
      </c>
      <c r="D44" s="479" t="s">
        <v>515</v>
      </c>
      <c r="E44" s="491"/>
      <c r="F44" s="491"/>
      <c r="G44" s="491"/>
      <c r="H44" s="491"/>
      <c r="I44" s="498" t="str">
        <f>S43&amp;".1"</f>
        <v>...1</v>
      </c>
      <c r="J44" s="479"/>
      <c r="K44" s="479"/>
      <c r="L44" s="481"/>
      <c r="P44" s="132">
        <v>1</v>
      </c>
      <c r="Q44" s="132"/>
      <c r="R44" s="499"/>
      <c r="S44" s="484" t="str">
        <f>$I44</f>
        <v>...1</v>
      </c>
      <c r="T44" s="500" t="s">
        <v>478</v>
      </c>
      <c r="U44" s="486"/>
      <c r="V44" s="676"/>
      <c r="W44" s="677"/>
      <c r="X44" s="677"/>
      <c r="Y44" s="677"/>
      <c r="Z44" s="677"/>
      <c r="AA44" s="677"/>
      <c r="AB44" s="678"/>
      <c r="AC44" s="679"/>
      <c r="AD44" s="680"/>
      <c r="AE44" s="680"/>
      <c r="AF44" s="680"/>
      <c r="AG44" s="680"/>
      <c r="AH44" s="680"/>
      <c r="AI44" s="680"/>
      <c r="AJ44" s="681"/>
      <c r="AK44" s="490" t="s">
        <v>479</v>
      </c>
      <c r="AM44" s="129"/>
      <c r="AN44" s="129" t="str">
        <f t="shared" si="36"/>
        <v xml:space="preserve">Наименование признака дифференциации</v>
      </c>
      <c r="AO44" s="129"/>
      <c r="AP44" s="129"/>
      <c r="AQ44" s="50">
        <v>23</v>
      </c>
    </row>
    <row r="45" ht="24" customHeight="1">
      <c r="A45" s="479" t="s">
        <v>261</v>
      </c>
      <c r="B45" s="479" t="s">
        <v>262</v>
      </c>
      <c r="C45" s="479" t="s">
        <v>263</v>
      </c>
      <c r="D45" s="479" t="s">
        <v>515</v>
      </c>
      <c r="E45" s="491"/>
      <c r="F45" s="491"/>
      <c r="G45" s="491"/>
      <c r="H45" s="491"/>
      <c r="I45" s="503"/>
      <c r="J45" s="498" t="str">
        <f>I44&amp;".1"</f>
        <v>...1.1</v>
      </c>
      <c r="K45" s="479"/>
      <c r="L45" s="481" t="s">
        <v>401</v>
      </c>
      <c r="P45" s="132"/>
      <c r="Q45" s="132">
        <v>1</v>
      </c>
      <c r="R45" s="504"/>
      <c r="S45" s="484" t="str">
        <f>$J45</f>
        <v>...1.1</v>
      </c>
      <c r="T45" s="505" t="s">
        <v>402</v>
      </c>
      <c r="U45" s="486"/>
      <c r="V45" s="431"/>
      <c r="W45" s="501"/>
      <c r="X45" s="501"/>
      <c r="Y45" s="501"/>
      <c r="Z45" s="501"/>
      <c r="AA45" s="501"/>
      <c r="AB45" s="502"/>
      <c r="AC45" s="431"/>
      <c r="AD45" s="501"/>
      <c r="AE45" s="501"/>
      <c r="AF45" s="501"/>
      <c r="AG45" s="501"/>
      <c r="AH45" s="501"/>
      <c r="AI45" s="501"/>
      <c r="AJ45" s="502"/>
      <c r="AK45" s="617" t="s">
        <v>480</v>
      </c>
      <c r="AM45" s="129"/>
      <c r="AN45" s="129" t="str">
        <f t="shared" si="36"/>
        <v xml:space="preserve">Группа потребителей</v>
      </c>
      <c r="AO45" s="129"/>
      <c r="AP45" s="129"/>
      <c r="AQ45" s="50">
        <v>23</v>
      </c>
    </row>
    <row r="46" ht="24" customHeight="1">
      <c r="A46" s="479" t="s">
        <v>261</v>
      </c>
      <c r="B46" s="479" t="s">
        <v>262</v>
      </c>
      <c r="C46" s="479" t="s">
        <v>263</v>
      </c>
      <c r="D46" s="479" t="s">
        <v>515</v>
      </c>
      <c r="E46" s="491"/>
      <c r="F46" s="491"/>
      <c r="G46" s="491"/>
      <c r="H46" s="491"/>
      <c r="I46" s="503"/>
      <c r="J46" s="503"/>
      <c r="K46" s="498" t="str">
        <f>J45&amp;".1"</f>
        <v>...1.1.1</v>
      </c>
      <c r="L46" s="481"/>
      <c r="P46" s="132"/>
      <c r="Q46" s="132"/>
      <c r="R46" s="504">
        <v>1</v>
      </c>
      <c r="S46" s="484" t="str">
        <f>$K46</f>
        <v>...1.1.1</v>
      </c>
      <c r="T46" s="682"/>
      <c r="U46" s="486"/>
      <c r="V46" s="533"/>
      <c r="W46" s="533"/>
      <c r="X46" s="534"/>
      <c r="Y46" s="535"/>
      <c r="Z46" s="536" t="s">
        <v>65</v>
      </c>
      <c r="AA46" s="535"/>
      <c r="AB46" s="536" t="s">
        <v>65</v>
      </c>
      <c r="AC46" s="507"/>
      <c r="AD46" s="507"/>
      <c r="AE46" s="509"/>
      <c r="AF46" s="510"/>
      <c r="AG46" s="224" t="s">
        <v>65</v>
      </c>
      <c r="AH46" s="570"/>
      <c r="AI46" s="224" t="s">
        <v>19</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6"/>
        <v/>
      </c>
      <c r="AO46" s="129"/>
      <c r="AP46" s="129"/>
      <c r="AQ46" s="50">
        <v>23</v>
      </c>
    </row>
    <row r="47" ht="0" customHeight="1">
      <c r="A47" s="479" t="s">
        <v>261</v>
      </c>
      <c r="B47" s="479" t="s">
        <v>262</v>
      </c>
      <c r="C47" s="479" t="s">
        <v>263</v>
      </c>
      <c r="D47" s="479" t="s">
        <v>515</v>
      </c>
      <c r="E47" s="491"/>
      <c r="F47" s="491"/>
      <c r="G47" s="491"/>
      <c r="H47" s="491"/>
      <c r="I47" s="503"/>
      <c r="J47" s="503"/>
      <c r="K47" s="498"/>
      <c r="L47" s="481"/>
      <c r="P47" s="132"/>
      <c r="Q47" s="132"/>
      <c r="R47" s="504"/>
      <c r="S47" s="458"/>
      <c r="T47" s="486"/>
      <c r="U47" s="486"/>
      <c r="V47" s="533"/>
      <c r="W47" s="533"/>
      <c r="X47" s="512" t="str">
        <f>Y46&amp;"-"&amp;AA46</f>
        <v>-</v>
      </c>
      <c r="Y47" s="536"/>
      <c r="Z47" s="536"/>
      <c r="AA47" s="536"/>
      <c r="AB47" s="536"/>
      <c r="AC47" s="508"/>
      <c r="AD47" s="508"/>
      <c r="AE47" s="512" t="str">
        <f>AF46&amp;"-"&amp;AH46</f>
        <v>-</v>
      </c>
      <c r="AF47" s="513"/>
      <c r="AG47" s="224"/>
      <c r="AH47" s="572"/>
      <c r="AI47" s="224"/>
      <c r="AJ47" s="685"/>
      <c r="AK47" s="684"/>
      <c r="AM47" s="129"/>
      <c r="AN47" s="129" t="str">
        <f t="shared" si="36"/>
        <v/>
      </c>
      <c r="AO47" s="129"/>
      <c r="AP47" s="129"/>
      <c r="AQ47" s="50">
        <v>0</v>
      </c>
    </row>
    <row r="48" ht="21" customHeight="1">
      <c r="A48" s="479" t="s">
        <v>261</v>
      </c>
      <c r="B48" s="479" t="s">
        <v>262</v>
      </c>
      <c r="C48" s="479" t="s">
        <v>263</v>
      </c>
      <c r="D48" s="479" t="s">
        <v>515</v>
      </c>
      <c r="E48" s="491"/>
      <c r="F48" s="491"/>
      <c r="G48" s="491"/>
      <c r="H48" s="491"/>
      <c r="I48" s="503"/>
      <c r="J48" s="498"/>
      <c r="K48" s="479"/>
      <c r="L48" s="481"/>
      <c r="P48" s="132"/>
      <c r="Q48" s="132"/>
      <c r="R48" s="499"/>
      <c r="S48" s="515"/>
      <c r="T48" s="519" t="s">
        <v>481</v>
      </c>
      <c r="U48" s="214"/>
      <c r="V48" s="214"/>
      <c r="W48" s="214"/>
      <c r="X48" s="214"/>
      <c r="Y48" s="214"/>
      <c r="Z48" s="214"/>
      <c r="AA48" s="214"/>
      <c r="AB48" s="214"/>
      <c r="AC48" s="214"/>
      <c r="AD48" s="214"/>
      <c r="AE48" s="214"/>
      <c r="AF48" s="214"/>
      <c r="AG48" s="214"/>
      <c r="AH48" s="214"/>
      <c r="AI48" s="214"/>
      <c r="AJ48" s="214"/>
      <c r="AK48" s="490" t="s">
        <v>482</v>
      </c>
      <c r="AM48" s="129"/>
      <c r="AN48" s="129" t="str">
        <f t="shared" si="36"/>
        <v xml:space="preserve">Добавить значение признака дифференциации</v>
      </c>
      <c r="AO48" s="129"/>
      <c r="AP48" s="129"/>
      <c r="AQ48" s="50">
        <v>20</v>
      </c>
    </row>
    <row r="49" ht="22" customHeight="1">
      <c r="A49" s="479" t="s">
        <v>261</v>
      </c>
      <c r="B49" s="479" t="s">
        <v>262</v>
      </c>
      <c r="C49" s="479" t="s">
        <v>263</v>
      </c>
      <c r="D49" s="479" t="s">
        <v>515</v>
      </c>
      <c r="E49" s="491"/>
      <c r="F49" s="491"/>
      <c r="G49" s="491"/>
      <c r="H49" s="491"/>
      <c r="I49" s="498"/>
      <c r="J49" s="479"/>
      <c r="K49" s="479"/>
      <c r="L49" s="481"/>
      <c r="P49" s="132"/>
      <c r="Q49" s="132"/>
      <c r="R49" s="499"/>
      <c r="S49" s="515"/>
      <c r="T49" s="523" t="s">
        <v>407</v>
      </c>
      <c r="U49" s="214"/>
      <c r="V49" s="214"/>
      <c r="W49" s="214"/>
      <c r="X49" s="214"/>
      <c r="Y49" s="214"/>
      <c r="Z49" s="214"/>
      <c r="AA49" s="214"/>
      <c r="AB49" s="520"/>
      <c r="AC49" s="214"/>
      <c r="AD49" s="214"/>
      <c r="AE49" s="214"/>
      <c r="AF49" s="214"/>
      <c r="AG49" s="214"/>
      <c r="AH49" s="214"/>
      <c r="AI49" s="520"/>
      <c r="AJ49" s="214"/>
      <c r="AK49" s="686"/>
      <c r="AM49" s="129"/>
      <c r="AN49" s="129" t="str">
        <f t="shared" si="36"/>
        <v xml:space="preserve">Добавить группу потребителей</v>
      </c>
      <c r="AO49" s="129"/>
      <c r="AP49" s="129"/>
      <c r="AQ49" s="50">
        <v>21</v>
      </c>
    </row>
    <row r="50" ht="22" customHeight="1">
      <c r="A50" s="479" t="s">
        <v>261</v>
      </c>
      <c r="B50" s="479" t="s">
        <v>262</v>
      </c>
      <c r="C50" s="479" t="s">
        <v>263</v>
      </c>
      <c r="D50" s="479" t="s">
        <v>515</v>
      </c>
      <c r="E50" s="491"/>
      <c r="F50" s="491"/>
      <c r="G50" s="491"/>
      <c r="H50" s="480"/>
      <c r="I50" s="479"/>
      <c r="J50" s="479"/>
      <c r="K50" s="479"/>
      <c r="L50" s="481"/>
      <c r="M50" s="482"/>
      <c r="N50" s="482"/>
      <c r="O50" s="53"/>
      <c r="P50" s="143"/>
      <c r="Q50" s="522"/>
      <c r="R50" s="483"/>
      <c r="S50" s="515"/>
      <c r="T50" s="687" t="s">
        <v>483</v>
      </c>
      <c r="U50" s="214"/>
      <c r="V50" s="214"/>
      <c r="W50" s="214"/>
      <c r="X50" s="214"/>
      <c r="Y50" s="214"/>
      <c r="Z50" s="214"/>
      <c r="AA50" s="214"/>
      <c r="AB50" s="520"/>
      <c r="AC50" s="214"/>
      <c r="AD50" s="214"/>
      <c r="AE50" s="214"/>
      <c r="AF50" s="214"/>
      <c r="AG50" s="214"/>
      <c r="AH50" s="214"/>
      <c r="AI50" s="520"/>
      <c r="AJ50" s="214"/>
      <c r="AK50" s="521"/>
      <c r="AM50" s="129"/>
      <c r="AN50" s="129" t="str">
        <f t="shared" si="36"/>
        <v xml:space="preserve">Добавить наименование признака дифференциации</v>
      </c>
      <c r="AO50" s="129"/>
      <c r="AP50" s="129"/>
      <c r="AQ50" s="50">
        <v>21</v>
      </c>
    </row>
    <row r="51" s="57" customFormat="1" ht="0" customHeight="1">
      <c r="A51" s="133" t="s">
        <v>261</v>
      </c>
      <c r="B51" s="133" t="s">
        <v>262</v>
      </c>
      <c r="C51" s="133"/>
      <c r="D51" s="133"/>
      <c r="E51" s="491"/>
      <c r="F51" s="480"/>
      <c r="G51" s="133"/>
      <c r="H51" s="133"/>
      <c r="I51" s="133"/>
      <c r="J51" s="133"/>
      <c r="K51" s="133"/>
      <c r="L51" s="212"/>
      <c r="M51" s="528"/>
      <c r="N51" s="528"/>
      <c r="P51" s="167"/>
      <c r="Q51" s="524"/>
      <c r="R51" s="167"/>
      <c r="S51" s="529"/>
      <c r="T51" s="532" t="s">
        <v>410</v>
      </c>
      <c r="U51" s="531"/>
      <c r="V51" s="531"/>
      <c r="W51" s="531"/>
      <c r="X51" s="531"/>
      <c r="Y51" s="531"/>
      <c r="Z51" s="531"/>
      <c r="AA51" s="531"/>
      <c r="AB51" s="531"/>
      <c r="AC51" s="531"/>
      <c r="AD51" s="531"/>
      <c r="AE51" s="531"/>
      <c r="AF51" s="531"/>
      <c r="AG51" s="531"/>
      <c r="AH51" s="531"/>
      <c r="AI51" s="531"/>
      <c r="AJ51" s="531"/>
      <c r="AK51" s="531"/>
      <c r="AM51" s="129"/>
      <c r="AN51" s="129" t="str">
        <f t="shared" si="36"/>
        <v xml:space="preserve">Добавить централизованную систему для дифференциации</v>
      </c>
      <c r="AO51" s="129"/>
      <c r="AP51" s="129"/>
      <c r="AQ51" s="57">
        <v>0</v>
      </c>
    </row>
    <row r="52" s="57" customFormat="1" ht="0" customHeight="1">
      <c r="A52" s="133" t="s">
        <v>261</v>
      </c>
      <c r="B52" s="133"/>
      <c r="C52" s="133"/>
      <c r="D52" s="133"/>
      <c r="E52" s="480"/>
      <c r="F52" s="133"/>
      <c r="G52" s="133"/>
      <c r="H52" s="133"/>
      <c r="I52" s="133"/>
      <c r="J52" s="133"/>
      <c r="K52" s="133"/>
      <c r="L52" s="212"/>
      <c r="M52" s="528"/>
      <c r="N52" s="528"/>
      <c r="O52" s="57"/>
      <c r="P52" s="167"/>
      <c r="Q52" s="524"/>
      <c r="R52" s="167"/>
      <c r="S52" s="529"/>
      <c r="T52" s="532" t="s">
        <v>411</v>
      </c>
      <c r="U52" s="531"/>
      <c r="V52" s="531"/>
      <c r="W52" s="531"/>
      <c r="X52" s="531"/>
      <c r="Y52" s="531"/>
      <c r="Z52" s="531"/>
      <c r="AA52" s="531"/>
      <c r="AB52" s="531"/>
      <c r="AC52" s="531"/>
      <c r="AD52" s="531"/>
      <c r="AE52" s="531"/>
      <c r="AF52" s="531"/>
      <c r="AG52" s="531"/>
      <c r="AH52" s="531"/>
      <c r="AI52" s="531"/>
      <c r="AJ52" s="531"/>
      <c r="AK52" s="531"/>
      <c r="AM52" s="129"/>
      <c r="AN52" s="129" t="str">
        <f t="shared" si="3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443</v>
      </c>
      <c r="U53" s="531"/>
      <c r="V53" s="531"/>
      <c r="W53" s="531"/>
      <c r="X53" s="531"/>
      <c r="Y53" s="531"/>
      <c r="Z53" s="531"/>
      <c r="AA53" s="531"/>
      <c r="AB53" s="531"/>
      <c r="AC53" s="531"/>
      <c r="AD53" s="531"/>
      <c r="AE53" s="531"/>
      <c r="AF53" s="531"/>
      <c r="AG53" s="531"/>
      <c r="AH53" s="531"/>
      <c r="AI53" s="531"/>
      <c r="AJ53" s="531"/>
      <c r="AK53" s="531"/>
      <c r="AM53" s="129"/>
      <c r="AN53" s="129" t="str">
        <f t="shared" si="3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3003C-00AE-438E-9973-007A00A5001C}"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9008C-00D6-44FB-8626-00C1000D00A6}"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690087-0032-444C-9F0D-002D00A6008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100B2-0094-4D85-94C1-0085007700B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7">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393</v>
      </c>
      <c r="AM3" s="129"/>
      <c r="AN3" s="129" t="str">
        <f t="shared" si="37"/>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511</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512</v>
      </c>
      <c r="AM4" s="129"/>
      <c r="AN4" s="129" t="str">
        <f t="shared" si="37"/>
        <v xml:space="preserve">Наименование централизованной системы водоотведения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8"/>
      <c r="AC5" s="679"/>
      <c r="AD5" s="680"/>
      <c r="AE5" s="680"/>
      <c r="AF5" s="680"/>
      <c r="AG5" s="680"/>
      <c r="AH5" s="680"/>
      <c r="AI5" s="680"/>
      <c r="AJ5" s="681"/>
      <c r="AK5" s="490" t="s">
        <v>479</v>
      </c>
      <c r="AM5" s="129"/>
      <c r="AN5" s="129" t="str">
        <f t="shared" si="37"/>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2"/>
      <c r="AC6" s="431"/>
      <c r="AD6" s="501"/>
      <c r="AE6" s="501"/>
      <c r="AF6" s="501"/>
      <c r="AG6" s="501"/>
      <c r="AH6" s="501"/>
      <c r="AI6" s="501"/>
      <c r="AJ6" s="502"/>
      <c r="AK6" s="617" t="s">
        <v>480</v>
      </c>
      <c r="AM6" s="129"/>
      <c r="AN6" s="129" t="str">
        <f t="shared" si="37"/>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7"/>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37"/>
        <v/>
      </c>
      <c r="AO8" s="129"/>
      <c r="AP8" s="129"/>
      <c r="AQ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490" t="s">
        <v>482</v>
      </c>
      <c r="AM9" s="129"/>
      <c r="AN9" s="129" t="str">
        <f t="shared" si="37"/>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520"/>
      <c r="AC10" s="214"/>
      <c r="AD10" s="214"/>
      <c r="AE10" s="214"/>
      <c r="AF10" s="214"/>
      <c r="AG10" s="214"/>
      <c r="AH10" s="214"/>
      <c r="AI10" s="520"/>
      <c r="AJ10" s="214"/>
      <c r="AK10" s="686"/>
      <c r="AM10" s="129"/>
      <c r="AN10" s="129" t="str">
        <f t="shared" ref="AN10:AN53" si="38">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520"/>
      <c r="AC11" s="214"/>
      <c r="AD11" s="214"/>
      <c r="AE11" s="214"/>
      <c r="AF11" s="214"/>
      <c r="AG11" s="214"/>
      <c r="AH11" s="214"/>
      <c r="AI11" s="520"/>
      <c r="AJ11" s="214"/>
      <c r="AK11" s="521"/>
      <c r="AM11" s="129"/>
      <c r="AN11" s="129" t="str">
        <f t="shared" si="38"/>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M12" s="129"/>
      <c r="AN12" s="129" t="str">
        <f t="shared" si="3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M13" s="129"/>
      <c r="AN13" s="129" t="str">
        <f t="shared" si="38"/>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412</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413</v>
      </c>
      <c r="P20" s="61"/>
      <c r="Q20" s="688"/>
      <c r="R20" s="688"/>
      <c r="S20" s="482"/>
      <c r="T20" s="53" t="s">
        <v>414</v>
      </c>
      <c r="Z20" s="151" t="s">
        <v>415</v>
      </c>
      <c r="AB20" s="151" t="s">
        <v>416</v>
      </c>
      <c r="AC20" s="53" t="s">
        <v>414</v>
      </c>
      <c r="AG20" s="151" t="s">
        <v>417</v>
      </c>
      <c r="AI20" s="151" t="s">
        <v>416</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422</v>
      </c>
      <c r="AC34" s="50"/>
      <c r="AD34" s="50"/>
      <c r="AE34" s="50"/>
      <c r="AF34" s="50"/>
      <c r="AG34" s="50"/>
      <c r="AH34" s="50"/>
      <c r="AI34" s="57" t="s">
        <v>422</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t="s">
        <v>296</v>
      </c>
      <c r="AQ36" s="50">
        <v>14</v>
      </c>
    </row>
    <row r="37" ht="14.65" customHeight="1">
      <c r="Q37" s="539"/>
      <c r="R37" s="539"/>
      <c r="S37" s="484" t="s">
        <v>88</v>
      </c>
      <c r="T37" s="347" t="s">
        <v>423</v>
      </c>
      <c r="U37" s="549"/>
      <c r="V37" s="550" t="s">
        <v>424</v>
      </c>
      <c r="W37" s="551"/>
      <c r="X37" s="551"/>
      <c r="Y37" s="551"/>
      <c r="Z37" s="551"/>
      <c r="AA37" s="552"/>
      <c r="AB37" s="553" t="s">
        <v>425</v>
      </c>
      <c r="AC37" s="550" t="s">
        <v>424</v>
      </c>
      <c r="AD37" s="551"/>
      <c r="AE37" s="551"/>
      <c r="AF37" s="551"/>
      <c r="AG37" s="551"/>
      <c r="AH37" s="552"/>
      <c r="AI37" s="553" t="s">
        <v>426</v>
      </c>
      <c r="AJ37" s="554" t="s">
        <v>427</v>
      </c>
      <c r="AK37" s="157"/>
      <c r="AQ37" s="50">
        <v>14</v>
      </c>
    </row>
    <row r="38" ht="35.649999999999999" customHeight="1">
      <c r="Q38" s="539"/>
      <c r="R38" s="539"/>
      <c r="S38" s="484"/>
      <c r="T38" s="347"/>
      <c r="U38" s="555"/>
      <c r="V38" s="307" t="s">
        <v>484</v>
      </c>
      <c r="W38" s="73" t="s">
        <v>430</v>
      </c>
      <c r="X38" s="72"/>
      <c r="Y38" s="73" t="s">
        <v>431</v>
      </c>
      <c r="Z38" s="145"/>
      <c r="AA38" s="72"/>
      <c r="AB38" s="557"/>
      <c r="AC38" s="307" t="s">
        <v>484</v>
      </c>
      <c r="AD38" s="73" t="s">
        <v>430</v>
      </c>
      <c r="AE38" s="72"/>
      <c r="AF38" s="73" t="s">
        <v>431</v>
      </c>
      <c r="AG38" s="145"/>
      <c r="AH38" s="72"/>
      <c r="AI38" s="557"/>
      <c r="AJ38" s="558"/>
      <c r="AK38" s="157"/>
      <c r="AQ38" s="50">
        <v>34</v>
      </c>
    </row>
    <row r="39" ht="90.299999999999997" customHeight="1">
      <c r="A39" s="151"/>
      <c r="B39" s="151" t="s">
        <v>132</v>
      </c>
      <c r="C39" s="151" t="s">
        <v>133</v>
      </c>
      <c r="D39" s="151" t="s">
        <v>134</v>
      </c>
      <c r="E39" s="481" t="s">
        <v>432</v>
      </c>
      <c r="F39" s="481" t="s">
        <v>433</v>
      </c>
      <c r="G39" s="481" t="s">
        <v>434</v>
      </c>
      <c r="H39" s="481"/>
      <c r="I39" s="481" t="s">
        <v>485</v>
      </c>
      <c r="J39" s="481" t="s">
        <v>437</v>
      </c>
      <c r="K39" s="481" t="s">
        <v>486</v>
      </c>
      <c r="L39" s="481" t="s">
        <v>413</v>
      </c>
      <c r="Q39" s="539"/>
      <c r="R39" s="539"/>
      <c r="S39" s="484"/>
      <c r="T39" s="347"/>
      <c r="U39" s="559"/>
      <c r="V39" s="307" t="s">
        <v>513</v>
      </c>
      <c r="W39" s="246" t="s">
        <v>514</v>
      </c>
      <c r="X39" s="246" t="s">
        <v>489</v>
      </c>
      <c r="Y39" s="246" t="s">
        <v>441</v>
      </c>
      <c r="Z39" s="415" t="s">
        <v>442</v>
      </c>
      <c r="AA39" s="417"/>
      <c r="AB39" s="561"/>
      <c r="AC39" s="307" t="s">
        <v>513</v>
      </c>
      <c r="AD39" s="246" t="s">
        <v>514</v>
      </c>
      <c r="AE39" s="246" t="s">
        <v>489</v>
      </c>
      <c r="AF39" s="246" t="s">
        <v>441</v>
      </c>
      <c r="AG39" s="415" t="s">
        <v>442</v>
      </c>
      <c r="AH39" s="417"/>
      <c r="AI39" s="561"/>
      <c r="AJ39" s="562"/>
      <c r="AK39" s="157"/>
      <c r="AQ39" s="50">
        <v>86</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106</v>
      </c>
      <c r="T40" s="567" t="s">
        <v>107</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266</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120</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8"/>
        <v xml:space="preserve">Наименование тарифа</v>
      </c>
      <c r="AO41" s="129"/>
      <c r="AP41" s="129"/>
      <c r="AQ41" s="50">
        <v>23</v>
      </c>
    </row>
    <row r="42" ht="24" customHeight="1">
      <c r="A42" s="479" t="s">
        <v>266</v>
      </c>
      <c r="B42" s="479" t="s">
        <v>267</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392</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393</v>
      </c>
      <c r="AM42" s="129"/>
      <c r="AN42" s="129" t="str">
        <f t="shared" si="38"/>
        <v xml:space="preserve">Территория действия тарифа</v>
      </c>
      <c r="AO42" s="129"/>
      <c r="AP42" s="129"/>
      <c r="AQ42" s="50">
        <v>23</v>
      </c>
    </row>
    <row r="43" ht="24" customHeight="1">
      <c r="A43" s="479" t="s">
        <v>266</v>
      </c>
      <c r="B43" s="479" t="s">
        <v>267</v>
      </c>
      <c r="C43" s="479" t="s">
        <v>268</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511</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512</v>
      </c>
      <c r="AM43" s="129"/>
      <c r="AN43" s="129" t="str">
        <f t="shared" si="38"/>
        <v xml:space="preserve">Наименование централизованной системы водоотведения</v>
      </c>
      <c r="AO43" s="129"/>
      <c r="AP43" s="129"/>
      <c r="AQ43" s="50">
        <v>23</v>
      </c>
    </row>
    <row r="44" ht="24" customHeight="1">
      <c r="A44" s="479" t="s">
        <v>266</v>
      </c>
      <c r="B44" s="479" t="s">
        <v>267</v>
      </c>
      <c r="C44" s="479" t="s">
        <v>268</v>
      </c>
      <c r="D44" s="479" t="s">
        <v>516</v>
      </c>
      <c r="E44" s="491"/>
      <c r="F44" s="491"/>
      <c r="G44" s="491"/>
      <c r="H44" s="491"/>
      <c r="I44" s="498" t="str">
        <f>S43&amp;".1"</f>
        <v>...1</v>
      </c>
      <c r="J44" s="479"/>
      <c r="K44" s="479"/>
      <c r="L44" s="481"/>
      <c r="P44" s="132">
        <v>1</v>
      </c>
      <c r="Q44" s="132"/>
      <c r="R44" s="499"/>
      <c r="S44" s="484" t="str">
        <f>$I44</f>
        <v>...1</v>
      </c>
      <c r="T44" s="500" t="s">
        <v>478</v>
      </c>
      <c r="U44" s="486"/>
      <c r="V44" s="676"/>
      <c r="W44" s="677"/>
      <c r="X44" s="677"/>
      <c r="Y44" s="677"/>
      <c r="Z44" s="677"/>
      <c r="AA44" s="677"/>
      <c r="AB44" s="678"/>
      <c r="AC44" s="679"/>
      <c r="AD44" s="680"/>
      <c r="AE44" s="680"/>
      <c r="AF44" s="680"/>
      <c r="AG44" s="680"/>
      <c r="AH44" s="680"/>
      <c r="AI44" s="680"/>
      <c r="AJ44" s="681"/>
      <c r="AK44" s="490" t="s">
        <v>479</v>
      </c>
      <c r="AM44" s="129"/>
      <c r="AN44" s="129" t="str">
        <f t="shared" si="38"/>
        <v xml:space="preserve">Наименование признака дифференциации</v>
      </c>
      <c r="AO44" s="129"/>
      <c r="AP44" s="129"/>
      <c r="AQ44" s="50">
        <v>23</v>
      </c>
    </row>
    <row r="45" ht="24" customHeight="1">
      <c r="A45" s="479" t="s">
        <v>266</v>
      </c>
      <c r="B45" s="479" t="s">
        <v>267</v>
      </c>
      <c r="C45" s="479" t="s">
        <v>268</v>
      </c>
      <c r="D45" s="479" t="s">
        <v>516</v>
      </c>
      <c r="E45" s="491"/>
      <c r="F45" s="491"/>
      <c r="G45" s="491"/>
      <c r="H45" s="491"/>
      <c r="I45" s="503"/>
      <c r="J45" s="498" t="str">
        <f>I44&amp;".1"</f>
        <v>...1.1</v>
      </c>
      <c r="K45" s="479"/>
      <c r="L45" s="481" t="s">
        <v>401</v>
      </c>
      <c r="P45" s="132"/>
      <c r="Q45" s="132">
        <v>1</v>
      </c>
      <c r="R45" s="504"/>
      <c r="S45" s="484" t="str">
        <f>$J45</f>
        <v>...1.1</v>
      </c>
      <c r="T45" s="505" t="s">
        <v>402</v>
      </c>
      <c r="U45" s="486"/>
      <c r="V45" s="431"/>
      <c r="W45" s="501"/>
      <c r="X45" s="501"/>
      <c r="Y45" s="501"/>
      <c r="Z45" s="501"/>
      <c r="AA45" s="501"/>
      <c r="AB45" s="502"/>
      <c r="AC45" s="431"/>
      <c r="AD45" s="501"/>
      <c r="AE45" s="501"/>
      <c r="AF45" s="501"/>
      <c r="AG45" s="501"/>
      <c r="AH45" s="501"/>
      <c r="AI45" s="501"/>
      <c r="AJ45" s="502"/>
      <c r="AK45" s="617" t="s">
        <v>480</v>
      </c>
      <c r="AM45" s="129"/>
      <c r="AN45" s="129" t="str">
        <f t="shared" si="38"/>
        <v xml:space="preserve">Группа потребителей</v>
      </c>
      <c r="AO45" s="129"/>
      <c r="AP45" s="129"/>
      <c r="AQ45" s="50">
        <v>23</v>
      </c>
    </row>
    <row r="46" ht="24" customHeight="1">
      <c r="A46" s="479" t="s">
        <v>266</v>
      </c>
      <c r="B46" s="479" t="s">
        <v>267</v>
      </c>
      <c r="C46" s="479" t="s">
        <v>268</v>
      </c>
      <c r="D46" s="479" t="s">
        <v>516</v>
      </c>
      <c r="E46" s="491"/>
      <c r="F46" s="491"/>
      <c r="G46" s="491"/>
      <c r="H46" s="491"/>
      <c r="I46" s="503"/>
      <c r="J46" s="503"/>
      <c r="K46" s="498" t="str">
        <f>J45&amp;".1"</f>
        <v>...1.1.1</v>
      </c>
      <c r="L46" s="481"/>
      <c r="P46" s="132"/>
      <c r="Q46" s="132"/>
      <c r="R46" s="504">
        <v>1</v>
      </c>
      <c r="S46" s="484" t="str">
        <f>$K46</f>
        <v>...1.1.1</v>
      </c>
      <c r="T46" s="682"/>
      <c r="U46" s="486"/>
      <c r="V46" s="533"/>
      <c r="W46" s="533"/>
      <c r="X46" s="534"/>
      <c r="Y46" s="535"/>
      <c r="Z46" s="536" t="s">
        <v>65</v>
      </c>
      <c r="AA46" s="535"/>
      <c r="AB46" s="536" t="s">
        <v>65</v>
      </c>
      <c r="AC46" s="507"/>
      <c r="AD46" s="507"/>
      <c r="AE46" s="509"/>
      <c r="AF46" s="510"/>
      <c r="AG46" s="224" t="s">
        <v>65</v>
      </c>
      <c r="AH46" s="570"/>
      <c r="AI46" s="224" t="s">
        <v>19</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8"/>
        <v/>
      </c>
      <c r="AO46" s="129"/>
      <c r="AP46" s="129"/>
      <c r="AQ46" s="50">
        <v>23</v>
      </c>
    </row>
    <row r="47" ht="0" customHeight="1">
      <c r="A47" s="479" t="s">
        <v>266</v>
      </c>
      <c r="B47" s="479" t="s">
        <v>267</v>
      </c>
      <c r="C47" s="479" t="s">
        <v>268</v>
      </c>
      <c r="D47" s="479" t="s">
        <v>516</v>
      </c>
      <c r="E47" s="491"/>
      <c r="F47" s="491"/>
      <c r="G47" s="491"/>
      <c r="H47" s="491"/>
      <c r="I47" s="503"/>
      <c r="J47" s="503"/>
      <c r="K47" s="498"/>
      <c r="L47" s="481"/>
      <c r="P47" s="132"/>
      <c r="Q47" s="132"/>
      <c r="R47" s="504"/>
      <c r="S47" s="458"/>
      <c r="T47" s="486"/>
      <c r="U47" s="486"/>
      <c r="V47" s="533"/>
      <c r="W47" s="533"/>
      <c r="X47" s="512" t="str">
        <f>Y46&amp;"-"&amp;AA46</f>
        <v>-</v>
      </c>
      <c r="Y47" s="536"/>
      <c r="Z47" s="536"/>
      <c r="AA47" s="536"/>
      <c r="AB47" s="536"/>
      <c r="AC47" s="508"/>
      <c r="AD47" s="508"/>
      <c r="AE47" s="512" t="str">
        <f>AF46&amp;"-"&amp;AH46</f>
        <v>-</v>
      </c>
      <c r="AF47" s="513"/>
      <c r="AG47" s="224"/>
      <c r="AH47" s="572"/>
      <c r="AI47" s="224"/>
      <c r="AJ47" s="685"/>
      <c r="AK47" s="684"/>
      <c r="AM47" s="129"/>
      <c r="AN47" s="129" t="str">
        <f t="shared" si="38"/>
        <v/>
      </c>
      <c r="AO47" s="129"/>
      <c r="AP47" s="129"/>
      <c r="AQ47" s="50">
        <v>0</v>
      </c>
    </row>
    <row r="48" ht="21" customHeight="1">
      <c r="A48" s="479" t="s">
        <v>266</v>
      </c>
      <c r="B48" s="479" t="s">
        <v>267</v>
      </c>
      <c r="C48" s="479" t="s">
        <v>268</v>
      </c>
      <c r="D48" s="479" t="s">
        <v>516</v>
      </c>
      <c r="E48" s="491"/>
      <c r="F48" s="491"/>
      <c r="G48" s="491"/>
      <c r="H48" s="491"/>
      <c r="I48" s="503"/>
      <c r="J48" s="498"/>
      <c r="K48" s="479"/>
      <c r="L48" s="481"/>
      <c r="P48" s="132"/>
      <c r="Q48" s="132"/>
      <c r="R48" s="499"/>
      <c r="S48" s="515"/>
      <c r="T48" s="519" t="s">
        <v>481</v>
      </c>
      <c r="U48" s="214"/>
      <c r="V48" s="214"/>
      <c r="W48" s="214"/>
      <c r="X48" s="214"/>
      <c r="Y48" s="214"/>
      <c r="Z48" s="214"/>
      <c r="AA48" s="214"/>
      <c r="AB48" s="214"/>
      <c r="AC48" s="214"/>
      <c r="AD48" s="214"/>
      <c r="AE48" s="214"/>
      <c r="AF48" s="214"/>
      <c r="AG48" s="214"/>
      <c r="AH48" s="214"/>
      <c r="AI48" s="214"/>
      <c r="AJ48" s="214"/>
      <c r="AK48" s="490" t="s">
        <v>482</v>
      </c>
      <c r="AM48" s="129"/>
      <c r="AN48" s="129" t="str">
        <f t="shared" si="38"/>
        <v xml:space="preserve">Добавить значение признака дифференциации</v>
      </c>
      <c r="AO48" s="129"/>
      <c r="AP48" s="129"/>
      <c r="AQ48" s="50">
        <v>20</v>
      </c>
    </row>
    <row r="49" ht="22" customHeight="1">
      <c r="A49" s="479" t="s">
        <v>266</v>
      </c>
      <c r="B49" s="479" t="s">
        <v>267</v>
      </c>
      <c r="C49" s="479" t="s">
        <v>268</v>
      </c>
      <c r="D49" s="479" t="s">
        <v>516</v>
      </c>
      <c r="E49" s="491"/>
      <c r="F49" s="491"/>
      <c r="G49" s="491"/>
      <c r="H49" s="491"/>
      <c r="I49" s="498"/>
      <c r="J49" s="479"/>
      <c r="K49" s="479"/>
      <c r="L49" s="481"/>
      <c r="P49" s="132"/>
      <c r="Q49" s="132"/>
      <c r="R49" s="499"/>
      <c r="S49" s="515"/>
      <c r="T49" s="523" t="s">
        <v>407</v>
      </c>
      <c r="U49" s="214"/>
      <c r="V49" s="214"/>
      <c r="W49" s="214"/>
      <c r="X49" s="214"/>
      <c r="Y49" s="214"/>
      <c r="Z49" s="214"/>
      <c r="AA49" s="214"/>
      <c r="AB49" s="520"/>
      <c r="AC49" s="214"/>
      <c r="AD49" s="214"/>
      <c r="AE49" s="214"/>
      <c r="AF49" s="214"/>
      <c r="AG49" s="214"/>
      <c r="AH49" s="214"/>
      <c r="AI49" s="520"/>
      <c r="AJ49" s="214"/>
      <c r="AK49" s="686"/>
      <c r="AM49" s="129"/>
      <c r="AN49" s="129" t="str">
        <f t="shared" si="38"/>
        <v xml:space="preserve">Добавить группу потребителей</v>
      </c>
      <c r="AO49" s="129"/>
      <c r="AP49" s="129"/>
      <c r="AQ49" s="50">
        <v>21</v>
      </c>
    </row>
    <row r="50" ht="22" customHeight="1">
      <c r="A50" s="479" t="s">
        <v>266</v>
      </c>
      <c r="B50" s="479" t="s">
        <v>267</v>
      </c>
      <c r="C50" s="479" t="s">
        <v>268</v>
      </c>
      <c r="D50" s="479" t="s">
        <v>516</v>
      </c>
      <c r="E50" s="491"/>
      <c r="F50" s="491"/>
      <c r="G50" s="491"/>
      <c r="H50" s="480"/>
      <c r="I50" s="479"/>
      <c r="J50" s="479"/>
      <c r="K50" s="479"/>
      <c r="L50" s="481"/>
      <c r="M50" s="482"/>
      <c r="N50" s="482"/>
      <c r="O50" s="53"/>
      <c r="P50" s="143"/>
      <c r="Q50" s="522"/>
      <c r="R50" s="483"/>
      <c r="S50" s="515"/>
      <c r="T50" s="687" t="s">
        <v>483</v>
      </c>
      <c r="U50" s="214"/>
      <c r="V50" s="214"/>
      <c r="W50" s="214"/>
      <c r="X50" s="214"/>
      <c r="Y50" s="214"/>
      <c r="Z50" s="214"/>
      <c r="AA50" s="214"/>
      <c r="AB50" s="520"/>
      <c r="AC50" s="214"/>
      <c r="AD50" s="214"/>
      <c r="AE50" s="214"/>
      <c r="AF50" s="214"/>
      <c r="AG50" s="214"/>
      <c r="AH50" s="214"/>
      <c r="AI50" s="520"/>
      <c r="AJ50" s="214"/>
      <c r="AK50" s="521"/>
      <c r="AM50" s="129"/>
      <c r="AN50" s="129" t="str">
        <f t="shared" si="38"/>
        <v xml:space="preserve">Добавить наименование признака дифференциации</v>
      </c>
      <c r="AO50" s="129"/>
      <c r="AP50" s="129"/>
      <c r="AQ50" s="50">
        <v>21</v>
      </c>
    </row>
    <row r="51" s="57" customFormat="1" ht="0" customHeight="1">
      <c r="A51" s="133" t="s">
        <v>266</v>
      </c>
      <c r="B51" s="133" t="s">
        <v>267</v>
      </c>
      <c r="C51" s="133"/>
      <c r="D51" s="133"/>
      <c r="E51" s="491"/>
      <c r="F51" s="480"/>
      <c r="G51" s="133"/>
      <c r="H51" s="133"/>
      <c r="I51" s="133"/>
      <c r="J51" s="133"/>
      <c r="K51" s="133"/>
      <c r="L51" s="212"/>
      <c r="M51" s="528"/>
      <c r="N51" s="528"/>
      <c r="P51" s="167"/>
      <c r="Q51" s="524"/>
      <c r="R51" s="167"/>
      <c r="S51" s="529"/>
      <c r="T51" s="532" t="s">
        <v>410</v>
      </c>
      <c r="U51" s="531"/>
      <c r="V51" s="531"/>
      <c r="W51" s="531"/>
      <c r="X51" s="531"/>
      <c r="Y51" s="531"/>
      <c r="Z51" s="531"/>
      <c r="AA51" s="531"/>
      <c r="AB51" s="531"/>
      <c r="AC51" s="531"/>
      <c r="AD51" s="531"/>
      <c r="AE51" s="531"/>
      <c r="AF51" s="531"/>
      <c r="AG51" s="531"/>
      <c r="AH51" s="531"/>
      <c r="AI51" s="531"/>
      <c r="AJ51" s="531"/>
      <c r="AK51" s="531"/>
      <c r="AM51" s="129"/>
      <c r="AN51" s="129" t="str">
        <f t="shared" si="38"/>
        <v xml:space="preserve">Добавить централизованную систему для дифференциации</v>
      </c>
      <c r="AO51" s="129"/>
      <c r="AP51" s="129"/>
      <c r="AQ51" s="57">
        <v>0</v>
      </c>
    </row>
    <row r="52" s="57" customFormat="1" ht="0" customHeight="1">
      <c r="A52" s="133" t="s">
        <v>266</v>
      </c>
      <c r="B52" s="133"/>
      <c r="C52" s="133"/>
      <c r="D52" s="133"/>
      <c r="E52" s="480"/>
      <c r="F52" s="133"/>
      <c r="G52" s="133"/>
      <c r="H52" s="133"/>
      <c r="I52" s="133"/>
      <c r="J52" s="133"/>
      <c r="K52" s="133"/>
      <c r="L52" s="212"/>
      <c r="M52" s="528"/>
      <c r="N52" s="528"/>
      <c r="O52" s="57"/>
      <c r="P52" s="167"/>
      <c r="Q52" s="524"/>
      <c r="R52" s="167"/>
      <c r="S52" s="529"/>
      <c r="T52" s="532" t="s">
        <v>411</v>
      </c>
      <c r="U52" s="531"/>
      <c r="V52" s="531"/>
      <c r="W52" s="531"/>
      <c r="X52" s="531"/>
      <c r="Y52" s="531"/>
      <c r="Z52" s="531"/>
      <c r="AA52" s="531"/>
      <c r="AB52" s="531"/>
      <c r="AC52" s="531"/>
      <c r="AD52" s="531"/>
      <c r="AE52" s="531"/>
      <c r="AF52" s="531"/>
      <c r="AG52" s="531"/>
      <c r="AH52" s="531"/>
      <c r="AI52" s="531"/>
      <c r="AJ52" s="531"/>
      <c r="AK52" s="531"/>
      <c r="AM52" s="129"/>
      <c r="AN52" s="129" t="str">
        <f t="shared" si="3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443</v>
      </c>
      <c r="U53" s="531"/>
      <c r="V53" s="531"/>
      <c r="W53" s="531"/>
      <c r="X53" s="531"/>
      <c r="Y53" s="531"/>
      <c r="Z53" s="531"/>
      <c r="AA53" s="531"/>
      <c r="AB53" s="531"/>
      <c r="AC53" s="531"/>
      <c r="AD53" s="531"/>
      <c r="AE53" s="531"/>
      <c r="AF53" s="531"/>
      <c r="AG53" s="531"/>
      <c r="AH53" s="531"/>
      <c r="AI53" s="531"/>
      <c r="AJ53" s="531"/>
      <c r="AK53" s="531"/>
      <c r="AM53" s="129"/>
      <c r="AN53" s="129" t="str">
        <f t="shared" si="3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0006A-0034-41DA-B386-00F8002C003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8E00E6-00E1-4E02-B379-0055002C0042}"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C003E-00DF-4C46-BEBE-005800130088}"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0007C-0046-4257-A861-009400C30056}"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8" width="3.7109375"/>
    <col customWidth="1" min="18" max="18" style="47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120</v>
      </c>
      <c r="U2" s="486"/>
      <c r="V2" s="488"/>
      <c r="W2" s="488"/>
      <c r="X2" s="488"/>
      <c r="Y2" s="488"/>
      <c r="Z2" s="488"/>
      <c r="AA2" s="488"/>
      <c r="AB2" s="488"/>
      <c r="AC2" s="489"/>
      <c r="AD2" s="487" t="e">
        <f>INDEX(PT_DIFFERENTIATION_NTAR,MATCH(A2,PT_DIFFERENTIATION_NTAR_ID,0))</f>
        <v>#VALUE!</v>
      </c>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9"/>
      <c r="BC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9">IF(T2="","",T2)</f>
        <v xml:space="preserve">Наименование тарифа</v>
      </c>
      <c r="BG2" s="129"/>
      <c r="BH2" s="129"/>
      <c r="BI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392</v>
      </c>
      <c r="U3" s="486"/>
      <c r="V3" s="488"/>
      <c r="W3" s="488"/>
      <c r="X3" s="488"/>
      <c r="Y3" s="488"/>
      <c r="Z3" s="488"/>
      <c r="AA3" s="488"/>
      <c r="AB3" s="488"/>
      <c r="AC3" s="489"/>
      <c r="AD3" s="487" t="e">
        <f>INDEX(PT_DIFFERENTIATION_TER,MATCH(B3,PT_DIFFERENTIATION_TER_ID,0))</f>
        <v>#VALUE!</v>
      </c>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9"/>
      <c r="BC3" s="490" t="s">
        <v>393</v>
      </c>
      <c r="BE3" s="129"/>
      <c r="BF3" s="129" t="str">
        <f t="shared" si="39"/>
        <v xml:space="preserve">Территория действия тарифа</v>
      </c>
      <c r="BG3" s="129"/>
      <c r="BH3" s="129"/>
      <c r="BI3" s="50">
        <v>0</v>
      </c>
    </row>
    <row r="4" ht="33.75"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511</v>
      </c>
      <c r="U4" s="486"/>
      <c r="V4" s="488"/>
      <c r="W4" s="488"/>
      <c r="X4" s="488"/>
      <c r="Y4" s="488"/>
      <c r="Z4" s="488"/>
      <c r="AA4" s="488"/>
      <c r="AB4" s="488"/>
      <c r="AC4" s="489"/>
      <c r="AD4" s="487" t="e">
        <f>INDEX(PT_DIFFERENTIATION_CS,MATCH(C4,PT_DIFFERENTIATION_CS_ID,0))</f>
        <v>#VALUE!</v>
      </c>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9"/>
      <c r="BC4" s="490" t="s">
        <v>512</v>
      </c>
      <c r="BE4" s="129"/>
      <c r="BF4" s="129" t="str">
        <f t="shared" si="39"/>
        <v xml:space="preserve">Наименование централизованной системы водоотведения</v>
      </c>
      <c r="BG4" s="129"/>
      <c r="BH4" s="129"/>
      <c r="BI4" s="50">
        <v>0</v>
      </c>
    </row>
    <row r="5" s="57" customFormat="1" ht="14.25" hidden="1" customHeight="1">
      <c r="A5" s="133"/>
      <c r="B5" s="133"/>
      <c r="C5" s="133"/>
      <c r="D5" s="133"/>
      <c r="E5" s="491"/>
      <c r="F5" s="491"/>
      <c r="G5" s="491"/>
      <c r="H5" s="480">
        <v>1</v>
      </c>
      <c r="I5" s="133"/>
      <c r="J5" s="133"/>
      <c r="K5" s="133"/>
      <c r="L5" s="212"/>
      <c r="M5" s="464"/>
      <c r="N5" s="464"/>
      <c r="O5" s="464"/>
      <c r="P5" s="694"/>
      <c r="Q5" s="695"/>
      <c r="R5" s="504"/>
      <c r="S5" s="351"/>
      <c r="T5" s="696"/>
      <c r="U5" s="587"/>
      <c r="V5" s="589"/>
      <c r="W5" s="589"/>
      <c r="X5" s="589"/>
      <c r="Y5" s="589"/>
      <c r="Z5" s="589"/>
      <c r="AA5" s="589"/>
      <c r="AB5" s="589"/>
      <c r="AC5" s="590"/>
      <c r="AD5" s="588"/>
      <c r="AE5" s="589"/>
      <c r="AF5" s="589"/>
      <c r="AG5" s="589"/>
      <c r="AH5" s="589"/>
      <c r="AI5" s="589"/>
      <c r="AJ5" s="589"/>
      <c r="AK5" s="589"/>
      <c r="AL5" s="589"/>
      <c r="AM5" s="589"/>
      <c r="AN5" s="589"/>
      <c r="AO5" s="589"/>
      <c r="AP5" s="589"/>
      <c r="AQ5" s="589"/>
      <c r="AR5" s="589"/>
      <c r="AS5" s="589"/>
      <c r="AT5" s="589"/>
      <c r="AU5" s="589"/>
      <c r="AV5" s="589"/>
      <c r="AW5" s="589"/>
      <c r="AX5" s="589"/>
      <c r="AY5" s="589"/>
      <c r="AZ5" s="589"/>
      <c r="BA5" s="589"/>
      <c r="BB5" s="590"/>
      <c r="BC5" s="591" t="s">
        <v>397</v>
      </c>
      <c r="BE5" s="129"/>
      <c r="BF5" s="129" t="str">
        <f t="shared" si="39"/>
        <v/>
      </c>
      <c r="BG5" s="129"/>
      <c r="BH5" s="129"/>
      <c r="BI5" s="57">
        <v>0</v>
      </c>
    </row>
    <row r="6" s="57" customFormat="1" ht="14.25" hidden="1" customHeight="1">
      <c r="A6" s="133"/>
      <c r="B6" s="133"/>
      <c r="C6" s="133"/>
      <c r="D6" s="133"/>
      <c r="E6" s="491"/>
      <c r="F6" s="491"/>
      <c r="G6" s="491"/>
      <c r="H6" s="491"/>
      <c r="I6" s="498" t="str">
        <f>S5&amp;".1"</f>
        <v>.1</v>
      </c>
      <c r="J6" s="133"/>
      <c r="K6" s="133"/>
      <c r="L6" s="212" t="s">
        <v>398</v>
      </c>
      <c r="M6" s="596"/>
      <c r="N6" s="596"/>
      <c r="O6" s="596"/>
      <c r="P6" s="132">
        <v>1</v>
      </c>
      <c r="Q6" s="132"/>
      <c r="R6" s="499"/>
      <c r="S6" s="351"/>
      <c r="T6" s="586"/>
      <c r="U6" s="587"/>
      <c r="V6" s="589"/>
      <c r="W6" s="589"/>
      <c r="X6" s="589"/>
      <c r="Y6" s="589"/>
      <c r="Z6" s="589"/>
      <c r="AA6" s="589"/>
      <c r="AB6" s="589"/>
      <c r="AC6" s="590"/>
      <c r="AD6" s="588"/>
      <c r="AE6" s="589"/>
      <c r="AF6" s="589"/>
      <c r="AG6" s="589"/>
      <c r="AH6" s="589"/>
      <c r="AI6" s="589"/>
      <c r="AJ6" s="589"/>
      <c r="AK6" s="589"/>
      <c r="AL6" s="589"/>
      <c r="AM6" s="589"/>
      <c r="AN6" s="589"/>
      <c r="AO6" s="589"/>
      <c r="AP6" s="589"/>
      <c r="AQ6" s="589"/>
      <c r="AR6" s="589"/>
      <c r="AS6" s="589"/>
      <c r="AT6" s="589"/>
      <c r="AU6" s="589"/>
      <c r="AV6" s="589"/>
      <c r="AW6" s="589"/>
      <c r="AX6" s="589"/>
      <c r="AY6" s="589"/>
      <c r="AZ6" s="589"/>
      <c r="BA6" s="589"/>
      <c r="BB6" s="590"/>
      <c r="BC6" s="591"/>
      <c r="BE6" s="129"/>
      <c r="BF6" s="129" t="str">
        <f t="shared" si="39"/>
        <v/>
      </c>
      <c r="BG6" s="129"/>
      <c r="BH6" s="129"/>
      <c r="BI6" s="57">
        <v>0</v>
      </c>
    </row>
    <row r="7" s="57" customFormat="1" ht="14.25" hidden="1" customHeight="1">
      <c r="A7" s="133"/>
      <c r="B7" s="133"/>
      <c r="C7" s="133"/>
      <c r="D7" s="133"/>
      <c r="E7" s="491"/>
      <c r="F7" s="491"/>
      <c r="G7" s="491"/>
      <c r="H7" s="491"/>
      <c r="I7" s="503"/>
      <c r="J7" s="498" t="str">
        <f>S5&amp;".1"</f>
        <v>.1</v>
      </c>
      <c r="K7" s="133"/>
      <c r="L7" s="212"/>
      <c r="M7" s="596"/>
      <c r="N7" s="596"/>
      <c r="O7" s="596"/>
      <c r="P7" s="132"/>
      <c r="Q7" s="132">
        <v>1</v>
      </c>
      <c r="R7" s="504"/>
      <c r="S7" s="351"/>
      <c r="T7" s="630"/>
      <c r="U7" s="587"/>
      <c r="V7" s="589"/>
      <c r="W7" s="589"/>
      <c r="X7" s="589"/>
      <c r="Y7" s="589"/>
      <c r="Z7" s="589"/>
      <c r="AA7" s="589"/>
      <c r="AB7" s="589"/>
      <c r="AC7" s="590"/>
      <c r="AD7" s="588"/>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90"/>
      <c r="BC7" s="591"/>
      <c r="BE7" s="129"/>
      <c r="BF7" s="129" t="str">
        <f t="shared" si="39"/>
        <v/>
      </c>
      <c r="BG7" s="129"/>
      <c r="BH7" s="129"/>
      <c r="BI7" s="57">
        <v>0</v>
      </c>
    </row>
    <row r="8" ht="11.25" hidden="1" customHeight="1">
      <c r="A8" s="479"/>
      <c r="B8" s="479"/>
      <c r="C8" s="479"/>
      <c r="D8" s="479"/>
      <c r="E8" s="491"/>
      <c r="F8" s="491"/>
      <c r="G8" s="491"/>
      <c r="H8" s="491"/>
      <c r="I8" s="503"/>
      <c r="J8" s="503"/>
      <c r="K8" s="498" t="e">
        <f>S4&amp;".1"</f>
        <v>#VALUE!</v>
      </c>
      <c r="L8" s="481"/>
      <c r="P8" s="132"/>
      <c r="Q8" s="132"/>
      <c r="R8" s="631">
        <v>1</v>
      </c>
      <c r="S8" s="598" t="e">
        <f>$K8</f>
        <v>#VALUE!</v>
      </c>
      <c r="T8" s="689"/>
      <c r="U8" s="486"/>
      <c r="V8" s="507"/>
      <c r="W8" s="509"/>
      <c r="X8" s="507"/>
      <c r="Y8" s="509"/>
      <c r="Z8" s="510"/>
      <c r="AA8" s="224" t="s">
        <v>65</v>
      </c>
      <c r="AB8" s="510"/>
      <c r="AC8" s="224" t="s">
        <v>65</v>
      </c>
      <c r="AD8" s="314" t="s">
        <v>65</v>
      </c>
      <c r="AE8" s="633"/>
      <c r="AF8" s="345">
        <v>1</v>
      </c>
      <c r="AG8" s="690"/>
      <c r="AH8" s="224" t="s">
        <v>65</v>
      </c>
      <c r="AI8" s="633"/>
      <c r="AJ8" s="345">
        <v>1</v>
      </c>
      <c r="AK8" s="87" t="s">
        <v>22</v>
      </c>
      <c r="AL8" s="224" t="s">
        <v>65</v>
      </c>
      <c r="AM8" s="304"/>
      <c r="AN8" s="345">
        <v>1</v>
      </c>
      <c r="AO8" s="697"/>
      <c r="AP8" s="698" t="s">
        <v>65</v>
      </c>
      <c r="AQ8" s="634"/>
      <c r="AR8" s="345">
        <v>1</v>
      </c>
      <c r="AS8" s="95" t="s">
        <v>22</v>
      </c>
      <c r="AT8" s="507"/>
      <c r="AU8" s="509"/>
      <c r="AV8" s="507"/>
      <c r="AW8" s="509"/>
      <c r="AX8" s="510"/>
      <c r="AY8" s="224" t="s">
        <v>65</v>
      </c>
      <c r="AZ8" s="510"/>
      <c r="BA8" s="224" t="s">
        <v>65</v>
      </c>
      <c r="BB8" s="571"/>
      <c r="BC8" s="511" t="s">
        <v>496</v>
      </c>
      <c r="BE8" s="129"/>
      <c r="BF8" s="129" t="str">
        <f t="shared" si="39"/>
        <v/>
      </c>
      <c r="BG8" s="129"/>
      <c r="BH8" s="129"/>
      <c r="BI8" s="50">
        <v>0</v>
      </c>
    </row>
    <row r="9" ht="11.25" hidden="1" customHeight="1">
      <c r="A9" s="479"/>
      <c r="B9" s="479"/>
      <c r="C9" s="479"/>
      <c r="D9" s="479"/>
      <c r="E9" s="491"/>
      <c r="F9" s="491"/>
      <c r="G9" s="491"/>
      <c r="H9" s="491"/>
      <c r="I9" s="503"/>
      <c r="J9" s="503"/>
      <c r="K9" s="498"/>
      <c r="L9" s="481"/>
      <c r="P9" s="132"/>
      <c r="Q9" s="132"/>
      <c r="R9" s="631"/>
      <c r="S9" s="635"/>
      <c r="T9" s="699"/>
      <c r="U9" s="486"/>
      <c r="V9" s="622"/>
      <c r="W9" s="639"/>
      <c r="X9" s="622"/>
      <c r="Y9" s="639"/>
      <c r="Z9" s="622"/>
      <c r="AA9" s="622"/>
      <c r="AB9" s="622"/>
      <c r="AC9" s="622"/>
      <c r="AD9" s="320"/>
      <c r="AE9" s="633"/>
      <c r="AF9" s="345"/>
      <c r="AG9" s="690"/>
      <c r="AH9" s="224"/>
      <c r="AI9" s="633"/>
      <c r="AJ9" s="345"/>
      <c r="AK9" s="87"/>
      <c r="AL9" s="224"/>
      <c r="AM9" s="310"/>
      <c r="AN9" s="345"/>
      <c r="AO9" s="697"/>
      <c r="AP9" s="700"/>
      <c r="AQ9" s="638"/>
      <c r="AR9" s="177"/>
      <c r="AS9" s="177" t="s">
        <v>497</v>
      </c>
      <c r="AT9" s="622"/>
      <c r="AU9" s="639"/>
      <c r="AV9" s="622"/>
      <c r="AW9" s="639"/>
      <c r="AX9" s="622"/>
      <c r="AY9" s="622"/>
      <c r="AZ9" s="622"/>
      <c r="BA9" s="622"/>
      <c r="BB9" s="637"/>
      <c r="BC9" s="514"/>
      <c r="BE9" s="129"/>
      <c r="BF9" s="129"/>
      <c r="BG9" s="129"/>
      <c r="BH9" s="129"/>
      <c r="BI9" s="50">
        <v>0</v>
      </c>
    </row>
    <row r="10" ht="11.25" hidden="1" customHeight="1">
      <c r="A10" s="479"/>
      <c r="B10" s="479"/>
      <c r="C10" s="479"/>
      <c r="D10" s="479"/>
      <c r="E10" s="491"/>
      <c r="F10" s="491"/>
      <c r="G10" s="491"/>
      <c r="H10" s="491"/>
      <c r="I10" s="503"/>
      <c r="J10" s="503"/>
      <c r="K10" s="498"/>
      <c r="L10" s="481"/>
      <c r="P10" s="132"/>
      <c r="Q10" s="132"/>
      <c r="R10" s="631"/>
      <c r="S10" s="635"/>
      <c r="T10" s="699"/>
      <c r="U10" s="486"/>
      <c r="V10" s="622"/>
      <c r="W10" s="639"/>
      <c r="X10" s="622"/>
      <c r="Y10" s="639"/>
      <c r="Z10" s="622"/>
      <c r="AA10" s="622"/>
      <c r="AB10" s="622"/>
      <c r="AC10" s="622"/>
      <c r="AD10" s="320"/>
      <c r="AE10" s="633"/>
      <c r="AF10" s="345"/>
      <c r="AG10" s="690"/>
      <c r="AH10" s="224"/>
      <c r="AI10" s="633"/>
      <c r="AJ10" s="345"/>
      <c r="AK10" s="87"/>
      <c r="AL10" s="224"/>
      <c r="AM10" s="638"/>
      <c r="AN10" s="701"/>
      <c r="AO10" s="701" t="s">
        <v>517</v>
      </c>
      <c r="AP10" s="177"/>
      <c r="AQ10" s="177"/>
      <c r="AR10" s="177"/>
      <c r="AS10" s="622"/>
      <c r="AT10" s="622"/>
      <c r="AU10" s="639"/>
      <c r="AV10" s="622"/>
      <c r="AW10" s="639"/>
      <c r="AX10" s="622"/>
      <c r="AY10" s="622"/>
      <c r="AZ10" s="622"/>
      <c r="BA10" s="622"/>
      <c r="BB10" s="637"/>
      <c r="BC10" s="514"/>
      <c r="BE10" s="129"/>
      <c r="BF10" s="129"/>
      <c r="BG10" s="129"/>
      <c r="BH10" s="129"/>
      <c r="BI10" s="50">
        <v>0</v>
      </c>
    </row>
    <row r="11" ht="11.25" hidden="1" customHeight="1">
      <c r="A11" s="479"/>
      <c r="B11" s="479"/>
      <c r="C11" s="479"/>
      <c r="D11" s="479"/>
      <c r="E11" s="491"/>
      <c r="F11" s="491"/>
      <c r="G11" s="491"/>
      <c r="H11" s="491"/>
      <c r="I11" s="503"/>
      <c r="J11" s="503"/>
      <c r="K11" s="498"/>
      <c r="L11" s="481"/>
      <c r="P11" s="132"/>
      <c r="Q11" s="132"/>
      <c r="R11" s="631"/>
      <c r="S11" s="635"/>
      <c r="T11" s="699"/>
      <c r="U11" s="486"/>
      <c r="V11" s="622"/>
      <c r="W11" s="639"/>
      <c r="X11" s="622"/>
      <c r="Y11" s="639"/>
      <c r="Z11" s="622"/>
      <c r="AA11" s="622"/>
      <c r="AB11" s="622"/>
      <c r="AC11" s="622"/>
      <c r="AD11" s="320"/>
      <c r="AE11" s="633"/>
      <c r="AF11" s="345"/>
      <c r="AG11" s="690"/>
      <c r="AH11" s="224"/>
      <c r="AI11" s="641"/>
      <c r="AJ11" s="172"/>
      <c r="AK11" s="441" t="s">
        <v>518</v>
      </c>
      <c r="AL11" s="622"/>
      <c r="AM11" s="622"/>
      <c r="AN11" s="622"/>
      <c r="AO11" s="622"/>
      <c r="AP11" s="622"/>
      <c r="AQ11" s="622"/>
      <c r="AR11" s="622"/>
      <c r="AS11" s="622"/>
      <c r="AT11" s="622"/>
      <c r="AU11" s="639"/>
      <c r="AV11" s="622"/>
      <c r="AW11" s="639"/>
      <c r="AX11" s="622"/>
      <c r="AY11" s="622"/>
      <c r="AZ11" s="622"/>
      <c r="BA11" s="622"/>
      <c r="BB11" s="637"/>
      <c r="BC11" s="514"/>
      <c r="BE11" s="129"/>
      <c r="BF11" s="129"/>
      <c r="BG11" s="129"/>
      <c r="BH11" s="129"/>
      <c r="BI11" s="50">
        <v>0</v>
      </c>
    </row>
    <row r="12" ht="11.25" hidden="1" customHeight="1">
      <c r="A12" s="479"/>
      <c r="B12" s="479"/>
      <c r="C12" s="479"/>
      <c r="D12" s="479"/>
      <c r="E12" s="491"/>
      <c r="F12" s="491"/>
      <c r="G12" s="491"/>
      <c r="H12" s="491"/>
      <c r="I12" s="503"/>
      <c r="J12" s="503"/>
      <c r="K12" s="498"/>
      <c r="L12" s="481"/>
      <c r="P12" s="132"/>
      <c r="Q12" s="132"/>
      <c r="R12" s="631"/>
      <c r="S12" s="608"/>
      <c r="T12" s="702"/>
      <c r="U12" s="486"/>
      <c r="V12" s="622"/>
      <c r="W12" s="623" t="str">
        <f>Z8&amp;"-"&amp;AB8</f>
        <v>-</v>
      </c>
      <c r="X12" s="622"/>
      <c r="Y12" s="623" t="str">
        <f>AB8&amp;"-"&amp;AD8</f>
        <v>-да</v>
      </c>
      <c r="Z12" s="622"/>
      <c r="AA12" s="622"/>
      <c r="AB12" s="622"/>
      <c r="AC12" s="622"/>
      <c r="AD12" s="220"/>
      <c r="AE12" s="644"/>
      <c r="AF12" s="645"/>
      <c r="AG12" s="177" t="s">
        <v>500</v>
      </c>
      <c r="AH12" s="622"/>
      <c r="AI12" s="622"/>
      <c r="AJ12" s="622"/>
      <c r="AK12" s="622"/>
      <c r="AL12" s="622"/>
      <c r="AM12" s="622"/>
      <c r="AN12" s="622"/>
      <c r="AO12" s="622"/>
      <c r="AP12" s="622"/>
      <c r="AQ12" s="622"/>
      <c r="AR12" s="622"/>
      <c r="AS12" s="622"/>
      <c r="AT12" s="622"/>
      <c r="AU12" s="623" t="str">
        <f>AX8&amp;"-"&amp;AZ8</f>
        <v>-</v>
      </c>
      <c r="AV12" s="622"/>
      <c r="AW12" s="623" t="str">
        <f>AZ8&amp;"-"&amp;BB8</f>
        <v>-</v>
      </c>
      <c r="AX12" s="622"/>
      <c r="AY12" s="622"/>
      <c r="AZ12" s="622"/>
      <c r="BA12" s="622"/>
      <c r="BB12" s="643" t="str">
        <f>BE8&amp;"-"&amp;BG8</f>
        <v>-</v>
      </c>
      <c r="BC12" s="514"/>
      <c r="BE12" s="129"/>
      <c r="BF12" s="129" t="str">
        <f t="shared" ref="BF12:BF63" si="40">IF(T12="","",T12)</f>
        <v/>
      </c>
      <c r="BG12" s="129"/>
      <c r="BH12" s="129"/>
      <c r="BI12" s="50">
        <v>0</v>
      </c>
    </row>
    <row r="13" ht="11.25" hidden="1" customHeight="1">
      <c r="A13" s="479"/>
      <c r="B13" s="479"/>
      <c r="C13" s="479"/>
      <c r="D13" s="479"/>
      <c r="E13" s="491"/>
      <c r="F13" s="491"/>
      <c r="G13" s="491"/>
      <c r="H13" s="491"/>
      <c r="I13" s="503"/>
      <c r="J13" s="498"/>
      <c r="K13" s="479"/>
      <c r="L13" s="481"/>
      <c r="P13" s="132"/>
      <c r="Q13" s="132"/>
      <c r="R13" s="499"/>
      <c r="S13" s="515"/>
      <c r="T13" s="519" t="s">
        <v>463</v>
      </c>
      <c r="U13" s="214"/>
      <c r="V13" s="214"/>
      <c r="W13" s="214"/>
      <c r="X13" s="214"/>
      <c r="Y13" s="214"/>
      <c r="Z13" s="214"/>
      <c r="AA13" s="214"/>
      <c r="AB13" s="214"/>
      <c r="AC13" s="214"/>
      <c r="AD13" s="67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17"/>
      <c r="BC13" s="518"/>
      <c r="BE13" s="129"/>
      <c r="BF13" s="129" t="str">
        <f t="shared" si="40"/>
        <v xml:space="preserve">Добавить строку</v>
      </c>
      <c r="BG13" s="129"/>
      <c r="BH13" s="129"/>
      <c r="BI13" s="50">
        <v>0</v>
      </c>
    </row>
    <row r="14" s="57" customFormat="1" ht="14.25" hidden="1" customHeight="1">
      <c r="A14" s="133"/>
      <c r="B14" s="133"/>
      <c r="C14" s="133"/>
      <c r="D14" s="133"/>
      <c r="E14" s="491"/>
      <c r="F14" s="491"/>
      <c r="G14" s="491"/>
      <c r="H14" s="491"/>
      <c r="I14" s="498"/>
      <c r="J14" s="133"/>
      <c r="K14" s="133"/>
      <c r="L14" s="212"/>
      <c r="M14" s="596"/>
      <c r="N14" s="596"/>
      <c r="O14" s="596"/>
      <c r="P14" s="132"/>
      <c r="Q14" s="132"/>
      <c r="R14" s="499"/>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5"/>
      <c r="BE14" s="129"/>
      <c r="BF14" s="129" t="str">
        <f t="shared" si="40"/>
        <v/>
      </c>
      <c r="BG14" s="129"/>
      <c r="BH14" s="129"/>
      <c r="BI14" s="57">
        <v>0</v>
      </c>
    </row>
    <row r="15" s="57" customFormat="1" ht="14.25" hidden="1" customHeight="1">
      <c r="A15" s="133"/>
      <c r="B15" s="133"/>
      <c r="C15" s="133"/>
      <c r="D15" s="133"/>
      <c r="E15" s="491"/>
      <c r="F15" s="491"/>
      <c r="G15" s="491"/>
      <c r="H15" s="480"/>
      <c r="I15" s="133"/>
      <c r="J15" s="133"/>
      <c r="K15" s="133"/>
      <c r="L15" s="212"/>
      <c r="M15" s="464"/>
      <c r="N15" s="464"/>
      <c r="O15" s="57"/>
      <c r="P15" s="167"/>
      <c r="Q15" s="524"/>
      <c r="R15" s="646"/>
      <c r="S15" s="592"/>
      <c r="T15" s="593"/>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5"/>
      <c r="BE15" s="129"/>
      <c r="BF15" s="129" t="str">
        <f t="shared" si="40"/>
        <v/>
      </c>
      <c r="BG15" s="129"/>
      <c r="BH15" s="129"/>
      <c r="BI15" s="57">
        <v>0</v>
      </c>
    </row>
    <row r="16" s="57" customFormat="1" ht="14.25" hidden="1" customHeight="1">
      <c r="A16" s="133"/>
      <c r="B16" s="133"/>
      <c r="C16" s="133"/>
      <c r="D16" s="133"/>
      <c r="E16" s="491"/>
      <c r="F16" s="491"/>
      <c r="G16" s="480"/>
      <c r="H16" s="133"/>
      <c r="I16" s="133"/>
      <c r="J16" s="133"/>
      <c r="K16" s="133"/>
      <c r="L16" s="212"/>
      <c r="M16" s="464"/>
      <c r="N16" s="464"/>
      <c r="P16" s="167"/>
      <c r="Q16" s="524"/>
      <c r="R16" s="167"/>
      <c r="S16" s="529"/>
      <c r="T16" s="532"/>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E16" s="129"/>
      <c r="BF16" s="129" t="str">
        <f t="shared" si="40"/>
        <v/>
      </c>
      <c r="BG16" s="129"/>
      <c r="BH16" s="129"/>
      <c r="BI16" s="57">
        <v>0</v>
      </c>
    </row>
    <row r="17" s="57" customFormat="1" ht="14.25" hidden="1" customHeight="1">
      <c r="A17" s="133"/>
      <c r="B17" s="133"/>
      <c r="C17" s="133"/>
      <c r="D17" s="133"/>
      <c r="E17" s="491"/>
      <c r="F17" s="480"/>
      <c r="G17" s="133"/>
      <c r="H17" s="133"/>
      <c r="I17" s="133"/>
      <c r="J17" s="133"/>
      <c r="K17" s="133"/>
      <c r="L17" s="212"/>
      <c r="M17" s="528"/>
      <c r="N17" s="528"/>
      <c r="P17" s="167"/>
      <c r="Q17" s="524"/>
      <c r="R17" s="167"/>
      <c r="S17" s="529"/>
      <c r="T17" s="532" t="s">
        <v>410</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E17" s="129"/>
      <c r="BF17" s="129" t="str">
        <f t="shared" si="40"/>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0"/>
      <c r="F18" s="133"/>
      <c r="G18" s="133"/>
      <c r="H18" s="133"/>
      <c r="I18" s="133"/>
      <c r="J18" s="133"/>
      <c r="K18" s="133"/>
      <c r="L18" s="212"/>
      <c r="M18" s="528"/>
      <c r="N18" s="528"/>
      <c r="O18" s="57"/>
      <c r="P18" s="167"/>
      <c r="Q18" s="524"/>
      <c r="R18" s="167"/>
      <c r="S18" s="529"/>
      <c r="T18" s="532" t="s">
        <v>411</v>
      </c>
      <c r="U18" s="531"/>
      <c r="V18" s="531"/>
      <c r="W18" s="531"/>
      <c r="X18" s="5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E18" s="129"/>
      <c r="BF18" s="129" t="str">
        <f t="shared" si="40"/>
        <v xml:space="preserve">Добавить территорию для дифференциации</v>
      </c>
      <c r="BG18" s="129"/>
      <c r="BH18" s="129"/>
      <c r="BI18" s="57">
        <v>0</v>
      </c>
    </row>
    <row r="19" ht="14.25" hidden="1" customHeight="1">
      <c r="AC19" s="50"/>
      <c r="BA19" s="50"/>
      <c r="BI19" s="50">
        <v>0</v>
      </c>
    </row>
    <row r="20" ht="14.25" hidden="1" customHeight="1">
      <c r="AD20" s="531" t="s">
        <v>19</v>
      </c>
      <c r="AE20" s="647"/>
      <c r="AF20" s="531">
        <v>1</v>
      </c>
      <c r="AG20" s="648"/>
      <c r="AH20" s="531" t="s">
        <v>19</v>
      </c>
      <c r="AI20" s="647"/>
      <c r="AJ20" s="531">
        <v>1</v>
      </c>
      <c r="AK20" s="648"/>
      <c r="AL20" s="531" t="s">
        <v>19</v>
      </c>
      <c r="AM20" s="649"/>
      <c r="AN20" s="531">
        <v>1</v>
      </c>
      <c r="AO20" s="134"/>
      <c r="AP20" s="531" t="s">
        <v>19</v>
      </c>
      <c r="AQ20" s="649"/>
      <c r="AR20" s="531">
        <v>1</v>
      </c>
      <c r="AS20" s="134"/>
      <c r="AT20" s="508"/>
      <c r="AU20" s="583"/>
      <c r="AV20" s="508"/>
      <c r="AW20" s="583"/>
      <c r="AX20" s="653"/>
      <c r="AY20" s="654" t="s">
        <v>65</v>
      </c>
      <c r="AZ20" s="653"/>
      <c r="BA20" s="654" t="s">
        <v>65</v>
      </c>
      <c r="BI20" s="50">
        <v>0</v>
      </c>
    </row>
    <row r="21" ht="14.25" hidden="1" customHeight="1">
      <c r="BD21" s="131"/>
      <c r="BE21" s="131"/>
      <c r="BF21" s="131"/>
      <c r="BG21" s="131"/>
      <c r="BH21" s="131"/>
      <c r="BI21" s="50">
        <v>0</v>
      </c>
    </row>
    <row r="22" ht="14.25" hidden="1" customHeight="1">
      <c r="O22" s="537" t="s">
        <v>412</v>
      </c>
      <c r="Z22" s="581"/>
      <c r="AB22" s="581"/>
      <c r="AC22" s="50"/>
      <c r="AX22" s="581"/>
      <c r="AZ22" s="581"/>
      <c r="BA22" s="50"/>
      <c r="BD22" s="131"/>
      <c r="BE22" s="131"/>
      <c r="BF22" s="131"/>
      <c r="BG22" s="131"/>
      <c r="BH22" s="131"/>
      <c r="BI22" s="50">
        <v>0</v>
      </c>
    </row>
    <row r="23" ht="14.25" hidden="1" customHeight="1">
      <c r="AC23" s="50"/>
      <c r="BA23" s="50"/>
      <c r="BD23" s="131"/>
      <c r="BE23" s="131"/>
      <c r="BF23" s="131"/>
      <c r="BG23" s="131"/>
      <c r="BH23" s="131"/>
      <c r="BI23" s="50">
        <v>0</v>
      </c>
    </row>
    <row r="24" s="655" customFormat="1" ht="14.25" hidden="1" customHeight="1">
      <c r="M24" s="656"/>
      <c r="N24" s="656"/>
      <c r="O24" s="655" t="s">
        <v>413</v>
      </c>
      <c r="P24" s="656"/>
      <c r="Q24" s="657"/>
      <c r="R24" s="657"/>
      <c r="AA24" s="655" t="s">
        <v>415</v>
      </c>
      <c r="AC24" s="655" t="s">
        <v>416</v>
      </c>
      <c r="AD24" s="655" t="s">
        <v>464</v>
      </c>
      <c r="AH24" s="655" t="s">
        <v>464</v>
      </c>
      <c r="AK24" s="655" t="s">
        <v>501</v>
      </c>
      <c r="AL24" s="655" t="s">
        <v>464</v>
      </c>
      <c r="AP24" s="655" t="s">
        <v>464</v>
      </c>
      <c r="AY24" s="655" t="s">
        <v>415</v>
      </c>
      <c r="BA24" s="655" t="s">
        <v>416</v>
      </c>
      <c r="BD24" s="658"/>
      <c r="BE24" s="658"/>
      <c r="BF24" s="658"/>
      <c r="BG24" s="658"/>
      <c r="BH24" s="658"/>
      <c r="BI24" s="655">
        <v>0</v>
      </c>
    </row>
    <row r="25" ht="14.25" hidden="1" customHeight="1">
      <c r="O25" s="481"/>
      <c r="BD25" s="131"/>
      <c r="BE25" s="131"/>
      <c r="BF25" s="131"/>
      <c r="BG25" s="131"/>
      <c r="BH25" s="131"/>
      <c r="BI25" s="50">
        <v>0</v>
      </c>
    </row>
    <row r="26" ht="14.25" hidden="1" customHeight="1">
      <c r="O26" s="481"/>
      <c r="BD26" s="131"/>
      <c r="BE26" s="131"/>
      <c r="BF26" s="131"/>
      <c r="BG26" s="131"/>
      <c r="BH26" s="131"/>
      <c r="BI26" s="50">
        <v>0</v>
      </c>
    </row>
    <row r="27" ht="14.65" customHeight="1">
      <c r="Q27" s="659"/>
      <c r="R27" s="539"/>
      <c r="S27" s="54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59"/>
      <c r="R28" s="539"/>
      <c r="S28" s="452"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240"/>
      <c r="BI28" s="50">
        <v>14</v>
      </c>
    </row>
    <row r="29" ht="14.65" customHeight="1">
      <c r="Q29" s="659"/>
      <c r="R29" s="539"/>
      <c r="S29" s="303" t="str">
        <f>IF(org=0,"Не определено",org)</f>
        <v xml:space="preserve">АО "ДГК" СП "Биробиджанская ТЭЦ"</v>
      </c>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240"/>
      <c r="BI29" s="50">
        <v>14</v>
      </c>
    </row>
    <row r="30" ht="14.25" hidden="1" customHeight="1">
      <c r="Q30" s="659"/>
      <c r="R30" s="539"/>
      <c r="S30" s="540"/>
      <c r="T30" s="91"/>
      <c r="U30" s="9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0"/>
      <c r="BI30" s="50">
        <v>0</v>
      </c>
    </row>
    <row r="31" s="184" customFormat="1" ht="25.5" hidden="1" customHeight="1">
      <c r="A31" s="151"/>
      <c r="B31" s="151"/>
      <c r="C31" s="151"/>
      <c r="D31" s="151"/>
      <c r="E31" s="151"/>
      <c r="F31" s="151"/>
      <c r="G31" s="151"/>
      <c r="H31" s="151"/>
      <c r="I31" s="151"/>
      <c r="J31" s="151"/>
      <c r="K31" s="151"/>
      <c r="L31" s="481"/>
      <c r="M31" s="151"/>
      <c r="N31" s="151"/>
      <c r="O31" s="151"/>
      <c r="P31" s="151"/>
      <c r="Q31" s="151"/>
      <c r="S31" s="542" t="s">
        <v>41</v>
      </c>
      <c r="T31" s="542"/>
      <c r="U31" s="543"/>
      <c r="V31" s="544" t="str">
        <f>IF(TITLE_NAME_OR_PR_CHANGE="",IF(TITLE_NAME_OR_PR="","",TITLE_NAME_OR_PR),TITLE_NAME_OR_PR_CHANGE)</f>
        <v/>
      </c>
      <c r="W31" s="544"/>
      <c r="X31" s="544"/>
      <c r="Y31" s="544"/>
      <c r="Z31" s="544"/>
      <c r="AA31" s="544"/>
      <c r="AB31" s="544"/>
      <c r="AC31" s="50"/>
      <c r="AD31" s="544" t="str">
        <f>IF(TITLE_NAME_OR_PR_CHANGE="",IF(TITLE_NAME_OR_PR="","",TITLE_NAME_OR_PR),TITLE_NAME_OR_PR_CHANGE)</f>
        <v/>
      </c>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0"/>
      <c r="BB31" s="50"/>
      <c r="BC31" s="545"/>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418</v>
      </c>
      <c r="T32" s="542"/>
      <c r="U32" s="543"/>
      <c r="V32" s="546" t="str">
        <f>IF(TITLE_DATE_PR_CHANGE="",IF(TITLE_DATE_PR="","",TITLE_DATE_PR),TITLE_DATE_PR_CHANGE)</f>
        <v/>
      </c>
      <c r="W32" s="546"/>
      <c r="X32" s="546"/>
      <c r="Y32" s="546"/>
      <c r="Z32" s="546"/>
      <c r="AA32" s="546"/>
      <c r="AB32" s="546"/>
      <c r="AC32" s="50"/>
      <c r="AD32" s="546" t="str">
        <f>IF(TITLE_DATE_PR_CHANGE="",IF(TITLE_DATE_PR="","",TITLE_DATE_PR),TITLE_DATE_PR_CHANGE)</f>
        <v/>
      </c>
      <c r="AE32" s="546"/>
      <c r="AF32" s="546"/>
      <c r="AG32" s="546"/>
      <c r="AH32" s="546"/>
      <c r="AI32" s="546"/>
      <c r="AJ32" s="546"/>
      <c r="AK32" s="546"/>
      <c r="AL32" s="546"/>
      <c r="AM32" s="546"/>
      <c r="AN32" s="546"/>
      <c r="AO32" s="546"/>
      <c r="AP32" s="546"/>
      <c r="AQ32" s="546"/>
      <c r="AR32" s="546"/>
      <c r="AS32" s="546"/>
      <c r="AT32" s="546"/>
      <c r="AU32" s="546"/>
      <c r="AV32" s="546"/>
      <c r="AW32" s="546"/>
      <c r="AX32" s="546"/>
      <c r="AY32" s="546"/>
      <c r="AZ32" s="546"/>
      <c r="BA32" s="50"/>
      <c r="BB32" s="50"/>
      <c r="BC32" s="545"/>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419</v>
      </c>
      <c r="T33" s="542"/>
      <c r="U33" s="543"/>
      <c r="V33" s="544" t="str">
        <f>IF(TITLE_NUMBER_PR_CHANGE="",IF(TITLE_NUMBER_PR="","",TITLE_NUMBER_PR),TITLE_NUMBER_PR_CHANGE)</f>
        <v/>
      </c>
      <c r="W33" s="544"/>
      <c r="X33" s="544"/>
      <c r="Y33" s="544"/>
      <c r="Z33" s="544"/>
      <c r="AA33" s="544"/>
      <c r="AB33" s="544"/>
      <c r="AC33" s="50"/>
      <c r="AD33" s="544" t="str">
        <f>IF(TITLE_NUMBER_PR_CHANGE="",IF(TITLE_NUMBER_PR="","",TITLE_NUMBER_PR),TITLE_NUMBER_PR_CHANGE)</f>
        <v/>
      </c>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0"/>
      <c r="BB33" s="50"/>
      <c r="BC33" s="545"/>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81"/>
      <c r="M34" s="151"/>
      <c r="N34" s="151"/>
      <c r="O34" s="151"/>
      <c r="P34" s="151"/>
      <c r="Q34" s="151"/>
      <c r="S34" s="542" t="s">
        <v>42</v>
      </c>
      <c r="T34" s="542"/>
      <c r="U34" s="543"/>
      <c r="V34" s="544" t="str">
        <f>IF(TITLE_IST_PUB_CHANGE="",IF(TITLE_IST_PUB="","",TITLE_IST_PUB),TITLE_IST_PUB_CHANGE)</f>
        <v/>
      </c>
      <c r="W34" s="544"/>
      <c r="X34" s="544"/>
      <c r="Y34" s="544"/>
      <c r="Z34" s="544"/>
      <c r="AA34" s="544"/>
      <c r="AB34" s="544"/>
      <c r="AC34" s="50"/>
      <c r="AD34" s="544" t="str">
        <f>IF(TITLE_IST_PUB_CHANGE="",IF(TITLE_IST_PUB="","",TITLE_IST_PUB),TITLE_IST_PUB_CHANGE)</f>
        <v/>
      </c>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0"/>
      <c r="BB34" s="50"/>
      <c r="BC34" s="545"/>
      <c r="BD34" s="129"/>
      <c r="BE34" s="129"/>
      <c r="BF34" s="129"/>
      <c r="BG34" s="129"/>
      <c r="BH34" s="129"/>
      <c r="BI34" s="184">
        <v>0</v>
      </c>
    </row>
    <row r="35" ht="14.25" hidden="1" customHeight="1">
      <c r="Q35" s="659"/>
      <c r="R35" s="539"/>
      <c r="S35" s="540"/>
      <c r="T35" s="91"/>
      <c r="U35" s="9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0"/>
      <c r="BI35" s="50">
        <v>0</v>
      </c>
    </row>
    <row r="36" s="184" customFormat="1" ht="18.75" hidden="1" customHeight="1">
      <c r="A36" s="151"/>
      <c r="B36" s="151"/>
      <c r="C36" s="151"/>
      <c r="D36" s="151"/>
      <c r="E36" s="151"/>
      <c r="F36" s="151"/>
      <c r="G36" s="151"/>
      <c r="H36" s="151"/>
      <c r="I36" s="151"/>
      <c r="J36" s="151"/>
      <c r="K36" s="151"/>
      <c r="L36" s="481"/>
      <c r="M36" s="151"/>
      <c r="N36" s="151"/>
      <c r="O36" s="151"/>
      <c r="P36" s="151"/>
      <c r="Q36" s="151"/>
      <c r="S36" s="542" t="s">
        <v>418</v>
      </c>
      <c r="T36" s="542"/>
      <c r="U36" s="543"/>
      <c r="V36" s="546" t="str">
        <f>IF(TITLE_DATE_PR_CHANGE="",IF(TITLE_DATE_PR="","",TITLE_DATE_PR),TITLE_DATE_PR_CHANGE)</f>
        <v/>
      </c>
      <c r="W36" s="546"/>
      <c r="X36" s="546"/>
      <c r="Y36" s="546"/>
      <c r="Z36" s="546"/>
      <c r="AA36" s="546"/>
      <c r="AB36" s="546"/>
      <c r="AC36" s="50"/>
      <c r="AD36" s="546" t="str">
        <f>IF(TITLE_DATE_PR_CHANGE="",IF(TITLE_DATE_PR="","",TITLE_DATE_PR),TITLE_DATE_PR_CHANGE)</f>
        <v/>
      </c>
      <c r="AE36" s="546"/>
      <c r="AF36" s="546"/>
      <c r="AG36" s="546"/>
      <c r="AH36" s="546"/>
      <c r="AI36" s="546"/>
      <c r="AJ36" s="546"/>
      <c r="AK36" s="546"/>
      <c r="AL36" s="546"/>
      <c r="AM36" s="546"/>
      <c r="AN36" s="546"/>
      <c r="AO36" s="546"/>
      <c r="AP36" s="546"/>
      <c r="AQ36" s="546"/>
      <c r="AR36" s="546"/>
      <c r="AS36" s="546"/>
      <c r="AT36" s="546"/>
      <c r="AU36" s="546"/>
      <c r="AV36" s="546"/>
      <c r="AW36" s="546"/>
      <c r="AX36" s="546"/>
      <c r="AY36" s="546"/>
      <c r="AZ36" s="546"/>
      <c r="BA36" s="50"/>
      <c r="BB36" s="50"/>
      <c r="BC36" s="545"/>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1"/>
      <c r="M37" s="151"/>
      <c r="N37" s="151"/>
      <c r="O37" s="151"/>
      <c r="P37" s="151"/>
      <c r="Q37" s="151"/>
      <c r="S37" s="542" t="s">
        <v>419</v>
      </c>
      <c r="T37" s="542"/>
      <c r="U37" s="543"/>
      <c r="V37" s="544" t="str">
        <f>IF(TITLE_NUMBER_PR_CHANGE="",IF(TITLE_NUMBER_PR="","",TITLE_NUMBER_PR),TITLE_NUMBER_PR_CHANGE)</f>
        <v/>
      </c>
      <c r="W37" s="544"/>
      <c r="X37" s="544"/>
      <c r="Y37" s="544"/>
      <c r="Z37" s="544"/>
      <c r="AA37" s="544"/>
      <c r="AB37" s="544"/>
      <c r="AC37" s="50"/>
      <c r="AD37" s="544" t="str">
        <f>IF(TITLE_NUMBER_PR_CHANGE="",IF(TITLE_NUMBER_PR="","",TITLE_NUMBER_PR),TITLE_NUMBER_PR_CHANGE)</f>
        <v/>
      </c>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0"/>
      <c r="BB37" s="50"/>
      <c r="BC37" s="545"/>
      <c r="BD37" s="129"/>
      <c r="BE37" s="129"/>
      <c r="BF37" s="129"/>
      <c r="BG37" s="129"/>
      <c r="BH37" s="129"/>
      <c r="BI37" s="184">
        <v>0</v>
      </c>
    </row>
    <row r="38" s="184" customFormat="1" ht="0" customHeight="1">
      <c r="A38" s="151"/>
      <c r="B38" s="151"/>
      <c r="C38" s="151"/>
      <c r="D38" s="151"/>
      <c r="E38" s="151"/>
      <c r="F38" s="151"/>
      <c r="G38" s="151"/>
      <c r="H38" s="151"/>
      <c r="I38" s="151"/>
      <c r="J38" s="151"/>
      <c r="K38" s="151"/>
      <c r="L38" s="481"/>
      <c r="M38" s="151"/>
      <c r="N38" s="151"/>
      <c r="O38" s="151"/>
      <c r="P38" s="151"/>
      <c r="Q38" s="151"/>
      <c r="S38" s="50"/>
      <c r="T38" s="50"/>
      <c r="U38" s="140"/>
      <c r="V38" s="50"/>
      <c r="W38" s="50"/>
      <c r="X38" s="50"/>
      <c r="Y38" s="50"/>
      <c r="Z38" s="50"/>
      <c r="AA38" s="50"/>
      <c r="AB38" s="50"/>
      <c r="AC38" s="57" t="s">
        <v>422</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422</v>
      </c>
      <c r="BD38" s="129"/>
      <c r="BE38" s="129"/>
      <c r="BF38" s="129"/>
      <c r="BG38" s="129"/>
      <c r="BH38" s="129"/>
      <c r="BI38" s="184">
        <v>0</v>
      </c>
    </row>
    <row r="39" ht="14.65" customHeight="1">
      <c r="Q39" s="659"/>
      <c r="R39" s="539"/>
      <c r="S39" s="540"/>
      <c r="T39" s="91"/>
      <c r="U39" s="547"/>
      <c r="V39" s="548"/>
      <c r="W39" s="548"/>
      <c r="X39" s="548"/>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I39" s="50">
        <v>14</v>
      </c>
    </row>
    <row r="40" ht="14.65" customHeight="1">
      <c r="Q40" s="659"/>
      <c r="R40" s="539"/>
      <c r="S40" s="157" t="s">
        <v>295</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296</v>
      </c>
      <c r="BI40" s="50">
        <v>14</v>
      </c>
    </row>
    <row r="41" ht="14.65" customHeight="1">
      <c r="Q41" s="659"/>
      <c r="R41" s="539"/>
      <c r="S41" s="484" t="s">
        <v>88</v>
      </c>
      <c r="T41" s="347" t="s">
        <v>502</v>
      </c>
      <c r="U41" s="549"/>
      <c r="V41" s="550" t="s">
        <v>424</v>
      </c>
      <c r="W41" s="551"/>
      <c r="X41" s="551"/>
      <c r="Y41" s="551"/>
      <c r="Z41" s="551"/>
      <c r="AA41" s="551"/>
      <c r="AB41" s="552"/>
      <c r="AC41" s="553" t="s">
        <v>425</v>
      </c>
      <c r="AD41" s="661" t="s">
        <v>519</v>
      </c>
      <c r="AE41" s="584"/>
      <c r="AF41" s="584"/>
      <c r="AG41" s="662"/>
      <c r="AH41" s="661" t="s">
        <v>520</v>
      </c>
      <c r="AI41" s="584"/>
      <c r="AJ41" s="584"/>
      <c r="AK41" s="662"/>
      <c r="AL41" s="661" t="s">
        <v>521</v>
      </c>
      <c r="AM41" s="584"/>
      <c r="AN41" s="584"/>
      <c r="AO41" s="662"/>
      <c r="AP41" s="661" t="s">
        <v>506</v>
      </c>
      <c r="AQ41" s="584"/>
      <c r="AR41" s="584"/>
      <c r="AS41" s="662"/>
      <c r="AT41" s="550" t="s">
        <v>424</v>
      </c>
      <c r="AU41" s="551"/>
      <c r="AV41" s="551"/>
      <c r="AW41" s="551"/>
      <c r="AX41" s="551"/>
      <c r="AY41" s="551"/>
      <c r="AZ41" s="552"/>
      <c r="BA41" s="553" t="s">
        <v>425</v>
      </c>
      <c r="BB41" s="554" t="s">
        <v>427</v>
      </c>
      <c r="BC41" s="157"/>
      <c r="BI41" s="50">
        <v>14</v>
      </c>
    </row>
    <row r="42" ht="35.649999999999999" customHeight="1">
      <c r="Q42" s="659"/>
      <c r="R42" s="539"/>
      <c r="S42" s="484"/>
      <c r="T42" s="347"/>
      <c r="U42" s="555"/>
      <c r="V42" s="304" t="s">
        <v>507</v>
      </c>
      <c r="W42" s="305"/>
      <c r="X42" s="304" t="s">
        <v>508</v>
      </c>
      <c r="Y42" s="305"/>
      <c r="Z42" s="304" t="s">
        <v>509</v>
      </c>
      <c r="AA42" s="626"/>
      <c r="AB42" s="305"/>
      <c r="AC42" s="557"/>
      <c r="AD42" s="664"/>
      <c r="AE42" s="665"/>
      <c r="AF42" s="665"/>
      <c r="AG42" s="666"/>
      <c r="AH42" s="664"/>
      <c r="AI42" s="665"/>
      <c r="AJ42" s="665"/>
      <c r="AK42" s="666"/>
      <c r="AL42" s="664"/>
      <c r="AM42" s="665"/>
      <c r="AN42" s="665"/>
      <c r="AO42" s="666"/>
      <c r="AP42" s="664"/>
      <c r="AQ42" s="665"/>
      <c r="AR42" s="665"/>
      <c r="AS42" s="666"/>
      <c r="AT42" s="304" t="s">
        <v>522</v>
      </c>
      <c r="AU42" s="305"/>
      <c r="AV42" s="304" t="s">
        <v>523</v>
      </c>
      <c r="AW42" s="305"/>
      <c r="AX42" s="304" t="s">
        <v>509</v>
      </c>
      <c r="AY42" s="626"/>
      <c r="AZ42" s="305"/>
      <c r="BA42" s="557"/>
      <c r="BB42" s="558"/>
      <c r="BC42" s="157"/>
      <c r="BI42" s="50">
        <v>34</v>
      </c>
    </row>
    <row r="43" ht="14.65" customHeight="1">
      <c r="Q43" s="659"/>
      <c r="R43" s="539"/>
      <c r="S43" s="484"/>
      <c r="T43" s="347"/>
      <c r="U43" s="555"/>
      <c r="V43" s="310"/>
      <c r="W43" s="311"/>
      <c r="X43" s="310"/>
      <c r="Y43" s="311"/>
      <c r="Z43" s="310"/>
      <c r="AA43" s="627"/>
      <c r="AB43" s="311"/>
      <c r="AC43" s="557"/>
      <c r="AD43" s="664"/>
      <c r="AE43" s="665"/>
      <c r="AF43" s="665"/>
      <c r="AG43" s="666"/>
      <c r="AH43" s="664"/>
      <c r="AI43" s="665"/>
      <c r="AJ43" s="665"/>
      <c r="AK43" s="666"/>
      <c r="AL43" s="664"/>
      <c r="AM43" s="665"/>
      <c r="AN43" s="665"/>
      <c r="AO43" s="666"/>
      <c r="AP43" s="664"/>
      <c r="AQ43" s="665"/>
      <c r="AR43" s="665"/>
      <c r="AS43" s="666"/>
      <c r="AT43" s="310"/>
      <c r="AU43" s="311"/>
      <c r="AV43" s="310"/>
      <c r="AW43" s="311"/>
      <c r="AX43" s="310"/>
      <c r="AY43" s="627"/>
      <c r="AZ43" s="311"/>
      <c r="BA43" s="557"/>
      <c r="BB43" s="558"/>
      <c r="BC43" s="157"/>
      <c r="BI43" s="50">
        <v>14</v>
      </c>
    </row>
    <row r="44" ht="14.65" customHeight="1">
      <c r="A44" s="151"/>
      <c r="B44" s="151" t="s">
        <v>132</v>
      </c>
      <c r="C44" s="151" t="s">
        <v>133</v>
      </c>
      <c r="D44" s="151" t="s">
        <v>134</v>
      </c>
      <c r="E44" s="481" t="s">
        <v>432</v>
      </c>
      <c r="F44" s="481" t="s">
        <v>433</v>
      </c>
      <c r="G44" s="481" t="s">
        <v>434</v>
      </c>
      <c r="H44" s="481" t="s">
        <v>435</v>
      </c>
      <c r="I44" s="481" t="s">
        <v>436</v>
      </c>
      <c r="J44" s="481" t="s">
        <v>437</v>
      </c>
      <c r="K44" s="481" t="s">
        <v>438</v>
      </c>
      <c r="L44" s="481" t="s">
        <v>413</v>
      </c>
      <c r="Q44" s="659"/>
      <c r="R44" s="539"/>
      <c r="S44" s="484"/>
      <c r="T44" s="347"/>
      <c r="U44" s="559"/>
      <c r="V44" s="347" t="s">
        <v>473</v>
      </c>
      <c r="W44" s="347" t="s">
        <v>474</v>
      </c>
      <c r="X44" s="347" t="s">
        <v>473</v>
      </c>
      <c r="Y44" s="347" t="s">
        <v>474</v>
      </c>
      <c r="Z44" s="246" t="s">
        <v>441</v>
      </c>
      <c r="AA44" s="415" t="s">
        <v>442</v>
      </c>
      <c r="AB44" s="417"/>
      <c r="AC44" s="561"/>
      <c r="AD44" s="670"/>
      <c r="AE44" s="671"/>
      <c r="AF44" s="671"/>
      <c r="AG44" s="672"/>
      <c r="AH44" s="670"/>
      <c r="AI44" s="671"/>
      <c r="AJ44" s="671"/>
      <c r="AK44" s="672"/>
      <c r="AL44" s="670"/>
      <c r="AM44" s="671"/>
      <c r="AN44" s="671"/>
      <c r="AO44" s="672"/>
      <c r="AP44" s="670"/>
      <c r="AQ44" s="671"/>
      <c r="AR44" s="671"/>
      <c r="AS44" s="672"/>
      <c r="AT44" s="347" t="s">
        <v>473</v>
      </c>
      <c r="AU44" s="347" t="s">
        <v>474</v>
      </c>
      <c r="AV44" s="347" t="s">
        <v>473</v>
      </c>
      <c r="AW44" s="347" t="s">
        <v>474</v>
      </c>
      <c r="AX44" s="246" t="s">
        <v>441</v>
      </c>
      <c r="AY44" s="415" t="s">
        <v>442</v>
      </c>
      <c r="AZ44" s="417"/>
      <c r="BA44" s="561"/>
      <c r="BB44" s="562"/>
      <c r="BC44" s="157"/>
      <c r="BI44" s="50">
        <v>14</v>
      </c>
    </row>
    <row r="45" s="131" customFormat="1" ht="11.25" hidden="1" customHeight="1">
      <c r="A45" s="151"/>
      <c r="B45" s="151"/>
      <c r="C45" s="151"/>
      <c r="D45" s="151"/>
      <c r="E45" s="151"/>
      <c r="F45" s="151"/>
      <c r="G45" s="151"/>
      <c r="H45" s="151"/>
      <c r="I45" s="151"/>
      <c r="J45" s="151"/>
      <c r="K45" s="151"/>
      <c r="L45" s="481"/>
      <c r="M45" s="61"/>
      <c r="N45" s="61"/>
      <c r="O45" s="61"/>
      <c r="P45" s="596"/>
      <c r="Q45" s="565"/>
      <c r="R45" s="565">
        <v>1</v>
      </c>
      <c r="S45" s="566" t="s">
        <v>106</v>
      </c>
      <c r="T45" s="567" t="s">
        <v>107</v>
      </c>
      <c r="U45" s="568" t="str">
        <f ca="1">OFFSET(U45,0,-1)</f>
        <v>2</v>
      </c>
      <c r="V45" s="569">
        <f ca="1">OFFSET(V45,0,-1)+1</f>
        <v>3</v>
      </c>
      <c r="W45" s="569">
        <f ca="1">OFFSET(W45,0,-1)+1</f>
        <v>4</v>
      </c>
      <c r="X45" s="569">
        <f ca="1">OFFSET(X45,0,-1)+1</f>
        <v>5</v>
      </c>
      <c r="Y45" s="569">
        <f ca="1">OFFSET(Y45,0,-1)+1</f>
        <v>6</v>
      </c>
      <c r="Z45" s="569">
        <f ca="1">OFFSET(Z45,0,-1)+1</f>
        <v>7</v>
      </c>
      <c r="AA45" s="569">
        <f ca="1">OFFSET(AA45,0,-1)+1</f>
        <v>8</v>
      </c>
      <c r="AB45" s="569"/>
      <c r="AC45" s="569">
        <f ca="1">OFFSET(AC45,0,-2)+1</f>
        <v>9</v>
      </c>
      <c r="AD45" s="569">
        <f ca="1">OFFSET(AD45,0,-1)+1</f>
        <v>10</v>
      </c>
      <c r="AE45" s="569"/>
      <c r="AF45" s="569"/>
      <c r="AG45" s="569"/>
      <c r="AH45" s="569"/>
      <c r="AI45" s="569"/>
      <c r="AJ45" s="569"/>
      <c r="AK45" s="569"/>
      <c r="AL45" s="569"/>
      <c r="AM45" s="569"/>
      <c r="AN45" s="569"/>
      <c r="AO45" s="569"/>
      <c r="AP45" s="569"/>
      <c r="AQ45" s="569"/>
      <c r="AR45" s="569"/>
      <c r="AS45" s="569"/>
      <c r="AT45" s="569"/>
      <c r="AU45" s="569"/>
      <c r="AV45" s="569"/>
      <c r="AW45" s="569">
        <f ca="1">OFFSET(AW45,0,-1)+1</f>
        <v>1</v>
      </c>
      <c r="AX45" s="569">
        <f ca="1">OFFSET(AX45,0,-1)+1</f>
        <v>2</v>
      </c>
      <c r="AY45" s="569">
        <f ca="1">OFFSET(AY45,0,-1)+1</f>
        <v>3</v>
      </c>
      <c r="AZ45" s="569"/>
      <c r="BA45" s="569">
        <f ca="1">OFFSET(BA45,0,-2)+1</f>
        <v>4</v>
      </c>
      <c r="BB45" s="568">
        <f ca="1">OFFSET(BB45,0,-1)</f>
        <v>4</v>
      </c>
      <c r="BC45" s="569">
        <f ca="1">OFFSET(BC45,0,-1)+1</f>
        <v>5</v>
      </c>
      <c r="BD45" s="57"/>
      <c r="BE45" s="57"/>
      <c r="BF45" s="57"/>
      <c r="BG45" s="57"/>
      <c r="BH45" s="57"/>
      <c r="BI45" s="131">
        <v>0</v>
      </c>
    </row>
    <row r="46" ht="22" customHeight="1">
      <c r="A46" s="479" t="s">
        <v>271</v>
      </c>
      <c r="B46" s="479"/>
      <c r="C46" s="479"/>
      <c r="D46" s="479"/>
      <c r="E46" s="480">
        <v>1</v>
      </c>
      <c r="F46" s="479"/>
      <c r="G46" s="479"/>
      <c r="H46" s="479"/>
      <c r="I46" s="479"/>
      <c r="J46" s="479"/>
      <c r="K46" s="479"/>
      <c r="L46" s="481"/>
      <c r="M46" s="482"/>
      <c r="N46" s="482"/>
      <c r="O46" s="482"/>
      <c r="P46" s="61"/>
      <c r="Q46" s="64"/>
      <c r="R46" s="483"/>
      <c r="S46" s="484">
        <f>INDEX(PT_DIFFERENTIATION_NUM_NTAR,MATCH(A46,PT_DIFFERENTIATION_NTAR_ID,0))</f>
        <v>0</v>
      </c>
      <c r="T46" s="485" t="s">
        <v>120</v>
      </c>
      <c r="U46" s="486"/>
      <c r="V46" s="488"/>
      <c r="W46" s="488"/>
      <c r="X46" s="488"/>
      <c r="Y46" s="488"/>
      <c r="Z46" s="488"/>
      <c r="AA46" s="488"/>
      <c r="AB46" s="488"/>
      <c r="AC46" s="489"/>
      <c r="AD46" s="487" t="str">
        <f>INDEX(PT_DIFFERENTIATION_NTAR,MATCH(A46,PT_DIFFERENTIATION_NTAR_ID,0))</f>
        <v/>
      </c>
      <c r="AE46" s="488"/>
      <c r="AF46" s="488"/>
      <c r="AG46" s="488"/>
      <c r="AH46" s="488"/>
      <c r="AI46" s="488"/>
      <c r="AJ46" s="488"/>
      <c r="AK46" s="488"/>
      <c r="AL46" s="488"/>
      <c r="AM46" s="488"/>
      <c r="AN46" s="488"/>
      <c r="AO46" s="488"/>
      <c r="AP46" s="488"/>
      <c r="AQ46" s="488"/>
      <c r="AR46" s="488"/>
      <c r="AS46" s="488"/>
      <c r="AT46" s="488"/>
      <c r="AU46" s="488"/>
      <c r="AV46" s="488"/>
      <c r="AW46" s="488"/>
      <c r="AX46" s="488"/>
      <c r="AY46" s="488"/>
      <c r="AZ46" s="488"/>
      <c r="BA46" s="488"/>
      <c r="BB46" s="489"/>
      <c r="BC46"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0"/>
        <v xml:space="preserve">Наименование тарифа</v>
      </c>
      <c r="BG46" s="129"/>
      <c r="BH46" s="129"/>
      <c r="BI46" s="50">
        <v>21</v>
      </c>
    </row>
    <row r="47" ht="22" customHeight="1">
      <c r="A47" s="479" t="s">
        <v>271</v>
      </c>
      <c r="B47" s="479" t="s">
        <v>272</v>
      </c>
      <c r="C47" s="479"/>
      <c r="D47" s="479"/>
      <c r="E47" s="491"/>
      <c r="F47" s="480">
        <v>1</v>
      </c>
      <c r="G47" s="479"/>
      <c r="H47" s="479"/>
      <c r="I47" s="479"/>
      <c r="J47" s="479"/>
      <c r="K47" s="479"/>
      <c r="L47" s="481"/>
      <c r="M47" s="482"/>
      <c r="N47" s="482"/>
      <c r="O47" s="482"/>
      <c r="P47" s="114"/>
      <c r="Q47" s="629"/>
      <c r="R47" s="493"/>
      <c r="S47" s="484" t="str">
        <f>INDEX(PT_DIFFERENTIATION_NUM_TER,MATCH(B47,PT_DIFFERENTIATION_TER_ID,0))</f>
        <v>.</v>
      </c>
      <c r="T47" s="494" t="s">
        <v>392</v>
      </c>
      <c r="U47" s="486"/>
      <c r="V47" s="488"/>
      <c r="W47" s="488"/>
      <c r="X47" s="488"/>
      <c r="Y47" s="488"/>
      <c r="Z47" s="488"/>
      <c r="AA47" s="488"/>
      <c r="AB47" s="488"/>
      <c r="AC47" s="489"/>
      <c r="AD47" s="487" t="str">
        <f>INDEX(PT_DIFFERENTIATION_TER,MATCH(B47,PT_DIFFERENTIATION_TER_ID,0))</f>
        <v/>
      </c>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9"/>
      <c r="BC47" s="490" t="s">
        <v>393</v>
      </c>
      <c r="BE47" s="129"/>
      <c r="BF47" s="129" t="str">
        <f t="shared" si="40"/>
        <v xml:space="preserve">Территория действия тарифа</v>
      </c>
      <c r="BG47" s="129"/>
      <c r="BH47" s="129"/>
      <c r="BI47" s="50">
        <v>21</v>
      </c>
    </row>
    <row r="48" ht="35.649999999999999" customHeight="1">
      <c r="A48" s="479" t="s">
        <v>271</v>
      </c>
      <c r="B48" s="479" t="s">
        <v>272</v>
      </c>
      <c r="C48" s="479" t="s">
        <v>273</v>
      </c>
      <c r="D48" s="479"/>
      <c r="E48" s="491"/>
      <c r="F48" s="491"/>
      <c r="G48" s="480">
        <v>1</v>
      </c>
      <c r="H48" s="479"/>
      <c r="I48" s="479"/>
      <c r="J48" s="479"/>
      <c r="K48" s="479"/>
      <c r="L48" s="481"/>
      <c r="M48" s="482"/>
      <c r="N48" s="482"/>
      <c r="O48" s="482"/>
      <c r="P48" s="135"/>
      <c r="Q48" s="629"/>
      <c r="R48" s="493"/>
      <c r="S48" s="484" t="str">
        <f>INDEX(PT_DIFFERENTIATION_NUM_CS,MATCH(C48,PT_DIFFERENTIATION_CS_ID,0))</f>
        <v>..</v>
      </c>
      <c r="T48" s="496" t="s">
        <v>511</v>
      </c>
      <c r="U48" s="486"/>
      <c r="V48" s="488"/>
      <c r="W48" s="488"/>
      <c r="X48" s="488"/>
      <c r="Y48" s="488"/>
      <c r="Z48" s="488"/>
      <c r="AA48" s="488"/>
      <c r="AB48" s="488"/>
      <c r="AC48" s="489"/>
      <c r="AD48" s="487" t="str">
        <f>INDEX(PT_DIFFERENTIATION_CS,MATCH(C48,PT_DIFFERENTIATION_CS_ID,0))</f>
        <v/>
      </c>
      <c r="AE48" s="488"/>
      <c r="AF48" s="488"/>
      <c r="AG48" s="488"/>
      <c r="AH48" s="488"/>
      <c r="AI48" s="488"/>
      <c r="AJ48" s="488"/>
      <c r="AK48" s="488"/>
      <c r="AL48" s="488"/>
      <c r="AM48" s="488"/>
      <c r="AN48" s="488"/>
      <c r="AO48" s="488"/>
      <c r="AP48" s="488"/>
      <c r="AQ48" s="488"/>
      <c r="AR48" s="488"/>
      <c r="AS48" s="488"/>
      <c r="AT48" s="488"/>
      <c r="AU48" s="488"/>
      <c r="AV48" s="488"/>
      <c r="AW48" s="488"/>
      <c r="AX48" s="488"/>
      <c r="AY48" s="488"/>
      <c r="AZ48" s="488"/>
      <c r="BA48" s="488"/>
      <c r="BB48" s="489"/>
      <c r="BC48" s="490" t="s">
        <v>512</v>
      </c>
      <c r="BE48" s="129"/>
      <c r="BF48" s="129" t="str">
        <f t="shared" si="40"/>
        <v xml:space="preserve">Наименование централизованной системы водоотведения</v>
      </c>
      <c r="BG48" s="129"/>
      <c r="BH48" s="129"/>
      <c r="BI48" s="50">
        <v>34</v>
      </c>
    </row>
    <row r="49" s="57" customFormat="1" ht="0" customHeight="1">
      <c r="A49" s="133" t="s">
        <v>271</v>
      </c>
      <c r="B49" s="133" t="s">
        <v>272</v>
      </c>
      <c r="C49" s="133" t="s">
        <v>273</v>
      </c>
      <c r="D49" s="133" t="s">
        <v>524</v>
      </c>
      <c r="E49" s="491"/>
      <c r="F49" s="491"/>
      <c r="G49" s="491"/>
      <c r="H49" s="480">
        <v>1</v>
      </c>
      <c r="I49" s="133"/>
      <c r="J49" s="133"/>
      <c r="K49" s="133"/>
      <c r="L49" s="212"/>
      <c r="M49" s="464"/>
      <c r="N49" s="464"/>
      <c r="O49" s="464"/>
      <c r="P49" s="694"/>
      <c r="Q49" s="695"/>
      <c r="R49" s="504"/>
      <c r="S49" s="351"/>
      <c r="T49" s="696"/>
      <c r="U49" s="587"/>
      <c r="V49" s="589"/>
      <c r="W49" s="589"/>
      <c r="X49" s="589"/>
      <c r="Y49" s="589"/>
      <c r="Z49" s="589"/>
      <c r="AA49" s="589"/>
      <c r="AB49" s="589"/>
      <c r="AC49" s="590"/>
      <c r="AD49" s="588"/>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90"/>
      <c r="BC49" s="591" t="s">
        <v>397</v>
      </c>
      <c r="BE49" s="129"/>
      <c r="BF49" s="129" t="str">
        <f t="shared" si="40"/>
        <v/>
      </c>
      <c r="BG49" s="129"/>
      <c r="BH49" s="129"/>
      <c r="BI49" s="57">
        <v>0</v>
      </c>
    </row>
    <row r="50" s="57" customFormat="1" ht="0" customHeight="1">
      <c r="A50" s="133" t="s">
        <v>271</v>
      </c>
      <c r="B50" s="133" t="s">
        <v>272</v>
      </c>
      <c r="C50" s="133" t="s">
        <v>273</v>
      </c>
      <c r="D50" s="133" t="s">
        <v>524</v>
      </c>
      <c r="E50" s="491"/>
      <c r="F50" s="491"/>
      <c r="G50" s="491"/>
      <c r="H50" s="491"/>
      <c r="I50" s="498" t="str">
        <f>S49&amp;".1"</f>
        <v>.1</v>
      </c>
      <c r="J50" s="133"/>
      <c r="K50" s="133"/>
      <c r="L50" s="212" t="s">
        <v>398</v>
      </c>
      <c r="M50" s="596"/>
      <c r="N50" s="596"/>
      <c r="O50" s="596"/>
      <c r="P50" s="132">
        <v>1</v>
      </c>
      <c r="Q50" s="132"/>
      <c r="R50" s="499"/>
      <c r="S50" s="351"/>
      <c r="T50" s="586"/>
      <c r="U50" s="587"/>
      <c r="V50" s="589"/>
      <c r="W50" s="589"/>
      <c r="X50" s="589"/>
      <c r="Y50" s="589"/>
      <c r="Z50" s="589"/>
      <c r="AA50" s="589"/>
      <c r="AB50" s="589"/>
      <c r="AC50" s="590"/>
      <c r="AD50" s="588"/>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90"/>
      <c r="BC50" s="591"/>
      <c r="BE50" s="129"/>
      <c r="BF50" s="129" t="str">
        <f t="shared" si="40"/>
        <v/>
      </c>
      <c r="BG50" s="129"/>
      <c r="BH50" s="129"/>
      <c r="BI50" s="57">
        <v>0</v>
      </c>
    </row>
    <row r="51" s="57" customFormat="1" ht="0" customHeight="1">
      <c r="A51" s="133" t="s">
        <v>271</v>
      </c>
      <c r="B51" s="133" t="s">
        <v>272</v>
      </c>
      <c r="C51" s="133" t="s">
        <v>273</v>
      </c>
      <c r="D51" s="133" t="s">
        <v>524</v>
      </c>
      <c r="E51" s="491"/>
      <c r="F51" s="491"/>
      <c r="G51" s="491"/>
      <c r="H51" s="491"/>
      <c r="I51" s="503"/>
      <c r="J51" s="498" t="str">
        <f>S49&amp;".1"</f>
        <v>.1</v>
      </c>
      <c r="K51" s="133"/>
      <c r="L51" s="212"/>
      <c r="M51" s="596"/>
      <c r="N51" s="596"/>
      <c r="O51" s="596"/>
      <c r="P51" s="132"/>
      <c r="Q51" s="132">
        <v>1</v>
      </c>
      <c r="R51" s="504"/>
      <c r="S51" s="351"/>
      <c r="T51" s="630"/>
      <c r="U51" s="587"/>
      <c r="V51" s="589"/>
      <c r="W51" s="589"/>
      <c r="X51" s="589"/>
      <c r="Y51" s="589"/>
      <c r="Z51" s="589"/>
      <c r="AA51" s="589"/>
      <c r="AB51" s="589"/>
      <c r="AC51" s="590"/>
      <c r="AD51" s="588"/>
      <c r="AE51" s="589"/>
      <c r="AF51" s="589"/>
      <c r="AG51" s="589"/>
      <c r="AH51" s="589"/>
      <c r="AI51" s="589"/>
      <c r="AJ51" s="589"/>
      <c r="AK51" s="589"/>
      <c r="AL51" s="589"/>
      <c r="AM51" s="589"/>
      <c r="AN51" s="703"/>
      <c r="AO51" s="703"/>
      <c r="AP51" s="589"/>
      <c r="AQ51" s="589"/>
      <c r="AR51" s="589"/>
      <c r="AS51" s="589"/>
      <c r="AT51" s="589"/>
      <c r="AU51" s="589"/>
      <c r="AV51" s="589"/>
      <c r="AW51" s="589"/>
      <c r="AX51" s="589"/>
      <c r="AY51" s="589"/>
      <c r="AZ51" s="589"/>
      <c r="BA51" s="589"/>
      <c r="BB51" s="590"/>
      <c r="BC51" s="591"/>
      <c r="BE51" s="129"/>
      <c r="BF51" s="129" t="str">
        <f t="shared" si="40"/>
        <v/>
      </c>
      <c r="BG51" s="129"/>
      <c r="BH51" s="129"/>
      <c r="BI51" s="57">
        <v>0</v>
      </c>
    </row>
    <row r="52" ht="11.5" customHeight="1">
      <c r="A52" s="479" t="s">
        <v>271</v>
      </c>
      <c r="B52" s="479" t="s">
        <v>272</v>
      </c>
      <c r="C52" s="479" t="s">
        <v>273</v>
      </c>
      <c r="D52" s="479" t="s">
        <v>524</v>
      </c>
      <c r="E52" s="491"/>
      <c r="F52" s="491"/>
      <c r="G52" s="491"/>
      <c r="H52" s="491"/>
      <c r="I52" s="503"/>
      <c r="J52" s="503"/>
      <c r="K52" s="498" t="str">
        <f>S48&amp;".1"</f>
        <v>...1</v>
      </c>
      <c r="L52" s="481"/>
      <c r="P52" s="132"/>
      <c r="Q52" s="132"/>
      <c r="R52" s="504">
        <v>1</v>
      </c>
      <c r="S52" s="598" t="str">
        <f>$K52</f>
        <v>...1</v>
      </c>
      <c r="T52" s="689"/>
      <c r="U52" s="486"/>
      <c r="V52" s="507"/>
      <c r="W52" s="509"/>
      <c r="X52" s="507"/>
      <c r="Y52" s="509"/>
      <c r="Z52" s="510"/>
      <c r="AA52" s="224" t="s">
        <v>65</v>
      </c>
      <c r="AB52" s="510"/>
      <c r="AC52" s="224" t="s">
        <v>65</v>
      </c>
      <c r="AD52" s="314" t="s">
        <v>65</v>
      </c>
      <c r="AE52" s="633"/>
      <c r="AF52" s="345">
        <v>1</v>
      </c>
      <c r="AG52" s="690"/>
      <c r="AH52" s="224" t="s">
        <v>65</v>
      </c>
      <c r="AI52" s="633"/>
      <c r="AJ52" s="345">
        <v>1</v>
      </c>
      <c r="AK52" s="87" t="s">
        <v>22</v>
      </c>
      <c r="AL52" s="224" t="s">
        <v>65</v>
      </c>
      <c r="AM52" s="304"/>
      <c r="AN52" s="345">
        <v>1</v>
      </c>
      <c r="AO52" s="697"/>
      <c r="AP52" s="698" t="s">
        <v>65</v>
      </c>
      <c r="AQ52" s="634"/>
      <c r="AR52" s="345">
        <v>1</v>
      </c>
      <c r="AS52" s="95" t="s">
        <v>22</v>
      </c>
      <c r="AT52" s="507"/>
      <c r="AU52" s="509"/>
      <c r="AV52" s="507"/>
      <c r="AW52" s="509"/>
      <c r="AX52" s="510"/>
      <c r="AY52" s="224" t="s">
        <v>65</v>
      </c>
      <c r="AZ52" s="510"/>
      <c r="BA52" s="224" t="s">
        <v>65</v>
      </c>
      <c r="BB52" s="571"/>
      <c r="BC52" s="511" t="s">
        <v>496</v>
      </c>
      <c r="BE52" s="129"/>
      <c r="BF52" s="129" t="str">
        <f t="shared" si="40"/>
        <v/>
      </c>
      <c r="BG52" s="129"/>
      <c r="BH52" s="129"/>
      <c r="BI52" s="50">
        <v>11</v>
      </c>
    </row>
    <row r="53" ht="11.5" customHeight="1">
      <c r="A53" s="479"/>
      <c r="B53" s="479"/>
      <c r="C53" s="479"/>
      <c r="D53" s="479"/>
      <c r="E53" s="491"/>
      <c r="F53" s="491"/>
      <c r="G53" s="491"/>
      <c r="H53" s="491"/>
      <c r="I53" s="503"/>
      <c r="J53" s="503"/>
      <c r="K53" s="498"/>
      <c r="L53" s="481"/>
      <c r="P53" s="132"/>
      <c r="Q53" s="132"/>
      <c r="R53" s="504"/>
      <c r="S53" s="635"/>
      <c r="T53" s="699"/>
      <c r="U53" s="486"/>
      <c r="V53" s="622"/>
      <c r="W53" s="639"/>
      <c r="X53" s="622"/>
      <c r="Y53" s="639"/>
      <c r="Z53" s="622"/>
      <c r="AA53" s="622"/>
      <c r="AB53" s="622"/>
      <c r="AC53" s="622"/>
      <c r="AD53" s="320"/>
      <c r="AE53" s="633"/>
      <c r="AF53" s="345"/>
      <c r="AG53" s="690"/>
      <c r="AH53" s="224"/>
      <c r="AI53" s="633"/>
      <c r="AJ53" s="345"/>
      <c r="AK53" s="87"/>
      <c r="AL53" s="224"/>
      <c r="AM53" s="310"/>
      <c r="AN53" s="345"/>
      <c r="AO53" s="697"/>
      <c r="AP53" s="700"/>
      <c r="AQ53" s="638"/>
      <c r="AR53" s="177"/>
      <c r="AS53" s="177" t="s">
        <v>497</v>
      </c>
      <c r="AT53" s="622"/>
      <c r="AU53" s="639"/>
      <c r="AV53" s="622"/>
      <c r="AW53" s="639"/>
      <c r="AX53" s="622"/>
      <c r="AY53" s="622"/>
      <c r="AZ53" s="622"/>
      <c r="BA53" s="622"/>
      <c r="BB53" s="637"/>
      <c r="BC53" s="514"/>
      <c r="BE53" s="129"/>
      <c r="BF53" s="129"/>
      <c r="BG53" s="129"/>
      <c r="BH53" s="129"/>
      <c r="BI53" s="50">
        <v>11</v>
      </c>
    </row>
    <row r="54" ht="11.5" customHeight="1">
      <c r="A54" s="479" t="s">
        <v>271</v>
      </c>
      <c r="B54" s="479"/>
      <c r="C54" s="479"/>
      <c r="D54" s="479"/>
      <c r="E54" s="491"/>
      <c r="F54" s="491"/>
      <c r="G54" s="491"/>
      <c r="H54" s="491"/>
      <c r="I54" s="503"/>
      <c r="J54" s="503"/>
      <c r="K54" s="498"/>
      <c r="L54" s="481"/>
      <c r="P54" s="132"/>
      <c r="Q54" s="132"/>
      <c r="R54" s="504"/>
      <c r="S54" s="635"/>
      <c r="T54" s="699"/>
      <c r="U54" s="486"/>
      <c r="V54" s="622"/>
      <c r="W54" s="639"/>
      <c r="X54" s="622"/>
      <c r="Y54" s="639"/>
      <c r="Z54" s="622"/>
      <c r="AA54" s="622"/>
      <c r="AB54" s="622"/>
      <c r="AC54" s="622"/>
      <c r="AD54" s="320"/>
      <c r="AE54" s="633"/>
      <c r="AF54" s="345"/>
      <c r="AG54" s="690"/>
      <c r="AH54" s="224"/>
      <c r="AI54" s="633"/>
      <c r="AJ54" s="345"/>
      <c r="AK54" s="87"/>
      <c r="AL54" s="224"/>
      <c r="AM54" s="638"/>
      <c r="AN54" s="701"/>
      <c r="AO54" s="701" t="s">
        <v>517</v>
      </c>
      <c r="AP54" s="177"/>
      <c r="AQ54" s="177"/>
      <c r="AR54" s="177"/>
      <c r="AS54" s="622"/>
      <c r="AT54" s="622"/>
      <c r="AU54" s="639"/>
      <c r="AV54" s="622"/>
      <c r="AW54" s="639"/>
      <c r="AX54" s="622"/>
      <c r="AY54" s="622"/>
      <c r="AZ54" s="622"/>
      <c r="BA54" s="622"/>
      <c r="BB54" s="637"/>
      <c r="BC54" s="514"/>
      <c r="BE54" s="129"/>
      <c r="BF54" s="129"/>
      <c r="BG54" s="129"/>
      <c r="BH54" s="129"/>
      <c r="BI54" s="50">
        <v>11</v>
      </c>
    </row>
    <row r="55" ht="11.5" customHeight="1">
      <c r="A55" s="479" t="s">
        <v>271</v>
      </c>
      <c r="B55" s="479"/>
      <c r="C55" s="479"/>
      <c r="D55" s="479"/>
      <c r="E55" s="491"/>
      <c r="F55" s="491"/>
      <c r="G55" s="491"/>
      <c r="H55" s="491"/>
      <c r="I55" s="503"/>
      <c r="J55" s="503"/>
      <c r="K55" s="498"/>
      <c r="L55" s="481"/>
      <c r="P55" s="132"/>
      <c r="Q55" s="132"/>
      <c r="R55" s="504"/>
      <c r="S55" s="635"/>
      <c r="T55" s="699"/>
      <c r="U55" s="486"/>
      <c r="V55" s="622"/>
      <c r="W55" s="639"/>
      <c r="X55" s="622"/>
      <c r="Y55" s="639"/>
      <c r="Z55" s="622"/>
      <c r="AA55" s="622"/>
      <c r="AB55" s="622"/>
      <c r="AC55" s="622"/>
      <c r="AD55" s="320"/>
      <c r="AE55" s="633"/>
      <c r="AF55" s="345"/>
      <c r="AG55" s="690"/>
      <c r="AH55" s="224"/>
      <c r="AI55" s="641"/>
      <c r="AJ55" s="172"/>
      <c r="AK55" s="441" t="s">
        <v>518</v>
      </c>
      <c r="AL55" s="622"/>
      <c r="AM55" s="622"/>
      <c r="AN55" s="622"/>
      <c r="AO55" s="622"/>
      <c r="AP55" s="622"/>
      <c r="AQ55" s="622"/>
      <c r="AR55" s="622"/>
      <c r="AS55" s="622"/>
      <c r="AT55" s="622"/>
      <c r="AU55" s="639"/>
      <c r="AV55" s="622"/>
      <c r="AW55" s="639"/>
      <c r="AX55" s="622"/>
      <c r="AY55" s="622"/>
      <c r="AZ55" s="622"/>
      <c r="BA55" s="622"/>
      <c r="BB55" s="637"/>
      <c r="BC55" s="514"/>
      <c r="BE55" s="129"/>
      <c r="BF55" s="129"/>
      <c r="BG55" s="129"/>
      <c r="BH55" s="129"/>
      <c r="BI55" s="50">
        <v>11</v>
      </c>
    </row>
    <row r="56" ht="11.5" customHeight="1">
      <c r="A56" s="479" t="s">
        <v>271</v>
      </c>
      <c r="B56" s="479" t="s">
        <v>272</v>
      </c>
      <c r="C56" s="479" t="s">
        <v>273</v>
      </c>
      <c r="D56" s="479" t="s">
        <v>524</v>
      </c>
      <c r="E56" s="491"/>
      <c r="F56" s="491"/>
      <c r="G56" s="491"/>
      <c r="H56" s="491"/>
      <c r="I56" s="503"/>
      <c r="J56" s="503"/>
      <c r="K56" s="498"/>
      <c r="L56" s="481"/>
      <c r="P56" s="132"/>
      <c r="Q56" s="132"/>
      <c r="R56" s="504"/>
      <c r="S56" s="608"/>
      <c r="T56" s="702"/>
      <c r="U56" s="486"/>
      <c r="V56" s="622"/>
      <c r="W56" s="623" t="str">
        <f>Z52&amp;"-"&amp;AB52</f>
        <v>-</v>
      </c>
      <c r="X56" s="622"/>
      <c r="Y56" s="623" t="str">
        <f>AB52&amp;"-"&amp;AD52</f>
        <v>-да</v>
      </c>
      <c r="Z56" s="622"/>
      <c r="AA56" s="622"/>
      <c r="AB56" s="622"/>
      <c r="AC56" s="622"/>
      <c r="AD56" s="220"/>
      <c r="AE56" s="644"/>
      <c r="AF56" s="645"/>
      <c r="AG56" s="177" t="s">
        <v>500</v>
      </c>
      <c r="AH56" s="622"/>
      <c r="AI56" s="622"/>
      <c r="AJ56" s="622"/>
      <c r="AK56" s="622"/>
      <c r="AL56" s="622"/>
      <c r="AM56" s="622"/>
      <c r="AN56" s="622"/>
      <c r="AO56" s="622"/>
      <c r="AP56" s="622"/>
      <c r="AQ56" s="622"/>
      <c r="AR56" s="622"/>
      <c r="AS56" s="622"/>
      <c r="AT56" s="622"/>
      <c r="AU56" s="623" t="str">
        <f>AX52&amp;"-"&amp;AZ52</f>
        <v>-</v>
      </c>
      <c r="AV56" s="622"/>
      <c r="AW56" s="623" t="str">
        <f>AZ52&amp;"-"&amp;BB52</f>
        <v>-</v>
      </c>
      <c r="AX56" s="622"/>
      <c r="AY56" s="622"/>
      <c r="AZ56" s="622"/>
      <c r="BA56" s="622"/>
      <c r="BB56" s="643" t="str">
        <f>BE52&amp;"-"&amp;BG52</f>
        <v>-</v>
      </c>
      <c r="BC56" s="514"/>
      <c r="BE56" s="129"/>
      <c r="BF56" s="129" t="str">
        <f t="shared" si="40"/>
        <v/>
      </c>
      <c r="BG56" s="129"/>
      <c r="BH56" s="129"/>
      <c r="BI56" s="50">
        <v>11</v>
      </c>
    </row>
    <row r="57" ht="11.5" customHeight="1">
      <c r="A57" s="479" t="s">
        <v>271</v>
      </c>
      <c r="B57" s="479" t="s">
        <v>272</v>
      </c>
      <c r="C57" s="479" t="s">
        <v>273</v>
      </c>
      <c r="D57" s="479" t="s">
        <v>524</v>
      </c>
      <c r="E57" s="491"/>
      <c r="F57" s="491"/>
      <c r="G57" s="491"/>
      <c r="H57" s="491"/>
      <c r="I57" s="503"/>
      <c r="J57" s="498"/>
      <c r="K57" s="479"/>
      <c r="L57" s="481"/>
      <c r="P57" s="132"/>
      <c r="Q57" s="132"/>
      <c r="R57" s="499"/>
      <c r="S57" s="515"/>
      <c r="T57" s="519" t="s">
        <v>463</v>
      </c>
      <c r="U57" s="214"/>
      <c r="V57" s="214"/>
      <c r="W57" s="214"/>
      <c r="X57" s="214"/>
      <c r="Y57" s="214"/>
      <c r="Z57" s="214"/>
      <c r="AA57" s="214"/>
      <c r="AB57" s="214"/>
      <c r="AC57" s="517"/>
      <c r="AD57" s="67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17"/>
      <c r="BC57" s="518"/>
      <c r="BE57" s="129"/>
      <c r="BF57" s="129" t="str">
        <f t="shared" si="40"/>
        <v xml:space="preserve">Добавить строку</v>
      </c>
      <c r="BG57" s="129"/>
      <c r="BH57" s="129"/>
      <c r="BI57" s="50">
        <v>11</v>
      </c>
    </row>
    <row r="58" s="57" customFormat="1" ht="0" customHeight="1">
      <c r="A58" s="133" t="s">
        <v>271</v>
      </c>
      <c r="B58" s="133" t="s">
        <v>272</v>
      </c>
      <c r="C58" s="133" t="s">
        <v>273</v>
      </c>
      <c r="D58" s="133" t="s">
        <v>524</v>
      </c>
      <c r="E58" s="491"/>
      <c r="F58" s="491"/>
      <c r="G58" s="491"/>
      <c r="H58" s="491"/>
      <c r="I58" s="498"/>
      <c r="J58" s="133"/>
      <c r="K58" s="133"/>
      <c r="L58" s="212"/>
      <c r="M58" s="596"/>
      <c r="N58" s="596"/>
      <c r="O58" s="596"/>
      <c r="P58" s="132"/>
      <c r="Q58" s="132"/>
      <c r="R58" s="499"/>
      <c r="S58" s="592"/>
      <c r="T58" s="593"/>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5"/>
      <c r="BE58" s="129"/>
      <c r="BF58" s="129" t="str">
        <f t="shared" si="40"/>
        <v/>
      </c>
      <c r="BG58" s="129"/>
      <c r="BH58" s="129"/>
      <c r="BI58" s="57">
        <v>0</v>
      </c>
    </row>
    <row r="59" s="57" customFormat="1" ht="0" customHeight="1">
      <c r="A59" s="133" t="s">
        <v>271</v>
      </c>
      <c r="B59" s="133" t="s">
        <v>272</v>
      </c>
      <c r="C59" s="133" t="s">
        <v>273</v>
      </c>
      <c r="D59" s="133" t="s">
        <v>524</v>
      </c>
      <c r="E59" s="491"/>
      <c r="F59" s="491"/>
      <c r="G59" s="491"/>
      <c r="H59" s="480"/>
      <c r="I59" s="133"/>
      <c r="J59" s="133"/>
      <c r="K59" s="133"/>
      <c r="L59" s="212"/>
      <c r="M59" s="464"/>
      <c r="N59" s="464"/>
      <c r="O59" s="57"/>
      <c r="P59" s="167"/>
      <c r="Q59" s="524"/>
      <c r="R59" s="646"/>
      <c r="S59" s="592"/>
      <c r="T59" s="593"/>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5"/>
      <c r="BE59" s="129"/>
      <c r="BF59" s="129" t="str">
        <f t="shared" si="40"/>
        <v/>
      </c>
      <c r="BG59" s="129"/>
      <c r="BH59" s="129"/>
      <c r="BI59" s="57">
        <v>0</v>
      </c>
    </row>
    <row r="60" s="57" customFormat="1" ht="0" customHeight="1">
      <c r="A60" s="133" t="s">
        <v>271</v>
      </c>
      <c r="B60" s="133" t="s">
        <v>272</v>
      </c>
      <c r="C60" s="133" t="s">
        <v>273</v>
      </c>
      <c r="D60" s="133"/>
      <c r="E60" s="491"/>
      <c r="F60" s="491"/>
      <c r="G60" s="480"/>
      <c r="H60" s="133"/>
      <c r="I60" s="133"/>
      <c r="J60" s="133"/>
      <c r="K60" s="133"/>
      <c r="L60" s="212"/>
      <c r="M60" s="464"/>
      <c r="N60" s="464"/>
      <c r="P60" s="167"/>
      <c r="Q60" s="524"/>
      <c r="R60" s="167"/>
      <c r="S60" s="529"/>
      <c r="T60" s="532"/>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E60" s="129"/>
      <c r="BF60" s="129" t="str">
        <f t="shared" si="40"/>
        <v/>
      </c>
      <c r="BG60" s="129"/>
      <c r="BH60" s="129"/>
      <c r="BI60" s="57">
        <v>0</v>
      </c>
    </row>
    <row r="61" s="57" customFormat="1" ht="0" customHeight="1">
      <c r="A61" s="133" t="s">
        <v>271</v>
      </c>
      <c r="B61" s="133" t="s">
        <v>272</v>
      </c>
      <c r="C61" s="133"/>
      <c r="D61" s="133"/>
      <c r="E61" s="491"/>
      <c r="F61" s="480"/>
      <c r="G61" s="133"/>
      <c r="H61" s="133"/>
      <c r="I61" s="133"/>
      <c r="J61" s="133"/>
      <c r="K61" s="133"/>
      <c r="L61" s="212"/>
      <c r="M61" s="528"/>
      <c r="N61" s="528"/>
      <c r="P61" s="167"/>
      <c r="Q61" s="524"/>
      <c r="R61" s="167"/>
      <c r="S61" s="529"/>
      <c r="T61" s="532" t="s">
        <v>410</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1"/>
      <c r="AX61" s="531"/>
      <c r="AY61" s="531"/>
      <c r="AZ61" s="531"/>
      <c r="BA61" s="531"/>
      <c r="BB61" s="531"/>
      <c r="BC61" s="531"/>
      <c r="BE61" s="129"/>
      <c r="BF61" s="129" t="str">
        <f t="shared" si="40"/>
        <v xml:space="preserve">Добавить централизованную систему для дифференциации</v>
      </c>
      <c r="BG61" s="129"/>
      <c r="BH61" s="129"/>
      <c r="BI61" s="57">
        <v>0</v>
      </c>
    </row>
    <row r="62" s="57" customFormat="1" ht="0" customHeight="1">
      <c r="A62" s="133" t="s">
        <v>271</v>
      </c>
      <c r="B62" s="133"/>
      <c r="C62" s="133"/>
      <c r="D62" s="133"/>
      <c r="E62" s="480"/>
      <c r="F62" s="133"/>
      <c r="G62" s="133"/>
      <c r="H62" s="133"/>
      <c r="I62" s="133"/>
      <c r="J62" s="133"/>
      <c r="K62" s="133"/>
      <c r="L62" s="212"/>
      <c r="M62" s="528"/>
      <c r="N62" s="528"/>
      <c r="O62" s="57"/>
      <c r="P62" s="167"/>
      <c r="Q62" s="524"/>
      <c r="R62" s="167"/>
      <c r="S62" s="529"/>
      <c r="T62" s="532" t="s">
        <v>411</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31"/>
      <c r="BB62" s="531"/>
      <c r="BC62" s="531"/>
      <c r="BE62" s="129"/>
      <c r="BF62" s="129" t="str">
        <f t="shared" si="40"/>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28"/>
      <c r="N63" s="528"/>
      <c r="P63" s="167"/>
      <c r="Q63" s="524"/>
      <c r="R63" s="167"/>
      <c r="S63" s="529"/>
      <c r="T63" s="532" t="s">
        <v>443</v>
      </c>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1"/>
      <c r="AY63" s="531"/>
      <c r="AZ63" s="531"/>
      <c r="BA63" s="531"/>
      <c r="BB63" s="531"/>
      <c r="BC63" s="531"/>
      <c r="BE63" s="129"/>
      <c r="BF63" s="129" t="str">
        <f t="shared" si="40"/>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4.65" customHeight="1">
      <c r="O65" s="53"/>
      <c r="S65" s="476"/>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c r="BI65" s="50">
        <v>14</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c r="BI66" s="50">
        <v>14</v>
      </c>
    </row>
    <row r="67" ht="14.65" customHeight="1">
      <c r="O67" s="53"/>
      <c r="S67" s="476"/>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38">
        <v>0</v>
      </c>
      <c r="R69" s="47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EB00CE-00C2-4FA9-AA16-00580074007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8C007F-000E-4A04-9133-0028002300EE}"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C0064-009F-4CB6-87BE-006100D7002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B1004A-0063-4E3E-8C86-00E700F8006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53006B-00CD-4B65-966A-00FF00A200D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A1" activeCellId="0" sqref="A1"/>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8"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9" width="3.00390625"/>
    <col hidden="1" min="11" max="13" style="129" width="9.140625"/>
    <col customWidth="1" hidden="1" min="14" max="14" style="129" width="25.7109375"/>
    <col customWidth="1" hidden="1" min="15" max="15" style="129" width="14.421875"/>
    <col hidden="1" min="16" max="19" style="130" width="9.140625"/>
    <col hidden="1" min="20" max="27" style="50" width="9.140625"/>
    <col customWidth="1" min="28" max="28" style="50" width="8.00390625"/>
    <col hidden="1" min="29" max="29" style="50" width="9.140625"/>
  </cols>
  <sheetData>
    <row r="1" s="57" customFormat="1" ht="5.25" hidden="1" customHeight="1">
      <c r="A1" s="131"/>
      <c r="B1" s="57"/>
      <c r="C1" s="57"/>
      <c r="D1" s="132"/>
      <c r="F1" s="57"/>
      <c r="G1" s="133" t="s">
        <v>83</v>
      </c>
      <c r="H1" s="132" t="s">
        <v>84</v>
      </c>
      <c r="I1" s="134" t="s">
        <v>85</v>
      </c>
      <c r="J1" s="133" t="s">
        <v>83</v>
      </c>
      <c r="K1" s="133"/>
      <c r="L1" s="133"/>
      <c r="M1" s="133"/>
      <c r="N1" s="133"/>
      <c r="O1" s="133"/>
      <c r="P1" s="133"/>
      <c r="Q1" s="133"/>
      <c r="R1" s="133"/>
      <c r="S1" s="133"/>
      <c r="T1" s="134"/>
      <c r="U1" s="134"/>
      <c r="V1" s="134"/>
      <c r="W1" s="134"/>
      <c r="X1" s="134"/>
      <c r="Y1" s="134"/>
      <c r="Z1" s="134"/>
      <c r="AA1" s="134"/>
      <c r="AB1" s="134"/>
      <c r="AC1" s="57" t="s">
        <v>14</v>
      </c>
    </row>
    <row r="2" s="135" customFormat="1" ht="11.25" customHeight="1">
      <c r="A2" s="121"/>
      <c r="B2" s="136"/>
      <c r="C2" s="136"/>
      <c r="D2" s="137"/>
      <c r="E2" s="136"/>
      <c r="F2" s="136"/>
      <c r="G2" s="136"/>
      <c r="H2" s="136"/>
      <c r="I2" s="136"/>
      <c r="J2" s="133"/>
      <c r="K2" s="133"/>
      <c r="L2" s="133"/>
      <c r="M2" s="133"/>
      <c r="N2" s="133"/>
      <c r="O2" s="133"/>
      <c r="P2" s="138"/>
      <c r="Q2" s="138"/>
      <c r="R2" s="138"/>
      <c r="S2" s="138"/>
      <c r="T2" s="137"/>
      <c r="U2" s="137"/>
      <c r="V2" s="137"/>
      <c r="W2" s="137"/>
      <c r="X2" s="137"/>
      <c r="Y2" s="137"/>
      <c r="Z2" s="137"/>
      <c r="AA2" s="137"/>
      <c r="AB2" s="137"/>
      <c r="AC2" s="135">
        <v>11</v>
      </c>
    </row>
    <row r="3" s="139" customFormat="1" ht="3" customHeight="1">
      <c r="A3" s="50"/>
      <c r="B3" s="53"/>
      <c r="C3" s="50"/>
      <c r="D3" s="128"/>
      <c r="E3" s="50"/>
      <c r="F3" s="50"/>
      <c r="G3" s="50"/>
      <c r="H3" s="50"/>
      <c r="I3" s="140"/>
      <c r="J3" s="133"/>
      <c r="K3" s="129"/>
      <c r="L3" s="129"/>
      <c r="M3" s="129"/>
      <c r="N3" s="129"/>
      <c r="O3" s="129"/>
      <c r="P3" s="130"/>
      <c r="Q3" s="130"/>
      <c r="R3" s="130"/>
      <c r="S3" s="130"/>
      <c r="AC3" s="139">
        <v>3</v>
      </c>
    </row>
    <row r="4" s="139" customFormat="1" ht="27.300000000000001" customHeight="1">
      <c r="A4" s="50"/>
      <c r="B4" s="53"/>
      <c r="C4" s="50"/>
      <c r="D4" s="128"/>
      <c r="E4" s="141" t="str">
        <f>NameTemplatesInListMO</f>
        <v xml:space="preserve">Перечень муниципальных районов и муниципальных образований (территорий оказания услуг)</v>
      </c>
      <c r="F4" s="141"/>
      <c r="G4" s="141"/>
      <c r="H4" s="141"/>
      <c r="I4" s="141"/>
      <c r="J4" s="133"/>
      <c r="K4" s="129"/>
      <c r="L4" s="129"/>
      <c r="M4" s="129"/>
      <c r="N4" s="129"/>
      <c r="O4" s="129"/>
      <c r="P4" s="130"/>
      <c r="Q4" s="130"/>
      <c r="R4" s="130"/>
      <c r="S4" s="130"/>
      <c r="AC4" s="139">
        <v>26</v>
      </c>
    </row>
    <row r="5" s="139" customFormat="1" ht="3" customHeight="1">
      <c r="A5" s="50"/>
      <c r="B5" s="53"/>
      <c r="C5" s="50"/>
      <c r="D5" s="128"/>
      <c r="E5" s="50"/>
      <c r="F5" s="50"/>
      <c r="G5" s="142"/>
      <c r="H5" s="142"/>
      <c r="I5" s="121"/>
      <c r="J5" s="129"/>
      <c r="K5" s="129"/>
      <c r="L5" s="129"/>
      <c r="M5" s="129"/>
      <c r="N5" s="129"/>
      <c r="O5" s="129"/>
      <c r="P5" s="130"/>
      <c r="Q5" s="130"/>
      <c r="R5" s="130"/>
      <c r="S5" s="130"/>
      <c r="AC5" s="139">
        <v>3</v>
      </c>
    </row>
    <row r="6" s="139" customFormat="1" ht="20.25" hidden="1" customHeight="1">
      <c r="A6" s="143"/>
      <c r="B6" s="64"/>
      <c r="C6" s="143"/>
      <c r="D6" s="128"/>
      <c r="E6" s="125"/>
      <c r="F6" s="125"/>
      <c r="G6" s="142"/>
      <c r="H6" s="144"/>
      <c r="I6" s="144"/>
      <c r="J6" s="129"/>
      <c r="K6" s="129"/>
      <c r="L6" s="129"/>
      <c r="M6" s="129"/>
      <c r="N6" s="129"/>
      <c r="O6" s="129"/>
      <c r="P6" s="130"/>
      <c r="Q6" s="130"/>
      <c r="R6" s="130"/>
      <c r="S6" s="130"/>
      <c r="AC6" s="139">
        <v>0</v>
      </c>
    </row>
    <row r="7" ht="25.5" hidden="1" customHeight="1">
      <c r="AC7" s="50">
        <v>0</v>
      </c>
    </row>
    <row r="8" s="139" customFormat="1" ht="14.65" customHeight="1">
      <c r="A8" s="50"/>
      <c r="B8" s="53"/>
      <c r="C8" s="50"/>
      <c r="D8" s="128"/>
      <c r="E8" s="73" t="s">
        <v>86</v>
      </c>
      <c r="F8" s="145"/>
      <c r="G8" s="72"/>
      <c r="H8" s="146" t="s">
        <v>87</v>
      </c>
      <c r="I8" s="146"/>
      <c r="J8" s="129"/>
      <c r="K8" s="129"/>
      <c r="L8" s="129"/>
      <c r="M8" s="129"/>
      <c r="N8" s="129"/>
      <c r="O8" s="129"/>
      <c r="P8" s="130"/>
      <c r="Q8" s="130"/>
      <c r="R8" s="130"/>
      <c r="S8" s="130"/>
      <c r="AC8" s="139">
        <v>14</v>
      </c>
    </row>
    <row r="9" s="139" customFormat="1" ht="21" customHeight="1">
      <c r="A9" s="50"/>
      <c r="B9" s="53"/>
      <c r="C9" s="50"/>
      <c r="D9" s="128"/>
      <c r="E9" s="147" t="s">
        <v>88</v>
      </c>
      <c r="F9" s="147"/>
      <c r="G9" s="148" t="s">
        <v>89</v>
      </c>
      <c r="H9" s="148" t="s">
        <v>89</v>
      </c>
      <c r="I9" s="148" t="s">
        <v>85</v>
      </c>
      <c r="J9" s="129"/>
      <c r="K9" s="129"/>
      <c r="L9" s="129"/>
      <c r="M9" s="129"/>
      <c r="N9" s="129"/>
      <c r="O9" s="129"/>
      <c r="P9" s="130"/>
      <c r="Q9" s="130"/>
      <c r="R9" s="130"/>
      <c r="S9" s="130"/>
      <c r="AC9" s="139">
        <v>20</v>
      </c>
    </row>
    <row r="10" ht="11.5" customHeight="1">
      <c r="D10" s="149"/>
      <c r="E10" s="150" t="s">
        <v>90</v>
      </c>
      <c r="F10" s="150"/>
      <c r="G10" s="150" t="s">
        <v>91</v>
      </c>
      <c r="H10" s="150" t="s">
        <v>92</v>
      </c>
      <c r="I10" s="150" t="s">
        <v>93</v>
      </c>
      <c r="J10" s="151"/>
      <c r="K10" s="151"/>
      <c r="L10" s="151"/>
      <c r="M10" s="151"/>
      <c r="N10" s="151"/>
      <c r="O10" s="151"/>
      <c r="P10" s="152"/>
      <c r="Q10" s="152"/>
      <c r="R10" s="152"/>
      <c r="S10" s="152"/>
      <c r="AC10" s="50">
        <v>11</v>
      </c>
    </row>
    <row r="11" s="139" customFormat="1" ht="1.05" customHeight="1">
      <c r="A11" s="50"/>
      <c r="B11" s="53"/>
      <c r="C11" s="50"/>
      <c r="D11" s="128"/>
      <c r="E11" s="153"/>
      <c r="F11" s="153"/>
      <c r="G11" s="154"/>
      <c r="H11" s="154"/>
      <c r="I11" s="155"/>
      <c r="J11" s="156" t="s">
        <v>94</v>
      </c>
      <c r="K11" s="129"/>
      <c r="L11" s="129"/>
      <c r="M11" s="129" t="s">
        <v>95</v>
      </c>
      <c r="N11" s="129" t="s">
        <v>96</v>
      </c>
      <c r="O11" s="129" t="s">
        <v>97</v>
      </c>
      <c r="P11" s="130"/>
      <c r="Q11" s="130"/>
      <c r="R11" s="130"/>
      <c r="S11" s="130"/>
      <c r="AC11" s="139">
        <v>1</v>
      </c>
    </row>
    <row r="12" s="139" customFormat="1" ht="15" customHeight="1">
      <c r="A12" s="51">
        <v>1</v>
      </c>
      <c r="B12" s="53"/>
      <c r="C12" s="50"/>
      <c r="D12" s="128"/>
      <c r="E12" s="157">
        <f>A12</f>
        <v>1</v>
      </c>
      <c r="F12" s="158" t="s">
        <v>98</v>
      </c>
      <c r="G12" s="159" t="str">
        <f>"Территория "&amp;E12</f>
        <v xml:space="preserve">Территория 1</v>
      </c>
      <c r="H12" s="160"/>
      <c r="I12" s="160"/>
      <c r="J12" s="129"/>
      <c r="K12" s="129"/>
      <c r="L12" s="129"/>
      <c r="M12" s="129"/>
      <c r="N12" s="129"/>
      <c r="O12" s="129"/>
      <c r="P12" s="130"/>
      <c r="Q12" s="130"/>
      <c r="R12" s="130"/>
      <c r="S12" s="130"/>
      <c r="AC12" s="139">
        <v>14</v>
      </c>
    </row>
    <row r="13" s="63" customFormat="1" ht="15.75" customHeight="1">
      <c r="A13" s="51"/>
      <c r="B13" s="53">
        <v>1</v>
      </c>
      <c r="C13" s="53"/>
      <c r="D13" s="161"/>
      <c r="E13" s="162" t="str">
        <f>A12&amp;"."&amp;B13</f>
        <v>1.1</v>
      </c>
      <c r="F13" s="163">
        <v>1</v>
      </c>
      <c r="G13" s="164"/>
      <c r="H13" s="164"/>
      <c r="I13" s="165"/>
      <c r="J13" s="129" t="e">
        <f>MERGEVALUE(G13)</f>
        <v>#NAME?</v>
      </c>
      <c r="K13" s="57"/>
      <c r="L13" s="57"/>
      <c r="M13" s="129" t="str">
        <f t="array" ref="M13">IF(ISERROR(MATCH(MID(N13,1,250),MID(note_ter,1,250),0)),"n","y")</f>
        <v>n</v>
      </c>
      <c r="N13" s="57"/>
      <c r="O13" s="129" t="str">
        <f>H13&amp;"("&amp;I13&amp;")"</f>
        <v>()</v>
      </c>
      <c r="P13" s="53"/>
      <c r="Q13" s="53"/>
      <c r="R13" s="166"/>
      <c r="S13" s="53"/>
      <c r="T13" s="53"/>
      <c r="U13" s="53"/>
      <c r="V13" s="64"/>
      <c r="W13" s="64"/>
      <c r="X13" s="167"/>
      <c r="Y13" s="167"/>
      <c r="Z13" s="167"/>
      <c r="AA13" s="167"/>
      <c r="AB13" s="167"/>
      <c r="AC13" s="63">
        <v>15</v>
      </c>
    </row>
    <row r="14" s="63" customFormat="1" ht="15.75" customHeight="1">
      <c r="A14" s="51"/>
      <c r="B14" s="53"/>
      <c r="C14" s="168"/>
      <c r="D14" s="169"/>
      <c r="E14" s="170"/>
      <c r="F14" s="171"/>
      <c r="G14" s="172" t="s">
        <v>99</v>
      </c>
      <c r="H14" s="173"/>
      <c r="I14" s="174"/>
      <c r="J14" s="57"/>
      <c r="K14" s="57"/>
      <c r="L14" s="57"/>
      <c r="M14" s="57"/>
      <c r="N14" s="129"/>
      <c r="O14" s="57"/>
      <c r="P14" s="53"/>
      <c r="Q14" s="53"/>
      <c r="R14" s="166"/>
      <c r="S14" s="53"/>
      <c r="T14" s="53"/>
      <c r="U14" s="53"/>
      <c r="V14" s="64"/>
      <c r="W14" s="64"/>
      <c r="X14" s="167"/>
      <c r="Y14" s="167"/>
      <c r="Z14" s="167"/>
      <c r="AA14" s="167"/>
      <c r="AB14" s="167"/>
      <c r="AC14" s="63">
        <v>15</v>
      </c>
    </row>
    <row r="15" s="139" customFormat="1" ht="14.65" customHeight="1">
      <c r="A15" s="50"/>
      <c r="B15" s="53"/>
      <c r="C15" s="50"/>
      <c r="D15" s="128"/>
      <c r="E15" s="175"/>
      <c r="F15" s="176"/>
      <c r="G15" s="177" t="s">
        <v>100</v>
      </c>
      <c r="H15" s="176"/>
      <c r="I15" s="178"/>
      <c r="J15" s="156"/>
      <c r="K15" s="129"/>
      <c r="L15" s="129"/>
      <c r="M15" s="129"/>
      <c r="N15" s="129" t="s">
        <v>101</v>
      </c>
      <c r="O15" s="129"/>
      <c r="P15" s="130"/>
      <c r="Q15" s="130"/>
      <c r="R15" s="130"/>
      <c r="S15" s="130"/>
      <c r="AC15" s="139">
        <v>14</v>
      </c>
    </row>
    <row r="16" s="139" customFormat="1" ht="22" customHeight="1">
      <c r="A16" s="50"/>
      <c r="B16" s="53"/>
      <c r="C16" s="50"/>
      <c r="D16" s="128"/>
      <c r="E16" s="179"/>
      <c r="F16" s="179"/>
      <c r="G16" s="179"/>
      <c r="H16" s="179"/>
      <c r="I16" s="179"/>
      <c r="J16" s="129"/>
      <c r="K16" s="129"/>
      <c r="L16" s="129"/>
      <c r="M16" s="129"/>
      <c r="N16" s="129"/>
      <c r="O16" s="129"/>
      <c r="P16" s="130"/>
      <c r="Q16" s="130"/>
      <c r="R16" s="130"/>
      <c r="S16" s="130"/>
      <c r="AC16" s="139">
        <v>21</v>
      </c>
    </row>
    <row r="17" s="139" customFormat="1" ht="14.65" customHeight="1">
      <c r="A17" s="50"/>
      <c r="B17" s="53"/>
      <c r="C17" s="50"/>
      <c r="D17" s="128"/>
      <c r="E17" s="50"/>
      <c r="F17" s="50"/>
      <c r="G17" s="50"/>
      <c r="H17" s="50"/>
      <c r="I17" s="50"/>
      <c r="J17" s="129"/>
      <c r="K17" s="129"/>
      <c r="L17" s="129"/>
      <c r="M17" s="129"/>
      <c r="N17" s="129"/>
      <c r="O17" s="129"/>
      <c r="P17" s="130"/>
      <c r="Q17" s="130"/>
      <c r="R17" s="130"/>
      <c r="S17" s="130"/>
      <c r="AC17" s="139">
        <v>14</v>
      </c>
    </row>
    <row r="18" s="139" customFormat="1" ht="1.05" customHeight="1">
      <c r="A18" s="50"/>
      <c r="B18" s="53"/>
      <c r="C18" s="50"/>
      <c r="D18" s="128"/>
      <c r="E18" s="50"/>
      <c r="F18" s="50"/>
      <c r="G18" s="50"/>
      <c r="H18" s="50"/>
      <c r="I18" s="50"/>
      <c r="J18" s="129"/>
      <c r="K18" s="129"/>
      <c r="L18" s="129"/>
      <c r="M18" s="129"/>
      <c r="N18" s="129"/>
      <c r="O18" s="129"/>
      <c r="P18" s="130"/>
      <c r="Q18" s="130"/>
      <c r="R18" s="130"/>
      <c r="S18" s="130"/>
      <c r="AC18" s="139">
        <v>1</v>
      </c>
    </row>
    <row r="19" s="180" customFormat="1" ht="10.5" customHeight="1">
      <c r="B19" s="181"/>
      <c r="D19" s="182"/>
      <c r="J19" s="129"/>
      <c r="K19" s="129"/>
      <c r="L19" s="129"/>
      <c r="M19" s="129"/>
      <c r="N19" s="129"/>
      <c r="O19" s="129"/>
      <c r="P19" s="130"/>
      <c r="Q19" s="130"/>
      <c r="R19" s="130"/>
      <c r="S19" s="130"/>
      <c r="AC19" s="180">
        <v>10</v>
      </c>
    </row>
    <row r="20" s="180" customFormat="1" ht="10.5" customHeight="1">
      <c r="B20" s="181"/>
      <c r="D20" s="182"/>
      <c r="J20" s="129"/>
      <c r="K20" s="129"/>
      <c r="L20" s="129"/>
      <c r="M20" s="129"/>
      <c r="N20" s="129"/>
      <c r="O20" s="129"/>
      <c r="P20" s="130"/>
      <c r="Q20" s="130"/>
      <c r="R20" s="130"/>
      <c r="S20" s="130"/>
      <c r="AC20" s="180">
        <v>10</v>
      </c>
    </row>
    <row r="21" ht="14.65" customHeight="1">
      <c r="AC21" s="50">
        <v>14</v>
      </c>
    </row>
    <row r="22" ht="14.65" customHeight="1">
      <c r="AC22" s="50">
        <v>14</v>
      </c>
    </row>
    <row r="23" ht="14.65" customHeight="1">
      <c r="AC23" s="50">
        <v>14</v>
      </c>
    </row>
    <row r="24" ht="14.65" customHeight="1">
      <c r="H24" s="183"/>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8">
        <v>3</v>
      </c>
      <c r="E29" s="50">
        <v>6</v>
      </c>
      <c r="F29" s="50">
        <v>0</v>
      </c>
      <c r="G29" s="50">
        <v>46</v>
      </c>
      <c r="H29" s="50">
        <v>42</v>
      </c>
      <c r="I29" s="50">
        <v>14</v>
      </c>
      <c r="J29" s="129">
        <v>3</v>
      </c>
      <c r="K29" s="129">
        <v>0</v>
      </c>
      <c r="L29" s="129">
        <v>0</v>
      </c>
      <c r="M29" s="129">
        <v>0</v>
      </c>
      <c r="N29" s="129">
        <v>0</v>
      </c>
      <c r="O29" s="129">
        <v>0</v>
      </c>
      <c r="P29" s="130">
        <v>0</v>
      </c>
      <c r="Q29" s="130">
        <v>0</v>
      </c>
      <c r="R29" s="130">
        <v>0</v>
      </c>
      <c r="S29" s="130">
        <v>0</v>
      </c>
      <c r="T29" s="50">
        <v>0</v>
      </c>
      <c r="U29" s="50">
        <v>0</v>
      </c>
      <c r="V29" s="50">
        <v>0</v>
      </c>
      <c r="W29" s="50">
        <v>0</v>
      </c>
      <c r="X29" s="50">
        <v>0</v>
      </c>
      <c r="Y29" s="50">
        <v>0</v>
      </c>
      <c r="Z29" s="50">
        <v>0</v>
      </c>
      <c r="AA29" s="50">
        <v>0</v>
      </c>
      <c r="AB29" s="50">
        <v>8</v>
      </c>
      <c r="AC29"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9000A-00C6-4D70-8EE3-000C00650054}"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8"/>
      <c r="AD2" s="488"/>
      <c r="AE2" s="488"/>
      <c r="AF2" s="489"/>
      <c r="AG2" s="487" t="e">
        <f>INDEX(PT_DIFFERENTIATION_NTAR,MATCH(A2,PT_DIFFERENTIATION_NTAR_ID,0))</f>
        <v>#VALUE!</v>
      </c>
      <c r="AH2" s="488"/>
      <c r="AI2" s="488"/>
      <c r="AJ2" s="488"/>
      <c r="AK2" s="488"/>
      <c r="AL2" s="488"/>
      <c r="AM2" s="488"/>
      <c r="AN2" s="488"/>
      <c r="AO2" s="488"/>
      <c r="AP2" s="488"/>
      <c r="AQ2" s="488"/>
      <c r="AR2" s="489"/>
      <c r="AS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1">IF(T2="","",T2)</f>
        <v xml:space="preserve">Наименование тарифа</v>
      </c>
      <c r="AW2" s="129"/>
      <c r="AX2" s="129"/>
      <c r="AY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8"/>
      <c r="AD3" s="488"/>
      <c r="AE3" s="488"/>
      <c r="AF3" s="489"/>
      <c r="AG3" s="487" t="e">
        <f>INDEX(PT_DIFFERENTIATION_TER,MATCH(B3,PT_DIFFERENTIATION_TER_ID,0))</f>
        <v>#VALUE!</v>
      </c>
      <c r="AH3" s="488"/>
      <c r="AI3" s="488"/>
      <c r="AJ3" s="488"/>
      <c r="AK3" s="488"/>
      <c r="AL3" s="488"/>
      <c r="AM3" s="488"/>
      <c r="AN3" s="488"/>
      <c r="AO3" s="488"/>
      <c r="AP3" s="488"/>
      <c r="AQ3" s="488"/>
      <c r="AR3" s="489"/>
      <c r="AS3" s="490" t="s">
        <v>393</v>
      </c>
      <c r="AU3" s="129"/>
      <c r="AV3" s="129" t="str">
        <f t="shared" si="41"/>
        <v xml:space="preserve">Территория действия тарифа</v>
      </c>
      <c r="AW3" s="129"/>
      <c r="AX3" s="129"/>
      <c r="AY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525</v>
      </c>
      <c r="U4" s="486"/>
      <c r="V4" s="487"/>
      <c r="W4" s="488"/>
      <c r="X4" s="488"/>
      <c r="Y4" s="488"/>
      <c r="Z4" s="488"/>
      <c r="AA4" s="488"/>
      <c r="AB4" s="488"/>
      <c r="AC4" s="488"/>
      <c r="AD4" s="488"/>
      <c r="AE4" s="488"/>
      <c r="AF4" s="489"/>
      <c r="AG4" s="487" t="e">
        <f>INDEX(PT_DIFFERENTIATION_CS,MATCH(C4,PT_DIFFERENTIATION_CS_ID,0))</f>
        <v>#VALUE!</v>
      </c>
      <c r="AH4" s="488"/>
      <c r="AI4" s="488"/>
      <c r="AJ4" s="488"/>
      <c r="AK4" s="488"/>
      <c r="AL4" s="488"/>
      <c r="AM4" s="488"/>
      <c r="AN4" s="488"/>
      <c r="AO4" s="488"/>
      <c r="AP4" s="488"/>
      <c r="AQ4" s="488"/>
      <c r="AR4" s="489"/>
      <c r="AS4" s="490" t="s">
        <v>526</v>
      </c>
      <c r="AU4" s="129"/>
      <c r="AV4" s="129" t="str">
        <f t="shared" si="41"/>
        <v xml:space="preserve">Наименование централизованной системы горячего водоснабжения</v>
      </c>
      <c r="AW4" s="129"/>
      <c r="AX4" s="129"/>
      <c r="AY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7"/>
      <c r="AC5" s="677"/>
      <c r="AD5" s="677"/>
      <c r="AE5" s="677"/>
      <c r="AF5" s="678"/>
      <c r="AG5" s="679"/>
      <c r="AH5" s="680"/>
      <c r="AI5" s="680"/>
      <c r="AJ5" s="680"/>
      <c r="AK5" s="680"/>
      <c r="AL5" s="680"/>
      <c r="AM5" s="680"/>
      <c r="AN5" s="680"/>
      <c r="AO5" s="680"/>
      <c r="AP5" s="680"/>
      <c r="AQ5" s="680"/>
      <c r="AR5" s="681"/>
      <c r="AS5" s="490" t="s">
        <v>479</v>
      </c>
      <c r="AU5" s="129"/>
      <c r="AV5" s="129" t="str">
        <f t="shared" si="41"/>
        <v xml:space="preserve">Наименование признака дифференциации</v>
      </c>
      <c r="AW5" s="129"/>
      <c r="AX5" s="129"/>
      <c r="AY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1"/>
      <c r="AC6" s="501"/>
      <c r="AD6" s="501"/>
      <c r="AE6" s="501"/>
      <c r="AF6" s="502"/>
      <c r="AG6" s="431"/>
      <c r="AH6" s="501"/>
      <c r="AI6" s="501"/>
      <c r="AJ6" s="501"/>
      <c r="AK6" s="501"/>
      <c r="AL6" s="501"/>
      <c r="AM6" s="501"/>
      <c r="AN6" s="501"/>
      <c r="AO6" s="501"/>
      <c r="AP6" s="501"/>
      <c r="AQ6" s="501"/>
      <c r="AR6" s="502"/>
      <c r="AS6" s="617" t="s">
        <v>480</v>
      </c>
      <c r="AU6" s="129"/>
      <c r="AV6" s="129" t="str">
        <f t="shared" si="41"/>
        <v xml:space="preserve">Группа потребителей</v>
      </c>
      <c r="AW6" s="129"/>
      <c r="AX6" s="129"/>
      <c r="AY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7"/>
      <c r="Y7" s="507"/>
      <c r="Z7" s="507"/>
      <c r="AA7" s="507"/>
      <c r="AB7" s="507"/>
      <c r="AC7" s="510"/>
      <c r="AD7" s="224" t="s">
        <v>65</v>
      </c>
      <c r="AE7" s="510"/>
      <c r="AF7" s="224" t="s">
        <v>65</v>
      </c>
      <c r="AG7" s="507"/>
      <c r="AH7" s="507"/>
      <c r="AI7" s="507"/>
      <c r="AJ7" s="507"/>
      <c r="AK7" s="507"/>
      <c r="AL7" s="507"/>
      <c r="AM7" s="507"/>
      <c r="AN7" s="510"/>
      <c r="AO7" s="224" t="s">
        <v>65</v>
      </c>
      <c r="AP7" s="570"/>
      <c r="AQ7" s="224" t="s">
        <v>65</v>
      </c>
      <c r="AR7" s="683"/>
      <c r="AS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1"/>
        <v/>
      </c>
      <c r="AW7" s="129"/>
      <c r="AX7" s="129"/>
      <c r="AY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08"/>
      <c r="Y8" s="508"/>
      <c r="Z8" s="508"/>
      <c r="AA8" s="508"/>
      <c r="AB8" s="508"/>
      <c r="AC8" s="513"/>
      <c r="AD8" s="224"/>
      <c r="AE8" s="513"/>
      <c r="AF8" s="224"/>
      <c r="AG8" s="508"/>
      <c r="AH8" s="508"/>
      <c r="AI8" s="508"/>
      <c r="AJ8" s="508"/>
      <c r="AK8" s="508"/>
      <c r="AL8" s="508"/>
      <c r="AM8" s="508"/>
      <c r="AN8" s="513"/>
      <c r="AO8" s="224"/>
      <c r="AP8" s="572"/>
      <c r="AQ8" s="224"/>
      <c r="AR8" s="685"/>
      <c r="AS8" s="684"/>
      <c r="AU8" s="129"/>
      <c r="AV8" s="129" t="str">
        <f t="shared" si="41"/>
        <v/>
      </c>
      <c r="AW8" s="129"/>
      <c r="AX8" s="129"/>
      <c r="AY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0" t="s">
        <v>482</v>
      </c>
      <c r="AU9" s="129"/>
      <c r="AV9" s="129" t="str">
        <f t="shared" si="41"/>
        <v xml:space="preserve">Добавить значение признака дифференциации</v>
      </c>
      <c r="AW9" s="129"/>
      <c r="AX9" s="129"/>
      <c r="AY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214"/>
      <c r="AC10" s="214"/>
      <c r="AD10" s="214"/>
      <c r="AE10" s="214"/>
      <c r="AF10" s="520"/>
      <c r="AG10" s="214"/>
      <c r="AH10" s="214"/>
      <c r="AI10" s="214"/>
      <c r="AJ10" s="214"/>
      <c r="AK10" s="214"/>
      <c r="AL10" s="214"/>
      <c r="AM10" s="214"/>
      <c r="AN10" s="214"/>
      <c r="AO10" s="214"/>
      <c r="AP10" s="214"/>
      <c r="AQ10" s="520"/>
      <c r="AR10" s="214"/>
      <c r="AS10" s="686"/>
      <c r="AU10" s="129"/>
      <c r="AV10" s="129" t="str">
        <f t="shared" ref="AV10:AV54" si="42">IF(T10="","",T10)</f>
        <v xml:space="preserve">Добавить группу потребителей</v>
      </c>
      <c r="AW10" s="129"/>
      <c r="AX10" s="129"/>
      <c r="AY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214"/>
      <c r="AC11" s="214"/>
      <c r="AD11" s="214"/>
      <c r="AE11" s="214"/>
      <c r="AF11" s="520"/>
      <c r="AG11" s="214"/>
      <c r="AH11" s="214"/>
      <c r="AI11" s="214"/>
      <c r="AJ11" s="214"/>
      <c r="AK11" s="214"/>
      <c r="AL11" s="214"/>
      <c r="AM11" s="214"/>
      <c r="AN11" s="214"/>
      <c r="AO11" s="214"/>
      <c r="AP11" s="214"/>
      <c r="AQ11" s="520"/>
      <c r="AR11" s="214"/>
      <c r="AS11" s="521"/>
      <c r="AU11" s="129"/>
      <c r="AV11" s="129" t="str">
        <f t="shared" si="42"/>
        <v xml:space="preserve">Добавить наименование признака дифференциации</v>
      </c>
      <c r="AW11" s="129"/>
      <c r="AX11" s="129"/>
      <c r="AY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U12" s="129"/>
      <c r="AV12" s="129" t="str">
        <f t="shared" si="42"/>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U13" s="129"/>
      <c r="AV13" s="129" t="str">
        <f t="shared" si="42"/>
        <v xml:space="preserve">Добавить территорию для дифференциации</v>
      </c>
      <c r="AW13" s="129"/>
      <c r="AX13" s="129"/>
      <c r="AY13" s="57">
        <v>0</v>
      </c>
    </row>
    <row r="14" ht="14.25" hidden="1" customHeight="1">
      <c r="AF14" s="50"/>
      <c r="AQ14" s="50"/>
      <c r="AY14" s="50">
        <v>0</v>
      </c>
    </row>
    <row r="15" ht="14.25" hidden="1" customHeight="1">
      <c r="AG15" s="533"/>
      <c r="AH15" s="533"/>
      <c r="AI15" s="533"/>
      <c r="AJ15" s="533"/>
      <c r="AK15" s="533"/>
      <c r="AL15" s="533"/>
      <c r="AM15" s="533"/>
      <c r="AN15" s="535"/>
      <c r="AO15" s="536" t="s">
        <v>65</v>
      </c>
      <c r="AP15" s="535"/>
      <c r="AQ15" s="536" t="s">
        <v>65</v>
      </c>
      <c r="AY15" s="50">
        <v>0</v>
      </c>
    </row>
    <row r="16" ht="14.25" hidden="1" customHeight="1">
      <c r="AG16" s="533"/>
      <c r="AH16" s="533"/>
      <c r="AI16" s="533"/>
      <c r="AJ16" s="533"/>
      <c r="AK16" s="533"/>
      <c r="AL16" s="533"/>
      <c r="AM16" s="533"/>
      <c r="AN16" s="536"/>
      <c r="AO16" s="536"/>
      <c r="AP16" s="536"/>
      <c r="AQ16" s="536"/>
      <c r="AY16" s="50">
        <v>0</v>
      </c>
    </row>
    <row r="17" ht="14.25" hidden="1" customHeight="1">
      <c r="AQ17" s="50"/>
      <c r="AY17" s="50">
        <v>0</v>
      </c>
    </row>
    <row r="18" s="53" customFormat="1" ht="22.5" hidden="1" customHeight="1">
      <c r="L18" s="114"/>
      <c r="M18" s="61"/>
      <c r="N18" s="61"/>
      <c r="O18" s="537" t="s">
        <v>412</v>
      </c>
      <c r="P18" s="61"/>
      <c r="Q18" s="538"/>
      <c r="R18" s="538"/>
      <c r="S18" s="482"/>
      <c r="W18" s="53"/>
      <c r="X18" s="53"/>
      <c r="Y18" s="53"/>
      <c r="Z18" s="53"/>
      <c r="AA18" s="53"/>
      <c r="AB18" s="53"/>
      <c r="AC18" s="537"/>
      <c r="AE18" s="537"/>
      <c r="AF18" s="53"/>
      <c r="AH18" s="53"/>
      <c r="AI18" s="53"/>
      <c r="AJ18" s="53"/>
      <c r="AK18" s="53"/>
      <c r="AL18" s="53"/>
      <c r="AN18" s="537"/>
      <c r="AP18" s="537"/>
      <c r="AQ18" s="53"/>
      <c r="AT18" s="57"/>
      <c r="AU18" s="57"/>
      <c r="AV18" s="57"/>
      <c r="AW18" s="57"/>
      <c r="AX18" s="57"/>
      <c r="AY18" s="53">
        <v>0</v>
      </c>
    </row>
    <row r="19" s="53" customFormat="1" ht="14.25" hidden="1" customHeight="1">
      <c r="L19" s="114"/>
      <c r="M19" s="61"/>
      <c r="N19" s="61"/>
      <c r="O19" s="61"/>
      <c r="P19" s="61"/>
      <c r="Q19" s="538"/>
      <c r="R19" s="538"/>
      <c r="S19" s="482"/>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81" t="s">
        <v>413</v>
      </c>
      <c r="P20" s="61"/>
      <c r="Q20" s="688"/>
      <c r="R20" s="688"/>
      <c r="S20" s="482"/>
      <c r="T20" s="53" t="s">
        <v>414</v>
      </c>
      <c r="W20" s="53"/>
      <c r="X20" s="53"/>
      <c r="Y20" s="53"/>
      <c r="Z20" s="53"/>
      <c r="AA20" s="53"/>
      <c r="AB20" s="53"/>
      <c r="AD20" s="151" t="s">
        <v>415</v>
      </c>
      <c r="AF20" s="151" t="s">
        <v>416</v>
      </c>
      <c r="AG20" s="53" t="s">
        <v>414</v>
      </c>
      <c r="AH20" s="53"/>
      <c r="AI20" s="53"/>
      <c r="AJ20" s="53"/>
      <c r="AK20" s="53"/>
      <c r="AL20" s="53"/>
      <c r="AO20" s="151" t="s">
        <v>417</v>
      </c>
      <c r="AQ20" s="151" t="s">
        <v>416</v>
      </c>
      <c r="AY20" s="53">
        <v>0</v>
      </c>
    </row>
    <row r="21" ht="14.25" hidden="1" customHeight="1">
      <c r="O21" s="481"/>
      <c r="AY21" s="50">
        <v>0</v>
      </c>
    </row>
    <row r="22" ht="14.25" hidden="1" customHeight="1">
      <c r="O22" s="481"/>
      <c r="AY22" s="50">
        <v>0</v>
      </c>
    </row>
    <row r="23" ht="14.65" customHeight="1">
      <c r="Q23" s="539"/>
      <c r="R23" s="539"/>
      <c r="S23" s="540"/>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39"/>
      <c r="R24" s="539"/>
      <c r="S24" s="452"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240"/>
      <c r="AY24" s="50">
        <v>25</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3"/>
      <c r="AQ25" s="240"/>
      <c r="AY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0"/>
      <c r="AY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44"/>
      <c r="AC27" s="544"/>
      <c r="AD27" s="544"/>
      <c r="AE27" s="544"/>
      <c r="AF27" s="50"/>
      <c r="AG27" s="544" t="str">
        <f>IF(TITLE_NAME_OR_PR_CHANGE="",IF(TITLE_NAME_OR_PR="","",TITLE_NAME_OR_PR),TITLE_NAME_OR_PR_CHANGE)</f>
        <v/>
      </c>
      <c r="AH27" s="544"/>
      <c r="AI27" s="544"/>
      <c r="AJ27" s="544"/>
      <c r="AK27" s="544"/>
      <c r="AL27" s="544"/>
      <c r="AM27" s="544"/>
      <c r="AN27" s="544"/>
      <c r="AO27" s="544"/>
      <c r="AP27" s="544"/>
      <c r="AQ27" s="50"/>
      <c r="AR27" s="50"/>
      <c r="AS27" s="545"/>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46"/>
      <c r="AC28" s="546"/>
      <c r="AD28" s="546"/>
      <c r="AE28" s="546"/>
      <c r="AF28" s="50"/>
      <c r="AG28" s="546" t="str">
        <f>IF(TITLE_DATE_PR_CHANGE="",IF(TITLE_DATE_PR="","",TITLE_DATE_PR),TITLE_DATE_PR_CHANGE)</f>
        <v/>
      </c>
      <c r="AH28" s="546"/>
      <c r="AI28" s="546"/>
      <c r="AJ28" s="546"/>
      <c r="AK28" s="546"/>
      <c r="AL28" s="546"/>
      <c r="AM28" s="546"/>
      <c r="AN28" s="546"/>
      <c r="AO28" s="546"/>
      <c r="AP28" s="546"/>
      <c r="AQ28" s="50"/>
      <c r="AR28" s="50"/>
      <c r="AS28" s="545"/>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44"/>
      <c r="AC29" s="544"/>
      <c r="AD29" s="544"/>
      <c r="AE29" s="544"/>
      <c r="AF29" s="50"/>
      <c r="AG29" s="544" t="str">
        <f>IF(TITLE_NUMBER_PR_CHANGE="",IF(TITLE_NUMBER_PR="","",TITLE_NUMBER_PR),TITLE_NUMBER_PR_CHANGE)</f>
        <v/>
      </c>
      <c r="AH29" s="544"/>
      <c r="AI29" s="544"/>
      <c r="AJ29" s="544"/>
      <c r="AK29" s="544"/>
      <c r="AL29" s="544"/>
      <c r="AM29" s="544"/>
      <c r="AN29" s="544"/>
      <c r="AO29" s="544"/>
      <c r="AP29" s="544"/>
      <c r="AQ29" s="50"/>
      <c r="AR29" s="50"/>
      <c r="AS29" s="545"/>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44"/>
      <c r="AC30" s="544"/>
      <c r="AD30" s="544"/>
      <c r="AE30" s="544"/>
      <c r="AF30" s="50"/>
      <c r="AG30" s="544" t="str">
        <f>IF(TITLE_IST_PUB_CHANGE="",IF(TITLE_IST_PUB="","",TITLE_IST_PUB),TITLE_IST_PUB_CHANGE)</f>
        <v/>
      </c>
      <c r="AH30" s="544"/>
      <c r="AI30" s="544"/>
      <c r="AJ30" s="544"/>
      <c r="AK30" s="544"/>
      <c r="AL30" s="544"/>
      <c r="AM30" s="544"/>
      <c r="AN30" s="544"/>
      <c r="AO30" s="544"/>
      <c r="AP30" s="544"/>
      <c r="AQ30" s="50"/>
      <c r="AR30" s="50"/>
      <c r="AS30" s="545"/>
      <c r="AT30" s="129"/>
      <c r="AU30" s="129"/>
      <c r="AV30" s="129"/>
      <c r="AW30" s="129"/>
      <c r="AX30" s="129"/>
      <c r="AY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41"/>
      <c r="AK31" s="541"/>
      <c r="AL31" s="541"/>
      <c r="AM31" s="541"/>
      <c r="AN31" s="541"/>
      <c r="AO31" s="541"/>
      <c r="AP31" s="541"/>
      <c r="AQ31" s="541"/>
      <c r="AR31" s="50"/>
      <c r="AY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46"/>
      <c r="AC32" s="546"/>
      <c r="AD32" s="546"/>
      <c r="AE32" s="546"/>
      <c r="AF32" s="50"/>
      <c r="AG32" s="546" t="str">
        <f>IF(TITLE_DATE_PR_CHANGE="",IF(TITLE_DATE_PR="","",TITLE_DATE_PR),TITLE_DATE_PR_CHANGE)</f>
        <v/>
      </c>
      <c r="AH32" s="546"/>
      <c r="AI32" s="546"/>
      <c r="AJ32" s="546"/>
      <c r="AK32" s="546"/>
      <c r="AL32" s="546"/>
      <c r="AM32" s="546"/>
      <c r="AN32" s="546"/>
      <c r="AO32" s="546"/>
      <c r="AP32" s="546"/>
      <c r="AQ32" s="50"/>
      <c r="AR32" s="50"/>
      <c r="AS32" s="545"/>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44"/>
      <c r="AC33" s="544"/>
      <c r="AD33" s="544"/>
      <c r="AE33" s="544"/>
      <c r="AF33" s="50"/>
      <c r="AG33" s="544" t="str">
        <f>IF(TITLE_NUMBER_PR_CHANGE="",IF(TITLE_NUMBER_PR="","",TITLE_NUMBER_PR),TITLE_NUMBER_PR_CHANGE)</f>
        <v/>
      </c>
      <c r="AH33" s="544"/>
      <c r="AI33" s="544"/>
      <c r="AJ33" s="544"/>
      <c r="AK33" s="544"/>
      <c r="AL33" s="544"/>
      <c r="AM33" s="544"/>
      <c r="AN33" s="544"/>
      <c r="AO33" s="544"/>
      <c r="AP33" s="544"/>
      <c r="AQ33" s="50"/>
      <c r="AR33" s="50"/>
      <c r="AS33" s="545"/>
      <c r="AT33" s="129"/>
      <c r="AU33" s="129"/>
      <c r="AV33" s="129"/>
      <c r="AW33" s="129"/>
      <c r="AX33" s="129"/>
      <c r="AY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0"/>
      <c r="AC34" s="50"/>
      <c r="AD34" s="50"/>
      <c r="AE34" s="50"/>
      <c r="AF34" s="57" t="s">
        <v>422</v>
      </c>
      <c r="AG34" s="50"/>
      <c r="AH34" s="50"/>
      <c r="AI34" s="50"/>
      <c r="AJ34" s="50"/>
      <c r="AK34" s="50"/>
      <c r="AL34" s="50"/>
      <c r="AM34" s="50"/>
      <c r="AN34" s="50"/>
      <c r="AO34" s="50"/>
      <c r="AP34" s="50"/>
      <c r="AQ34" s="57" t="s">
        <v>422</v>
      </c>
      <c r="AT34" s="129"/>
      <c r="AU34" s="129"/>
      <c r="AV34" s="129"/>
      <c r="AW34" s="129"/>
      <c r="AX34" s="129"/>
      <c r="AY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Y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296</v>
      </c>
      <c r="AY36" s="50">
        <v>14</v>
      </c>
    </row>
    <row r="37" ht="14.65" customHeight="1">
      <c r="Q37" s="539"/>
      <c r="R37" s="539"/>
      <c r="S37" s="484" t="s">
        <v>88</v>
      </c>
      <c r="T37" s="347" t="s">
        <v>423</v>
      </c>
      <c r="U37" s="549"/>
      <c r="V37" s="550" t="s">
        <v>424</v>
      </c>
      <c r="W37" s="584"/>
      <c r="X37" s="584"/>
      <c r="Y37" s="584"/>
      <c r="Z37" s="584"/>
      <c r="AA37" s="584"/>
      <c r="AB37" s="584"/>
      <c r="AC37" s="551"/>
      <c r="AD37" s="551"/>
      <c r="AE37" s="552"/>
      <c r="AF37" s="553" t="s">
        <v>425</v>
      </c>
      <c r="AG37" s="550" t="s">
        <v>424</v>
      </c>
      <c r="AH37" s="551"/>
      <c r="AI37" s="551"/>
      <c r="AJ37" s="551"/>
      <c r="AK37" s="551"/>
      <c r="AL37" s="551"/>
      <c r="AM37" s="551"/>
      <c r="AN37" s="551"/>
      <c r="AO37" s="551"/>
      <c r="AP37" s="552"/>
      <c r="AQ37" s="553" t="s">
        <v>426</v>
      </c>
      <c r="AR37" s="554" t="s">
        <v>427</v>
      </c>
      <c r="AS37" s="157"/>
      <c r="AY37" s="50">
        <v>14</v>
      </c>
    </row>
    <row r="38" ht="19.949999999999999" customHeight="1">
      <c r="Q38" s="539"/>
      <c r="R38" s="539"/>
      <c r="S38" s="484"/>
      <c r="T38" s="347"/>
      <c r="U38" s="555"/>
      <c r="V38" s="157" t="s">
        <v>527</v>
      </c>
      <c r="W38" s="704" t="s">
        <v>528</v>
      </c>
      <c r="X38" s="704"/>
      <c r="Y38" s="704"/>
      <c r="Z38" s="704" t="s">
        <v>529</v>
      </c>
      <c r="AA38" s="704"/>
      <c r="AB38" s="704"/>
      <c r="AC38" s="304" t="s">
        <v>431</v>
      </c>
      <c r="AD38" s="626"/>
      <c r="AE38" s="305"/>
      <c r="AF38" s="557"/>
      <c r="AG38" s="157" t="s">
        <v>527</v>
      </c>
      <c r="AH38" s="704" t="s">
        <v>528</v>
      </c>
      <c r="AI38" s="704"/>
      <c r="AJ38" s="704"/>
      <c r="AK38" s="704" t="s">
        <v>529</v>
      </c>
      <c r="AL38" s="704"/>
      <c r="AM38" s="704"/>
      <c r="AN38" s="304" t="s">
        <v>431</v>
      </c>
      <c r="AO38" s="626"/>
      <c r="AP38" s="305"/>
      <c r="AQ38" s="557"/>
      <c r="AR38" s="558"/>
      <c r="AS38" s="157"/>
      <c r="AY38" s="50">
        <v>19</v>
      </c>
    </row>
    <row r="39" s="50" customFormat="1" ht="19.949999999999999" customHeight="1">
      <c r="A39" s="53"/>
      <c r="B39" s="53"/>
      <c r="C39" s="53"/>
      <c r="D39" s="53"/>
      <c r="E39" s="53"/>
      <c r="F39" s="53"/>
      <c r="G39" s="53"/>
      <c r="H39" s="53"/>
      <c r="I39" s="53"/>
      <c r="J39" s="53"/>
      <c r="K39" s="53"/>
      <c r="L39" s="114"/>
      <c r="M39" s="61"/>
      <c r="N39" s="61"/>
      <c r="O39" s="61"/>
      <c r="P39" s="60"/>
      <c r="Q39" s="539"/>
      <c r="R39" s="539"/>
      <c r="S39" s="484"/>
      <c r="T39" s="347"/>
      <c r="U39" s="555"/>
      <c r="V39" s="157"/>
      <c r="W39" s="704" t="s">
        <v>530</v>
      </c>
      <c r="X39" s="704" t="s">
        <v>531</v>
      </c>
      <c r="Y39" s="704"/>
      <c r="Z39" s="704" t="s">
        <v>532</v>
      </c>
      <c r="AA39" s="704" t="s">
        <v>531</v>
      </c>
      <c r="AB39" s="704"/>
      <c r="AC39" s="310"/>
      <c r="AD39" s="627"/>
      <c r="AE39" s="311"/>
      <c r="AF39" s="557"/>
      <c r="AG39" s="157"/>
      <c r="AH39" s="704" t="s">
        <v>530</v>
      </c>
      <c r="AI39" s="704" t="s">
        <v>531</v>
      </c>
      <c r="AJ39" s="704"/>
      <c r="AK39" s="704" t="s">
        <v>532</v>
      </c>
      <c r="AL39" s="704" t="s">
        <v>531</v>
      </c>
      <c r="AM39" s="704"/>
      <c r="AN39" s="310"/>
      <c r="AO39" s="627"/>
      <c r="AP39" s="311"/>
      <c r="AQ39" s="557"/>
      <c r="AR39" s="558"/>
      <c r="AS39" s="157"/>
      <c r="AT39" s="57"/>
      <c r="AU39" s="57"/>
      <c r="AV39" s="57"/>
      <c r="AW39" s="57"/>
      <c r="AX39" s="57"/>
      <c r="AY39" s="50">
        <v>19</v>
      </c>
    </row>
    <row r="40" ht="61.950000000000003" customHeight="1">
      <c r="A40" s="151"/>
      <c r="B40" s="151" t="s">
        <v>132</v>
      </c>
      <c r="C40" s="151" t="s">
        <v>133</v>
      </c>
      <c r="D40" s="151" t="s">
        <v>134</v>
      </c>
      <c r="E40" s="481" t="s">
        <v>432</v>
      </c>
      <c r="F40" s="481" t="s">
        <v>433</v>
      </c>
      <c r="G40" s="481" t="s">
        <v>434</v>
      </c>
      <c r="H40" s="481"/>
      <c r="I40" s="481" t="s">
        <v>485</v>
      </c>
      <c r="J40" s="481" t="s">
        <v>437</v>
      </c>
      <c r="K40" s="481" t="s">
        <v>486</v>
      </c>
      <c r="L40" s="481" t="s">
        <v>413</v>
      </c>
      <c r="Q40" s="539"/>
      <c r="R40" s="539"/>
      <c r="S40" s="484"/>
      <c r="T40" s="347"/>
      <c r="U40" s="559"/>
      <c r="V40" s="157"/>
      <c r="W40" s="704"/>
      <c r="X40" s="704" t="s">
        <v>533</v>
      </c>
      <c r="Y40" s="704" t="s">
        <v>534</v>
      </c>
      <c r="Z40" s="704"/>
      <c r="AA40" s="704" t="s">
        <v>535</v>
      </c>
      <c r="AB40" s="704" t="s">
        <v>536</v>
      </c>
      <c r="AC40" s="246" t="s">
        <v>441</v>
      </c>
      <c r="AD40" s="415" t="s">
        <v>442</v>
      </c>
      <c r="AE40" s="417"/>
      <c r="AF40" s="561"/>
      <c r="AG40" s="157"/>
      <c r="AH40" s="704"/>
      <c r="AI40" s="704" t="s">
        <v>533</v>
      </c>
      <c r="AJ40" s="704" t="s">
        <v>534</v>
      </c>
      <c r="AK40" s="704"/>
      <c r="AL40" s="704" t="s">
        <v>535</v>
      </c>
      <c r="AM40" s="704" t="s">
        <v>536</v>
      </c>
      <c r="AN40" s="246" t="s">
        <v>441</v>
      </c>
      <c r="AO40" s="415" t="s">
        <v>442</v>
      </c>
      <c r="AP40" s="417"/>
      <c r="AQ40" s="561"/>
      <c r="AR40" s="562"/>
      <c r="AS40" s="157"/>
      <c r="AY40" s="50">
        <v>59</v>
      </c>
    </row>
    <row r="41" s="131" customFormat="1" ht="11.25" hidden="1" customHeight="1">
      <c r="A41" s="151"/>
      <c r="B41" s="151"/>
      <c r="C41" s="151"/>
      <c r="D41" s="151"/>
      <c r="E41" s="151"/>
      <c r="F41" s="151"/>
      <c r="G41" s="151"/>
      <c r="H41" s="151"/>
      <c r="I41" s="151"/>
      <c r="J41" s="151"/>
      <c r="K41" s="151"/>
      <c r="L41" s="481"/>
      <c r="M41" s="61"/>
      <c r="N41" s="61"/>
      <c r="O41" s="61"/>
      <c r="P41" s="563"/>
      <c r="Q41" s="564"/>
      <c r="R41" s="565">
        <v>1</v>
      </c>
      <c r="S41" s="566" t="s">
        <v>106</v>
      </c>
      <c r="T41" s="567" t="s">
        <v>107</v>
      </c>
      <c r="U41" s="568" t="str">
        <f ca="1">OFFSET(U41,0,-1)</f>
        <v>2</v>
      </c>
      <c r="V41" s="569">
        <f ca="1">OFFSET(V41,0,-1)+1</f>
        <v>3</v>
      </c>
      <c r="W41" s="426"/>
      <c r="X41" s="426"/>
      <c r="Y41" s="426"/>
      <c r="Z41" s="426"/>
      <c r="AA41" s="426"/>
      <c r="AB41" s="426"/>
      <c r="AC41" s="569">
        <f ca="1">OFFSET(AC41,0,-1)+1</f>
        <v>1</v>
      </c>
      <c r="AD41" s="569">
        <f ca="1">OFFSET(AD41,0,-1)+1</f>
        <v>2</v>
      </c>
      <c r="AE41" s="569"/>
      <c r="AF41" s="569">
        <f ca="1">OFFSET(AF41,0,-2)+1</f>
        <v>3</v>
      </c>
      <c r="AG41" s="569">
        <f ca="1">OFFSET(AG41,0,-1)+1</f>
        <v>4</v>
      </c>
      <c r="AH41" s="569"/>
      <c r="AI41" s="569"/>
      <c r="AJ41" s="569"/>
      <c r="AK41" s="569"/>
      <c r="AL41" s="569"/>
      <c r="AM41" s="569">
        <f ca="1">OFFSET(AM41,0,-1)+1</f>
        <v>1</v>
      </c>
      <c r="AN41" s="569">
        <f ca="1">OFFSET(AN41,0,-1)+1</f>
        <v>2</v>
      </c>
      <c r="AO41" s="569">
        <f ca="1">OFFSET(AO41,0,-1)+1</f>
        <v>3</v>
      </c>
      <c r="AP41" s="569"/>
      <c r="AQ41" s="569">
        <f ca="1">OFFSET(AQ41,0,-2)+1</f>
        <v>4</v>
      </c>
      <c r="AR41" s="568">
        <f ca="1">OFFSET(AR41,0,-1)</f>
        <v>4</v>
      </c>
      <c r="AS41" s="569">
        <f ca="1">OFFSET(AS41,0,-1)+1</f>
        <v>5</v>
      </c>
      <c r="AT41" s="57"/>
      <c r="AU41" s="57"/>
      <c r="AV41" s="57"/>
      <c r="AW41" s="57"/>
      <c r="AX41" s="57"/>
      <c r="AY41" s="131">
        <v>0</v>
      </c>
    </row>
    <row r="42" ht="24" customHeight="1">
      <c r="A42" s="479" t="s">
        <v>246</v>
      </c>
      <c r="B42" s="479"/>
      <c r="C42" s="479"/>
      <c r="D42" s="479"/>
      <c r="E42" s="480">
        <v>1</v>
      </c>
      <c r="F42" s="479"/>
      <c r="G42" s="479"/>
      <c r="H42" s="479"/>
      <c r="I42" s="479"/>
      <c r="J42" s="479"/>
      <c r="K42" s="479"/>
      <c r="L42" s="481"/>
      <c r="M42" s="482"/>
      <c r="N42" s="482"/>
      <c r="O42" s="482"/>
      <c r="P42" s="60"/>
      <c r="Q42" s="143"/>
      <c r="R42" s="483"/>
      <c r="S42" s="484">
        <f>INDEX(PT_DIFFERENTIATION_NUM_NTAR,MATCH(A42,PT_DIFFERENTIATION_NTAR_ID,0))</f>
        <v>0</v>
      </c>
      <c r="T42" s="485" t="s">
        <v>120</v>
      </c>
      <c r="U42" s="486"/>
      <c r="V42" s="487"/>
      <c r="W42" s="488"/>
      <c r="X42" s="488"/>
      <c r="Y42" s="488"/>
      <c r="Z42" s="488"/>
      <c r="AA42" s="488"/>
      <c r="AB42" s="488"/>
      <c r="AC42" s="488"/>
      <c r="AD42" s="488"/>
      <c r="AE42" s="488"/>
      <c r="AF42" s="489"/>
      <c r="AG42" s="487" t="str">
        <f>INDEX(PT_DIFFERENTIATION_NTAR,MATCH(A42,PT_DIFFERENTIATION_NTAR_ID,0))</f>
        <v/>
      </c>
      <c r="AH42" s="488"/>
      <c r="AI42" s="488"/>
      <c r="AJ42" s="488"/>
      <c r="AK42" s="488"/>
      <c r="AL42" s="488"/>
      <c r="AM42" s="488"/>
      <c r="AN42" s="488"/>
      <c r="AO42" s="488"/>
      <c r="AP42" s="488"/>
      <c r="AQ42" s="488"/>
      <c r="AR42" s="489"/>
      <c r="AS4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2"/>
        <v xml:space="preserve">Наименование тарифа</v>
      </c>
      <c r="AW42" s="129"/>
      <c r="AX42" s="129"/>
      <c r="AY42" s="50">
        <v>23</v>
      </c>
    </row>
    <row r="43" ht="24" customHeight="1">
      <c r="A43" s="479" t="s">
        <v>246</v>
      </c>
      <c r="B43" s="479" t="s">
        <v>247</v>
      </c>
      <c r="C43" s="479"/>
      <c r="D43" s="479"/>
      <c r="E43" s="491"/>
      <c r="F43" s="480">
        <v>1</v>
      </c>
      <c r="G43" s="479"/>
      <c r="H43" s="479"/>
      <c r="I43" s="479"/>
      <c r="J43" s="479"/>
      <c r="K43" s="479"/>
      <c r="L43" s="481"/>
      <c r="M43" s="482"/>
      <c r="N43" s="482"/>
      <c r="O43" s="482"/>
      <c r="P43" s="51"/>
      <c r="Q43" s="492"/>
      <c r="R43" s="493"/>
      <c r="S43" s="484" t="str">
        <f>INDEX(PT_DIFFERENTIATION_NUM_TER,MATCH(B43,PT_DIFFERENTIATION_TER_ID,0))</f>
        <v>.</v>
      </c>
      <c r="T43" s="494" t="s">
        <v>392</v>
      </c>
      <c r="U43" s="486"/>
      <c r="V43" s="487"/>
      <c r="W43" s="488"/>
      <c r="X43" s="488"/>
      <c r="Y43" s="488"/>
      <c r="Z43" s="488"/>
      <c r="AA43" s="488"/>
      <c r="AB43" s="488"/>
      <c r="AC43" s="488"/>
      <c r="AD43" s="488"/>
      <c r="AE43" s="488"/>
      <c r="AF43" s="489"/>
      <c r="AG43" s="487" t="str">
        <f>INDEX(PT_DIFFERENTIATION_TER,MATCH(B43,PT_DIFFERENTIATION_TER_ID,0))</f>
        <v/>
      </c>
      <c r="AH43" s="488"/>
      <c r="AI43" s="488"/>
      <c r="AJ43" s="488"/>
      <c r="AK43" s="488"/>
      <c r="AL43" s="488"/>
      <c r="AM43" s="488"/>
      <c r="AN43" s="488"/>
      <c r="AO43" s="488"/>
      <c r="AP43" s="488"/>
      <c r="AQ43" s="488"/>
      <c r="AR43" s="489"/>
      <c r="AS43" s="490" t="s">
        <v>393</v>
      </c>
      <c r="AU43" s="129"/>
      <c r="AV43" s="129" t="str">
        <f t="shared" si="42"/>
        <v xml:space="preserve">Территория действия тарифа</v>
      </c>
      <c r="AW43" s="129"/>
      <c r="AX43" s="129"/>
      <c r="AY43" s="50">
        <v>23</v>
      </c>
    </row>
    <row r="44" ht="24" customHeight="1">
      <c r="A44" s="479" t="s">
        <v>246</v>
      </c>
      <c r="B44" s="479" t="s">
        <v>247</v>
      </c>
      <c r="C44" s="479" t="s">
        <v>248</v>
      </c>
      <c r="D44" s="479"/>
      <c r="E44" s="491"/>
      <c r="F44" s="491"/>
      <c r="G44" s="480">
        <v>1</v>
      </c>
      <c r="H44" s="479"/>
      <c r="I44" s="479"/>
      <c r="J44" s="479"/>
      <c r="K44" s="479"/>
      <c r="L44" s="481"/>
      <c r="M44" s="482"/>
      <c r="N44" s="482"/>
      <c r="O44" s="482"/>
      <c r="P44" s="495"/>
      <c r="Q44" s="492"/>
      <c r="R44" s="493"/>
      <c r="S44" s="484" t="str">
        <f>INDEX(PT_DIFFERENTIATION_NUM_CS,MATCH(C44,PT_DIFFERENTIATION_CS_ID,0))</f>
        <v>..</v>
      </c>
      <c r="T44" s="496" t="s">
        <v>525</v>
      </c>
      <c r="U44" s="486"/>
      <c r="V44" s="487"/>
      <c r="W44" s="488"/>
      <c r="X44" s="488"/>
      <c r="Y44" s="488"/>
      <c r="Z44" s="488"/>
      <c r="AA44" s="488"/>
      <c r="AB44" s="488"/>
      <c r="AC44" s="488"/>
      <c r="AD44" s="488"/>
      <c r="AE44" s="488"/>
      <c r="AF44" s="489"/>
      <c r="AG44" s="487" t="str">
        <f>INDEX(PT_DIFFERENTIATION_CS,MATCH(C44,PT_DIFFERENTIATION_CS_ID,0))</f>
        <v/>
      </c>
      <c r="AH44" s="488"/>
      <c r="AI44" s="488"/>
      <c r="AJ44" s="488"/>
      <c r="AK44" s="488"/>
      <c r="AL44" s="488"/>
      <c r="AM44" s="488"/>
      <c r="AN44" s="488"/>
      <c r="AO44" s="488"/>
      <c r="AP44" s="488"/>
      <c r="AQ44" s="488"/>
      <c r="AR44" s="489"/>
      <c r="AS44" s="490" t="s">
        <v>526</v>
      </c>
      <c r="AU44" s="129"/>
      <c r="AV44" s="129" t="str">
        <f t="shared" si="42"/>
        <v xml:space="preserve">Наименование централизованной системы горячего водоснабжения</v>
      </c>
      <c r="AW44" s="129"/>
      <c r="AX44" s="129"/>
      <c r="AY44" s="50">
        <v>23</v>
      </c>
    </row>
    <row r="45" ht="24" customHeight="1">
      <c r="A45" s="479" t="s">
        <v>246</v>
      </c>
      <c r="B45" s="479" t="s">
        <v>247</v>
      </c>
      <c r="C45" s="479" t="s">
        <v>248</v>
      </c>
      <c r="D45" s="479" t="s">
        <v>537</v>
      </c>
      <c r="E45" s="491"/>
      <c r="F45" s="491"/>
      <c r="G45" s="491"/>
      <c r="H45" s="491"/>
      <c r="I45" s="498" t="str">
        <f>S44&amp;".1"</f>
        <v>...1</v>
      </c>
      <c r="J45" s="479"/>
      <c r="K45" s="479"/>
      <c r="L45" s="481"/>
      <c r="P45" s="132">
        <v>1</v>
      </c>
      <c r="Q45" s="132"/>
      <c r="R45" s="499"/>
      <c r="S45" s="484" t="str">
        <f>$I45</f>
        <v>...1</v>
      </c>
      <c r="T45" s="500" t="s">
        <v>478</v>
      </c>
      <c r="U45" s="486"/>
      <c r="V45" s="676"/>
      <c r="W45" s="677"/>
      <c r="X45" s="677"/>
      <c r="Y45" s="677"/>
      <c r="Z45" s="677"/>
      <c r="AA45" s="677"/>
      <c r="AB45" s="677"/>
      <c r="AC45" s="677"/>
      <c r="AD45" s="677"/>
      <c r="AE45" s="677"/>
      <c r="AF45" s="678"/>
      <c r="AG45" s="679"/>
      <c r="AH45" s="680"/>
      <c r="AI45" s="680"/>
      <c r="AJ45" s="680"/>
      <c r="AK45" s="680"/>
      <c r="AL45" s="680"/>
      <c r="AM45" s="680"/>
      <c r="AN45" s="680"/>
      <c r="AO45" s="680"/>
      <c r="AP45" s="680"/>
      <c r="AQ45" s="680"/>
      <c r="AR45" s="681"/>
      <c r="AS45" s="490" t="s">
        <v>479</v>
      </c>
      <c r="AU45" s="129"/>
      <c r="AV45" s="129" t="str">
        <f t="shared" si="42"/>
        <v xml:space="preserve">Наименование признака дифференциации</v>
      </c>
      <c r="AW45" s="129"/>
      <c r="AX45" s="129"/>
      <c r="AY45" s="50">
        <v>23</v>
      </c>
    </row>
    <row r="46" ht="24" customHeight="1">
      <c r="A46" s="479" t="s">
        <v>246</v>
      </c>
      <c r="B46" s="479" t="s">
        <v>247</v>
      </c>
      <c r="C46" s="479" t="s">
        <v>248</v>
      </c>
      <c r="D46" s="479" t="s">
        <v>537</v>
      </c>
      <c r="E46" s="491"/>
      <c r="F46" s="491"/>
      <c r="G46" s="491"/>
      <c r="H46" s="491"/>
      <c r="I46" s="503"/>
      <c r="J46" s="498" t="str">
        <f>I45&amp;".1"</f>
        <v>...1.1</v>
      </c>
      <c r="K46" s="479"/>
      <c r="L46" s="481" t="s">
        <v>401</v>
      </c>
      <c r="P46" s="132"/>
      <c r="Q46" s="132">
        <v>1</v>
      </c>
      <c r="R46" s="504"/>
      <c r="S46" s="484" t="str">
        <f>$J46</f>
        <v>...1.1</v>
      </c>
      <c r="T46" s="505" t="s">
        <v>402</v>
      </c>
      <c r="U46" s="486"/>
      <c r="V46" s="431"/>
      <c r="W46" s="501"/>
      <c r="X46" s="501"/>
      <c r="Y46" s="501"/>
      <c r="Z46" s="501"/>
      <c r="AA46" s="501"/>
      <c r="AB46" s="501"/>
      <c r="AC46" s="501"/>
      <c r="AD46" s="501"/>
      <c r="AE46" s="501"/>
      <c r="AF46" s="502"/>
      <c r="AG46" s="431"/>
      <c r="AH46" s="501"/>
      <c r="AI46" s="501"/>
      <c r="AJ46" s="501"/>
      <c r="AK46" s="501"/>
      <c r="AL46" s="501"/>
      <c r="AM46" s="501"/>
      <c r="AN46" s="501"/>
      <c r="AO46" s="501"/>
      <c r="AP46" s="501"/>
      <c r="AQ46" s="501"/>
      <c r="AR46" s="502"/>
      <c r="AS46" s="617" t="s">
        <v>480</v>
      </c>
      <c r="AU46" s="129"/>
      <c r="AV46" s="129" t="str">
        <f t="shared" si="42"/>
        <v xml:space="preserve">Группа потребителей</v>
      </c>
      <c r="AW46" s="129"/>
      <c r="AX46" s="129"/>
      <c r="AY46" s="50">
        <v>23</v>
      </c>
    </row>
    <row r="47" ht="24" customHeight="1">
      <c r="A47" s="479" t="s">
        <v>246</v>
      </c>
      <c r="B47" s="479" t="s">
        <v>247</v>
      </c>
      <c r="C47" s="479" t="s">
        <v>248</v>
      </c>
      <c r="D47" s="479" t="s">
        <v>537</v>
      </c>
      <c r="E47" s="491"/>
      <c r="F47" s="491"/>
      <c r="G47" s="491"/>
      <c r="H47" s="491"/>
      <c r="I47" s="503"/>
      <c r="J47" s="503"/>
      <c r="K47" s="498" t="str">
        <f>J46&amp;".1"</f>
        <v>...1.1.1</v>
      </c>
      <c r="L47" s="481"/>
      <c r="P47" s="132"/>
      <c r="Q47" s="132"/>
      <c r="R47" s="504">
        <v>1</v>
      </c>
      <c r="S47" s="484" t="str">
        <f>$K47</f>
        <v>...1.1.1</v>
      </c>
      <c r="T47" s="682"/>
      <c r="U47" s="486"/>
      <c r="V47" s="507"/>
      <c r="W47" s="507"/>
      <c r="X47" s="507"/>
      <c r="Y47" s="507"/>
      <c r="Z47" s="507"/>
      <c r="AA47" s="507"/>
      <c r="AB47" s="507"/>
      <c r="AC47" s="535"/>
      <c r="AD47" s="536" t="s">
        <v>65</v>
      </c>
      <c r="AE47" s="535"/>
      <c r="AF47" s="536" t="s">
        <v>65</v>
      </c>
      <c r="AG47" s="507"/>
      <c r="AH47" s="507"/>
      <c r="AI47" s="507"/>
      <c r="AJ47" s="507"/>
      <c r="AK47" s="507"/>
      <c r="AL47" s="507"/>
      <c r="AM47" s="507"/>
      <c r="AN47" s="510"/>
      <c r="AO47" s="224" t="s">
        <v>65</v>
      </c>
      <c r="AP47" s="570"/>
      <c r="AQ47" s="224" t="s">
        <v>19</v>
      </c>
      <c r="AR47" s="683"/>
      <c r="AS4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2"/>
        <v/>
      </c>
      <c r="AW47" s="129"/>
      <c r="AX47" s="129"/>
      <c r="AY47" s="50">
        <v>23</v>
      </c>
    </row>
    <row r="48" ht="0" customHeight="1">
      <c r="A48" s="479" t="s">
        <v>246</v>
      </c>
      <c r="B48" s="479" t="s">
        <v>247</v>
      </c>
      <c r="C48" s="479" t="s">
        <v>248</v>
      </c>
      <c r="D48" s="479" t="s">
        <v>537</v>
      </c>
      <c r="E48" s="491"/>
      <c r="F48" s="491"/>
      <c r="G48" s="491"/>
      <c r="H48" s="491"/>
      <c r="I48" s="503"/>
      <c r="J48" s="503"/>
      <c r="K48" s="498"/>
      <c r="L48" s="481"/>
      <c r="P48" s="132"/>
      <c r="Q48" s="132"/>
      <c r="R48" s="504"/>
      <c r="S48" s="458"/>
      <c r="T48" s="486"/>
      <c r="U48" s="486"/>
      <c r="V48" s="533"/>
      <c r="W48" s="533"/>
      <c r="X48" s="533"/>
      <c r="Y48" s="533"/>
      <c r="Z48" s="533"/>
      <c r="AA48" s="533"/>
      <c r="AB48" s="533"/>
      <c r="AC48" s="536"/>
      <c r="AD48" s="536"/>
      <c r="AE48" s="536"/>
      <c r="AF48" s="536"/>
      <c r="AG48" s="508"/>
      <c r="AH48" s="508"/>
      <c r="AI48" s="508"/>
      <c r="AJ48" s="508"/>
      <c r="AK48" s="508"/>
      <c r="AL48" s="508"/>
      <c r="AM48" s="508"/>
      <c r="AN48" s="513"/>
      <c r="AO48" s="224"/>
      <c r="AP48" s="572"/>
      <c r="AQ48" s="224"/>
      <c r="AR48" s="685"/>
      <c r="AS48" s="684"/>
      <c r="AU48" s="129"/>
      <c r="AV48" s="129" t="str">
        <f t="shared" si="42"/>
        <v/>
      </c>
      <c r="AW48" s="129"/>
      <c r="AX48" s="129"/>
      <c r="AY48" s="50">
        <v>0</v>
      </c>
    </row>
    <row r="49" ht="21" customHeight="1">
      <c r="A49" s="479" t="s">
        <v>246</v>
      </c>
      <c r="B49" s="479" t="s">
        <v>247</v>
      </c>
      <c r="C49" s="479" t="s">
        <v>248</v>
      </c>
      <c r="D49" s="479" t="s">
        <v>537</v>
      </c>
      <c r="E49" s="491"/>
      <c r="F49" s="491"/>
      <c r="G49" s="491"/>
      <c r="H49" s="491"/>
      <c r="I49" s="503"/>
      <c r="J49" s="498"/>
      <c r="K49" s="479"/>
      <c r="L49" s="481"/>
      <c r="P49" s="132"/>
      <c r="Q49" s="132"/>
      <c r="R49" s="499"/>
      <c r="S49" s="515"/>
      <c r="T49" s="519" t="s">
        <v>481</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0" t="s">
        <v>482</v>
      </c>
      <c r="AU49" s="129"/>
      <c r="AV49" s="129" t="str">
        <f t="shared" si="42"/>
        <v xml:space="preserve">Добавить значение признака дифференциации</v>
      </c>
      <c r="AW49" s="129"/>
      <c r="AX49" s="129"/>
      <c r="AY49" s="50">
        <v>20</v>
      </c>
    </row>
    <row r="50" ht="22" customHeight="1">
      <c r="A50" s="479" t="s">
        <v>246</v>
      </c>
      <c r="B50" s="479" t="s">
        <v>247</v>
      </c>
      <c r="C50" s="479" t="s">
        <v>248</v>
      </c>
      <c r="D50" s="479" t="s">
        <v>537</v>
      </c>
      <c r="E50" s="491"/>
      <c r="F50" s="491"/>
      <c r="G50" s="491"/>
      <c r="H50" s="491"/>
      <c r="I50" s="498"/>
      <c r="J50" s="479"/>
      <c r="K50" s="479"/>
      <c r="L50" s="481"/>
      <c r="P50" s="132"/>
      <c r="Q50" s="132"/>
      <c r="R50" s="499"/>
      <c r="S50" s="515"/>
      <c r="T50" s="523" t="s">
        <v>407</v>
      </c>
      <c r="U50" s="214"/>
      <c r="V50" s="214"/>
      <c r="W50" s="214"/>
      <c r="X50" s="214"/>
      <c r="Y50" s="214"/>
      <c r="Z50" s="214"/>
      <c r="AA50" s="214"/>
      <c r="AB50" s="214"/>
      <c r="AC50" s="214"/>
      <c r="AD50" s="214"/>
      <c r="AE50" s="214"/>
      <c r="AF50" s="520"/>
      <c r="AG50" s="214"/>
      <c r="AH50" s="214"/>
      <c r="AI50" s="214"/>
      <c r="AJ50" s="214"/>
      <c r="AK50" s="214"/>
      <c r="AL50" s="214"/>
      <c r="AM50" s="214"/>
      <c r="AN50" s="214"/>
      <c r="AO50" s="214"/>
      <c r="AP50" s="214"/>
      <c r="AQ50" s="520"/>
      <c r="AR50" s="214"/>
      <c r="AS50" s="686"/>
      <c r="AU50" s="129"/>
      <c r="AV50" s="129" t="str">
        <f t="shared" si="42"/>
        <v xml:space="preserve">Добавить группу потребителей</v>
      </c>
      <c r="AW50" s="129"/>
      <c r="AX50" s="129"/>
      <c r="AY50" s="50">
        <v>21</v>
      </c>
    </row>
    <row r="51" ht="22" customHeight="1">
      <c r="A51" s="479" t="s">
        <v>246</v>
      </c>
      <c r="B51" s="479" t="s">
        <v>247</v>
      </c>
      <c r="C51" s="479" t="s">
        <v>248</v>
      </c>
      <c r="D51" s="479" t="s">
        <v>537</v>
      </c>
      <c r="E51" s="491"/>
      <c r="F51" s="491"/>
      <c r="G51" s="491"/>
      <c r="H51" s="480"/>
      <c r="I51" s="479"/>
      <c r="J51" s="479"/>
      <c r="K51" s="479"/>
      <c r="L51" s="481"/>
      <c r="M51" s="482"/>
      <c r="N51" s="482"/>
      <c r="O51" s="53"/>
      <c r="P51" s="143"/>
      <c r="Q51" s="522"/>
      <c r="R51" s="483"/>
      <c r="S51" s="515"/>
      <c r="T51" s="687" t="s">
        <v>483</v>
      </c>
      <c r="U51" s="214"/>
      <c r="V51" s="214"/>
      <c r="W51" s="214"/>
      <c r="X51" s="214"/>
      <c r="Y51" s="214"/>
      <c r="Z51" s="214"/>
      <c r="AA51" s="214"/>
      <c r="AB51" s="214"/>
      <c r="AC51" s="214"/>
      <c r="AD51" s="214"/>
      <c r="AE51" s="214"/>
      <c r="AF51" s="520"/>
      <c r="AG51" s="214"/>
      <c r="AH51" s="214"/>
      <c r="AI51" s="214"/>
      <c r="AJ51" s="214"/>
      <c r="AK51" s="214"/>
      <c r="AL51" s="214"/>
      <c r="AM51" s="214"/>
      <c r="AN51" s="214"/>
      <c r="AO51" s="214"/>
      <c r="AP51" s="214"/>
      <c r="AQ51" s="520"/>
      <c r="AR51" s="214"/>
      <c r="AS51" s="521"/>
      <c r="AU51" s="129"/>
      <c r="AV51" s="129" t="str">
        <f t="shared" si="42"/>
        <v xml:space="preserve">Добавить наименование признака дифференциации</v>
      </c>
      <c r="AW51" s="129"/>
      <c r="AX51" s="129"/>
      <c r="AY51" s="50">
        <v>21</v>
      </c>
    </row>
    <row r="52" s="57" customFormat="1" ht="0" customHeight="1">
      <c r="A52" s="133" t="s">
        <v>246</v>
      </c>
      <c r="B52" s="133" t="s">
        <v>247</v>
      </c>
      <c r="C52" s="133"/>
      <c r="D52" s="133"/>
      <c r="E52" s="491"/>
      <c r="F52" s="480"/>
      <c r="G52" s="133"/>
      <c r="H52" s="133"/>
      <c r="I52" s="133"/>
      <c r="J52" s="133"/>
      <c r="K52" s="133"/>
      <c r="L52" s="212"/>
      <c r="M52" s="528"/>
      <c r="N52" s="528"/>
      <c r="P52" s="167"/>
      <c r="Q52" s="524"/>
      <c r="R52" s="167"/>
      <c r="S52" s="529"/>
      <c r="T52" s="532" t="s">
        <v>410</v>
      </c>
      <c r="U52" s="531"/>
      <c r="V52" s="531"/>
      <c r="W52" s="531"/>
      <c r="X52" s="531"/>
      <c r="Y52" s="531"/>
      <c r="Z52" s="531"/>
      <c r="AA52" s="531"/>
      <c r="AB52" s="531"/>
      <c r="AC52" s="531"/>
      <c r="AD52" s="531"/>
      <c r="AE52" s="531"/>
      <c r="AF52" s="531"/>
      <c r="AG52" s="531"/>
      <c r="AH52" s="531"/>
      <c r="AI52" s="531"/>
      <c r="AJ52" s="531"/>
      <c r="AK52" s="531"/>
      <c r="AL52" s="531"/>
      <c r="AM52" s="531"/>
      <c r="AN52" s="531"/>
      <c r="AO52" s="531"/>
      <c r="AP52" s="531"/>
      <c r="AQ52" s="531"/>
      <c r="AR52" s="531"/>
      <c r="AS52" s="531"/>
      <c r="AU52" s="129"/>
      <c r="AV52" s="129" t="str">
        <f t="shared" si="42"/>
        <v xml:space="preserve">Добавить централизованную систему для дифференциации</v>
      </c>
      <c r="AW52" s="129"/>
      <c r="AX52" s="129"/>
      <c r="AY52" s="57">
        <v>0</v>
      </c>
    </row>
    <row r="53" s="57" customFormat="1" ht="0" customHeight="1">
      <c r="A53" s="133" t="s">
        <v>246</v>
      </c>
      <c r="B53" s="133"/>
      <c r="C53" s="133"/>
      <c r="D53" s="133"/>
      <c r="E53" s="480"/>
      <c r="F53" s="133"/>
      <c r="G53" s="133"/>
      <c r="H53" s="133"/>
      <c r="I53" s="133"/>
      <c r="J53" s="133"/>
      <c r="K53" s="133"/>
      <c r="L53" s="212"/>
      <c r="M53" s="528"/>
      <c r="N53" s="528"/>
      <c r="O53" s="57"/>
      <c r="P53" s="167"/>
      <c r="Q53" s="524"/>
      <c r="R53" s="167"/>
      <c r="S53" s="529"/>
      <c r="T53" s="532" t="s">
        <v>411</v>
      </c>
      <c r="U53" s="531"/>
      <c r="V53" s="531"/>
      <c r="W53" s="531"/>
      <c r="X53" s="531"/>
      <c r="Y53" s="531"/>
      <c r="Z53" s="531"/>
      <c r="AA53" s="531"/>
      <c r="AB53" s="531"/>
      <c r="AC53" s="531"/>
      <c r="AD53" s="531"/>
      <c r="AE53" s="531"/>
      <c r="AF53" s="531"/>
      <c r="AG53" s="531"/>
      <c r="AH53" s="531"/>
      <c r="AI53" s="531"/>
      <c r="AJ53" s="531"/>
      <c r="AK53" s="531"/>
      <c r="AL53" s="531"/>
      <c r="AM53" s="531"/>
      <c r="AN53" s="531"/>
      <c r="AO53" s="531"/>
      <c r="AP53" s="531"/>
      <c r="AQ53" s="531"/>
      <c r="AR53" s="531"/>
      <c r="AS53" s="531"/>
      <c r="AU53" s="129"/>
      <c r="AV53" s="129" t="str">
        <f t="shared" si="42"/>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28"/>
      <c r="N54" s="528"/>
      <c r="P54" s="167"/>
      <c r="Q54" s="524"/>
      <c r="R54" s="167"/>
      <c r="S54" s="529"/>
      <c r="T54" s="532" t="s">
        <v>443</v>
      </c>
      <c r="U54" s="531"/>
      <c r="V54" s="531"/>
      <c r="W54" s="531"/>
      <c r="X54" s="531"/>
      <c r="Y54" s="531"/>
      <c r="Z54" s="531"/>
      <c r="AA54" s="531"/>
      <c r="AB54" s="531"/>
      <c r="AC54" s="531"/>
      <c r="AD54" s="531"/>
      <c r="AE54" s="531"/>
      <c r="AF54" s="531"/>
      <c r="AG54" s="531"/>
      <c r="AH54" s="531"/>
      <c r="AI54" s="531"/>
      <c r="AJ54" s="531"/>
      <c r="AK54" s="531"/>
      <c r="AL54" s="531"/>
      <c r="AM54" s="531"/>
      <c r="AN54" s="531"/>
      <c r="AO54" s="531"/>
      <c r="AP54" s="531"/>
      <c r="AQ54" s="531"/>
      <c r="AR54" s="531"/>
      <c r="AS54" s="531"/>
      <c r="AU54" s="129"/>
      <c r="AV54" s="129" t="str">
        <f t="shared" si="42"/>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76"/>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Y56" s="50">
        <v>14</v>
      </c>
    </row>
    <row r="57" ht="14.65" customHeight="1">
      <c r="O57" s="53"/>
      <c r="AY57" s="50">
        <v>14</v>
      </c>
    </row>
    <row r="58" ht="14.65" customHeight="1">
      <c r="O58" s="53"/>
      <c r="S58" s="476"/>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78">
        <v>3</v>
      </c>
      <c r="R59" s="478">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40081-00C3-4AA2-A674-0044009300F0}"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E3005C-0090-4281-8870-002C00E2009A}"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7E0078-00E8-45A6-B11D-009D00430088}"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340043-006A-4344-B656-00FE0077008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120</v>
      </c>
      <c r="U2" s="486"/>
      <c r="V2" s="487"/>
      <c r="W2" s="488"/>
      <c r="X2" s="488"/>
      <c r="Y2" s="488"/>
      <c r="Z2" s="488"/>
      <c r="AA2" s="488"/>
      <c r="AB2" s="488"/>
      <c r="AC2" s="488"/>
      <c r="AD2" s="488"/>
      <c r="AE2" s="488"/>
      <c r="AF2" s="489"/>
      <c r="AG2" s="487" t="e">
        <f>INDEX(PT_DIFFERENTIATION_NTAR,MATCH(A2,PT_DIFFERENTIATION_NTAR_ID,0))</f>
        <v>#VALUE!</v>
      </c>
      <c r="AH2" s="488"/>
      <c r="AI2" s="488"/>
      <c r="AJ2" s="488"/>
      <c r="AK2" s="488"/>
      <c r="AL2" s="488"/>
      <c r="AM2" s="488"/>
      <c r="AN2" s="488"/>
      <c r="AO2" s="488"/>
      <c r="AP2" s="488"/>
      <c r="AQ2" s="488"/>
      <c r="AR2" s="489"/>
      <c r="AS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3">IF(T2="","",T2)</f>
        <v xml:space="preserve">Наименование тарифа</v>
      </c>
      <c r="AW2" s="129"/>
      <c r="AX2" s="129"/>
      <c r="AY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392</v>
      </c>
      <c r="U3" s="486"/>
      <c r="V3" s="487"/>
      <c r="W3" s="488"/>
      <c r="X3" s="488"/>
      <c r="Y3" s="488"/>
      <c r="Z3" s="488"/>
      <c r="AA3" s="488"/>
      <c r="AB3" s="488"/>
      <c r="AC3" s="488"/>
      <c r="AD3" s="488"/>
      <c r="AE3" s="488"/>
      <c r="AF3" s="489"/>
      <c r="AG3" s="487" t="e">
        <f>INDEX(PT_DIFFERENTIATION_TER,MATCH(B3,PT_DIFFERENTIATION_TER_ID,0))</f>
        <v>#VALUE!</v>
      </c>
      <c r="AH3" s="488"/>
      <c r="AI3" s="488"/>
      <c r="AJ3" s="488"/>
      <c r="AK3" s="488"/>
      <c r="AL3" s="488"/>
      <c r="AM3" s="488"/>
      <c r="AN3" s="488"/>
      <c r="AO3" s="488"/>
      <c r="AP3" s="488"/>
      <c r="AQ3" s="488"/>
      <c r="AR3" s="489"/>
      <c r="AS3" s="490" t="s">
        <v>393</v>
      </c>
      <c r="AU3" s="129"/>
      <c r="AV3" s="129" t="str">
        <f t="shared" si="43"/>
        <v xml:space="preserve">Территория действия тарифа</v>
      </c>
      <c r="AW3" s="129"/>
      <c r="AX3" s="129"/>
      <c r="AY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525</v>
      </c>
      <c r="U4" s="486"/>
      <c r="V4" s="487"/>
      <c r="W4" s="488"/>
      <c r="X4" s="488"/>
      <c r="Y4" s="488"/>
      <c r="Z4" s="488"/>
      <c r="AA4" s="488"/>
      <c r="AB4" s="488"/>
      <c r="AC4" s="488"/>
      <c r="AD4" s="488"/>
      <c r="AE4" s="488"/>
      <c r="AF4" s="489"/>
      <c r="AG4" s="487" t="e">
        <f>INDEX(PT_DIFFERENTIATION_CS,MATCH(C4,PT_DIFFERENTIATION_CS_ID,0))</f>
        <v>#VALUE!</v>
      </c>
      <c r="AH4" s="488"/>
      <c r="AI4" s="488"/>
      <c r="AJ4" s="488"/>
      <c r="AK4" s="488"/>
      <c r="AL4" s="488"/>
      <c r="AM4" s="488"/>
      <c r="AN4" s="488"/>
      <c r="AO4" s="488"/>
      <c r="AP4" s="488"/>
      <c r="AQ4" s="488"/>
      <c r="AR4" s="489"/>
      <c r="AS4" s="490" t="s">
        <v>526</v>
      </c>
      <c r="AU4" s="129"/>
      <c r="AV4" s="129" t="str">
        <f t="shared" si="43"/>
        <v xml:space="preserve">Наименование централизованной системы горячего водоснабжения</v>
      </c>
      <c r="AW4" s="129"/>
      <c r="AX4" s="129"/>
      <c r="AY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478</v>
      </c>
      <c r="U5" s="486"/>
      <c r="V5" s="676"/>
      <c r="W5" s="677"/>
      <c r="X5" s="677"/>
      <c r="Y5" s="677"/>
      <c r="Z5" s="677"/>
      <c r="AA5" s="677"/>
      <c r="AB5" s="677"/>
      <c r="AC5" s="677"/>
      <c r="AD5" s="677"/>
      <c r="AE5" s="677"/>
      <c r="AF5" s="678"/>
      <c r="AG5" s="679"/>
      <c r="AH5" s="680"/>
      <c r="AI5" s="680"/>
      <c r="AJ5" s="680"/>
      <c r="AK5" s="680"/>
      <c r="AL5" s="680"/>
      <c r="AM5" s="680"/>
      <c r="AN5" s="680"/>
      <c r="AO5" s="680"/>
      <c r="AP5" s="680"/>
      <c r="AQ5" s="680"/>
      <c r="AR5" s="681"/>
      <c r="AS5" s="490" t="s">
        <v>479</v>
      </c>
      <c r="AU5" s="129"/>
      <c r="AV5" s="129" t="str">
        <f t="shared" si="43"/>
        <v xml:space="preserve">Наименование признака дифференциации</v>
      </c>
      <c r="AW5" s="129"/>
      <c r="AX5" s="129"/>
      <c r="AY5" s="50">
        <v>0</v>
      </c>
    </row>
    <row r="6" ht="23.25" hidden="1" customHeight="1">
      <c r="A6" s="479"/>
      <c r="B6" s="479"/>
      <c r="C6" s="479"/>
      <c r="D6" s="479"/>
      <c r="E6" s="491"/>
      <c r="F6" s="491"/>
      <c r="G6" s="491"/>
      <c r="H6" s="491"/>
      <c r="I6" s="503"/>
      <c r="J6" s="498" t="e">
        <f>I5&amp;".1"</f>
        <v>#VALUE!</v>
      </c>
      <c r="K6" s="479"/>
      <c r="L6" s="481" t="s">
        <v>401</v>
      </c>
      <c r="P6" s="132"/>
      <c r="Q6" s="132">
        <v>1</v>
      </c>
      <c r="R6" s="504"/>
      <c r="S6" s="484" t="e">
        <f>$J6</f>
        <v>#VALUE!</v>
      </c>
      <c r="T6" s="505" t="s">
        <v>402</v>
      </c>
      <c r="U6" s="486"/>
      <c r="V6" s="431"/>
      <c r="W6" s="501"/>
      <c r="X6" s="501"/>
      <c r="Y6" s="501"/>
      <c r="Z6" s="501"/>
      <c r="AA6" s="501"/>
      <c r="AB6" s="501"/>
      <c r="AC6" s="501"/>
      <c r="AD6" s="501"/>
      <c r="AE6" s="501"/>
      <c r="AF6" s="502"/>
      <c r="AG6" s="431"/>
      <c r="AH6" s="501"/>
      <c r="AI6" s="501"/>
      <c r="AJ6" s="501"/>
      <c r="AK6" s="501"/>
      <c r="AL6" s="501"/>
      <c r="AM6" s="501"/>
      <c r="AN6" s="501"/>
      <c r="AO6" s="501"/>
      <c r="AP6" s="501"/>
      <c r="AQ6" s="501"/>
      <c r="AR6" s="502"/>
      <c r="AS6" s="617" t="s">
        <v>480</v>
      </c>
      <c r="AU6" s="129"/>
      <c r="AV6" s="129" t="str">
        <f t="shared" si="43"/>
        <v xml:space="preserve">Группа потребителей</v>
      </c>
      <c r="AW6" s="129"/>
      <c r="AX6" s="129"/>
      <c r="AY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7"/>
      <c r="Y7" s="507"/>
      <c r="Z7" s="507"/>
      <c r="AA7" s="507"/>
      <c r="AB7" s="509"/>
      <c r="AC7" s="510"/>
      <c r="AD7" s="224" t="s">
        <v>65</v>
      </c>
      <c r="AE7" s="510"/>
      <c r="AF7" s="224" t="s">
        <v>65</v>
      </c>
      <c r="AG7" s="507"/>
      <c r="AH7" s="507"/>
      <c r="AI7" s="507"/>
      <c r="AJ7" s="507"/>
      <c r="AK7" s="507"/>
      <c r="AL7" s="507"/>
      <c r="AM7" s="509"/>
      <c r="AN7" s="510"/>
      <c r="AO7" s="224" t="s">
        <v>65</v>
      </c>
      <c r="AP7" s="570"/>
      <c r="AQ7" s="224" t="s">
        <v>65</v>
      </c>
      <c r="AR7" s="683"/>
      <c r="AS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3"/>
        <v/>
      </c>
      <c r="AW7" s="129"/>
      <c r="AX7" s="129"/>
      <c r="AY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08"/>
      <c r="Y8" s="508"/>
      <c r="Z8" s="508"/>
      <c r="AA8" s="508"/>
      <c r="AB8" s="512" t="str">
        <f>AC7&amp;"-"&amp;AE7</f>
        <v>-</v>
      </c>
      <c r="AC8" s="513"/>
      <c r="AD8" s="224"/>
      <c r="AE8" s="513"/>
      <c r="AF8" s="224"/>
      <c r="AG8" s="508"/>
      <c r="AH8" s="508"/>
      <c r="AI8" s="508"/>
      <c r="AJ8" s="508"/>
      <c r="AK8" s="508"/>
      <c r="AL8" s="508"/>
      <c r="AM8" s="512" t="str">
        <f>AN7&amp;"-"&amp;AP7</f>
        <v>-</v>
      </c>
      <c r="AN8" s="513"/>
      <c r="AO8" s="224"/>
      <c r="AP8" s="572"/>
      <c r="AQ8" s="224"/>
      <c r="AR8" s="685"/>
      <c r="AS8" s="684"/>
      <c r="AU8" s="129"/>
      <c r="AV8" s="129" t="str">
        <f t="shared" si="43"/>
        <v/>
      </c>
      <c r="AW8" s="129"/>
      <c r="AX8" s="129"/>
      <c r="AY8" s="50">
        <v>0</v>
      </c>
    </row>
    <row r="9" ht="21" hidden="1" customHeight="1">
      <c r="A9" s="479"/>
      <c r="B9" s="479"/>
      <c r="C9" s="479"/>
      <c r="D9" s="479"/>
      <c r="E9" s="491"/>
      <c r="F9" s="491"/>
      <c r="G9" s="491"/>
      <c r="H9" s="491"/>
      <c r="I9" s="503"/>
      <c r="J9" s="498"/>
      <c r="K9" s="479"/>
      <c r="L9" s="481"/>
      <c r="P9" s="132"/>
      <c r="Q9" s="132"/>
      <c r="R9" s="499"/>
      <c r="S9" s="515"/>
      <c r="T9" s="519" t="s">
        <v>481</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0" t="s">
        <v>482</v>
      </c>
      <c r="AU9" s="129"/>
      <c r="AV9" s="129" t="str">
        <f t="shared" si="43"/>
        <v xml:space="preserve">Добавить значение признака дифференциации</v>
      </c>
      <c r="AW9" s="129"/>
      <c r="AX9" s="129"/>
      <c r="AY9" s="50">
        <v>0</v>
      </c>
    </row>
    <row r="10" ht="21" hidden="1" customHeight="1">
      <c r="A10" s="479"/>
      <c r="B10" s="479"/>
      <c r="C10" s="479"/>
      <c r="D10" s="479"/>
      <c r="E10" s="491"/>
      <c r="F10" s="491"/>
      <c r="G10" s="491"/>
      <c r="H10" s="491"/>
      <c r="I10" s="498"/>
      <c r="J10" s="479"/>
      <c r="K10" s="479"/>
      <c r="L10" s="481"/>
      <c r="P10" s="132"/>
      <c r="Q10" s="132"/>
      <c r="R10" s="499"/>
      <c r="S10" s="515"/>
      <c r="T10" s="523" t="s">
        <v>407</v>
      </c>
      <c r="U10" s="214"/>
      <c r="V10" s="214"/>
      <c r="W10" s="214"/>
      <c r="X10" s="214"/>
      <c r="Y10" s="214"/>
      <c r="Z10" s="214"/>
      <c r="AA10" s="214"/>
      <c r="AB10" s="214"/>
      <c r="AC10" s="214"/>
      <c r="AD10" s="214"/>
      <c r="AE10" s="214"/>
      <c r="AF10" s="520"/>
      <c r="AG10" s="214"/>
      <c r="AH10" s="214"/>
      <c r="AI10" s="214"/>
      <c r="AJ10" s="214"/>
      <c r="AK10" s="214"/>
      <c r="AL10" s="214"/>
      <c r="AM10" s="214"/>
      <c r="AN10" s="214"/>
      <c r="AO10" s="214"/>
      <c r="AP10" s="214"/>
      <c r="AQ10" s="520"/>
      <c r="AR10" s="214"/>
      <c r="AS10" s="686"/>
      <c r="AU10" s="129"/>
      <c r="AV10" s="129" t="str">
        <f t="shared" ref="AV10:AV54" si="44">IF(T10="","",T10)</f>
        <v xml:space="preserve">Добавить группу потребителей</v>
      </c>
      <c r="AW10" s="129"/>
      <c r="AX10" s="129"/>
      <c r="AY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483</v>
      </c>
      <c r="U11" s="214"/>
      <c r="V11" s="214"/>
      <c r="W11" s="214"/>
      <c r="X11" s="214"/>
      <c r="Y11" s="214"/>
      <c r="Z11" s="214"/>
      <c r="AA11" s="214"/>
      <c r="AB11" s="214"/>
      <c r="AC11" s="214"/>
      <c r="AD11" s="214"/>
      <c r="AE11" s="214"/>
      <c r="AF11" s="520"/>
      <c r="AG11" s="214"/>
      <c r="AH11" s="214"/>
      <c r="AI11" s="214"/>
      <c r="AJ11" s="214"/>
      <c r="AK11" s="214"/>
      <c r="AL11" s="214"/>
      <c r="AM11" s="214"/>
      <c r="AN11" s="214"/>
      <c r="AO11" s="214"/>
      <c r="AP11" s="214"/>
      <c r="AQ11" s="520"/>
      <c r="AR11" s="214"/>
      <c r="AS11" s="521"/>
      <c r="AU11" s="129"/>
      <c r="AV11" s="129" t="str">
        <f t="shared" si="44"/>
        <v xml:space="preserve">Добавить наименование признака дифференциации</v>
      </c>
      <c r="AW11" s="129"/>
      <c r="AX11" s="129"/>
      <c r="AY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410</v>
      </c>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U12" s="129"/>
      <c r="AV12" s="129" t="str">
        <f t="shared" si="44"/>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411</v>
      </c>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U13" s="129"/>
      <c r="AV13" s="129" t="str">
        <f t="shared" si="44"/>
        <v xml:space="preserve">Добавить территорию для дифференциации</v>
      </c>
      <c r="AW13" s="129"/>
      <c r="AX13" s="129"/>
      <c r="AY13" s="57">
        <v>0</v>
      </c>
    </row>
    <row r="14" ht="14.25" hidden="1" customHeight="1">
      <c r="AF14" s="50"/>
      <c r="AQ14" s="50"/>
      <c r="AY14" s="50">
        <v>0</v>
      </c>
    </row>
    <row r="15" ht="14.25" hidden="1" customHeight="1">
      <c r="AG15" s="533"/>
      <c r="AH15" s="533"/>
      <c r="AI15" s="533"/>
      <c r="AJ15" s="533"/>
      <c r="AK15" s="533"/>
      <c r="AL15" s="533"/>
      <c r="AM15" s="534"/>
      <c r="AN15" s="535"/>
      <c r="AO15" s="536" t="s">
        <v>65</v>
      </c>
      <c r="AP15" s="535"/>
      <c r="AQ15" s="536" t="s">
        <v>65</v>
      </c>
      <c r="AY15" s="50">
        <v>0</v>
      </c>
    </row>
    <row r="16" ht="14.25" hidden="1" customHeight="1">
      <c r="AG16" s="533"/>
      <c r="AH16" s="533"/>
      <c r="AI16" s="533"/>
      <c r="AJ16" s="533"/>
      <c r="AK16" s="533"/>
      <c r="AL16" s="533"/>
      <c r="AM16" s="512" t="str">
        <f>AN15&amp;"-"&amp;AP15</f>
        <v>-</v>
      </c>
      <c r="AN16" s="536"/>
      <c r="AO16" s="536"/>
      <c r="AP16" s="536"/>
      <c r="AQ16" s="536"/>
      <c r="AY16" s="50">
        <v>0</v>
      </c>
    </row>
    <row r="17" ht="14.25" hidden="1" customHeight="1">
      <c r="AQ17" s="50"/>
      <c r="AY17" s="50">
        <v>0</v>
      </c>
    </row>
    <row r="18" s="53" customFormat="1" ht="22.5" hidden="1" customHeight="1">
      <c r="L18" s="114"/>
      <c r="M18" s="61"/>
      <c r="N18" s="61"/>
      <c r="O18" s="537" t="s">
        <v>412</v>
      </c>
      <c r="P18" s="61"/>
      <c r="Q18" s="538"/>
      <c r="R18" s="538"/>
      <c r="S18" s="482"/>
      <c r="W18" s="53"/>
      <c r="X18" s="53"/>
      <c r="Y18" s="53"/>
      <c r="Z18" s="53"/>
      <c r="AA18" s="53"/>
      <c r="AC18" s="537"/>
      <c r="AE18" s="537"/>
      <c r="AF18" s="53"/>
      <c r="AH18" s="53"/>
      <c r="AI18" s="53"/>
      <c r="AJ18" s="53"/>
      <c r="AK18" s="53"/>
      <c r="AL18" s="53"/>
      <c r="AN18" s="537"/>
      <c r="AP18" s="537"/>
      <c r="AQ18" s="53"/>
      <c r="AT18" s="57"/>
      <c r="AU18" s="57"/>
      <c r="AV18" s="57"/>
      <c r="AW18" s="57"/>
      <c r="AX18" s="57"/>
      <c r="AY18" s="53">
        <v>0</v>
      </c>
    </row>
    <row r="19" s="53" customFormat="1" ht="14.25" hidden="1" customHeight="1">
      <c r="L19" s="114"/>
      <c r="M19" s="61"/>
      <c r="N19" s="61"/>
      <c r="O19" s="61"/>
      <c r="P19" s="61"/>
      <c r="Q19" s="538"/>
      <c r="R19" s="538"/>
      <c r="S19" s="482"/>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81" t="s">
        <v>413</v>
      </c>
      <c r="P20" s="61"/>
      <c r="Q20" s="688"/>
      <c r="R20" s="688"/>
      <c r="S20" s="482"/>
      <c r="T20" s="53" t="s">
        <v>414</v>
      </c>
      <c r="W20" s="53"/>
      <c r="X20" s="53"/>
      <c r="Y20" s="53"/>
      <c r="Z20" s="53"/>
      <c r="AA20" s="53"/>
      <c r="AD20" s="151" t="s">
        <v>415</v>
      </c>
      <c r="AF20" s="151" t="s">
        <v>416</v>
      </c>
      <c r="AG20" s="53" t="s">
        <v>414</v>
      </c>
      <c r="AH20" s="53"/>
      <c r="AI20" s="53"/>
      <c r="AJ20" s="53"/>
      <c r="AK20" s="53"/>
      <c r="AL20" s="53"/>
      <c r="AO20" s="151" t="s">
        <v>417</v>
      </c>
      <c r="AQ20" s="151" t="s">
        <v>416</v>
      </c>
      <c r="AY20" s="53">
        <v>0</v>
      </c>
    </row>
    <row r="21" ht="14.25" hidden="1" customHeight="1">
      <c r="O21" s="481"/>
      <c r="AY21" s="50">
        <v>0</v>
      </c>
    </row>
    <row r="22" ht="14.25" hidden="1" customHeight="1">
      <c r="O22" s="481"/>
      <c r="AY22" s="50">
        <v>0</v>
      </c>
    </row>
    <row r="23" ht="14.65" customHeight="1">
      <c r="Q23" s="539"/>
      <c r="R23" s="539"/>
      <c r="S23" s="540"/>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39"/>
      <c r="R24" s="539"/>
      <c r="S24" s="452"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240"/>
      <c r="AY24" s="50">
        <v>25</v>
      </c>
    </row>
    <row r="25" ht="14.65" customHeight="1">
      <c r="Q25" s="539"/>
      <c r="R25" s="539"/>
      <c r="S25" s="303" t="str">
        <f>IF(org=0,"Не определено",org)</f>
        <v xml:space="preserve">АО "ДГК" СП "Биробиджанская ТЭЦ"</v>
      </c>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3"/>
      <c r="AQ25" s="240"/>
      <c r="AY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0"/>
      <c r="AY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44"/>
      <c r="AC27" s="544"/>
      <c r="AD27" s="544"/>
      <c r="AE27" s="544"/>
      <c r="AF27" s="50"/>
      <c r="AG27" s="544" t="str">
        <f>IF(TITLE_NAME_OR_PR_CHANGE="",IF(TITLE_NAME_OR_PR="","",TITLE_NAME_OR_PR),TITLE_NAME_OR_PR_CHANGE)</f>
        <v/>
      </c>
      <c r="AH27" s="544"/>
      <c r="AI27" s="544"/>
      <c r="AJ27" s="544"/>
      <c r="AK27" s="544"/>
      <c r="AL27" s="544"/>
      <c r="AM27" s="544"/>
      <c r="AN27" s="544"/>
      <c r="AO27" s="544"/>
      <c r="AP27" s="544"/>
      <c r="AQ27" s="50"/>
      <c r="AR27" s="50"/>
      <c r="AS27" s="545"/>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81"/>
      <c r="M28" s="151"/>
      <c r="N28" s="151"/>
      <c r="O28" s="151"/>
      <c r="S28" s="542" t="s">
        <v>418</v>
      </c>
      <c r="T28" s="542"/>
      <c r="U28" s="543"/>
      <c r="V28" s="546" t="str">
        <f>IF(TITLE_DATE_PR_CHANGE="",IF(TITLE_DATE_PR="","",TITLE_DATE_PR),TITLE_DATE_PR_CHANGE)</f>
        <v/>
      </c>
      <c r="W28" s="546"/>
      <c r="X28" s="546"/>
      <c r="Y28" s="546"/>
      <c r="Z28" s="546"/>
      <c r="AA28" s="546"/>
      <c r="AB28" s="546"/>
      <c r="AC28" s="546"/>
      <c r="AD28" s="546"/>
      <c r="AE28" s="546"/>
      <c r="AF28" s="50"/>
      <c r="AG28" s="546" t="str">
        <f>IF(TITLE_DATE_PR_CHANGE="",IF(TITLE_DATE_PR="","",TITLE_DATE_PR),TITLE_DATE_PR_CHANGE)</f>
        <v/>
      </c>
      <c r="AH28" s="546"/>
      <c r="AI28" s="546"/>
      <c r="AJ28" s="546"/>
      <c r="AK28" s="546"/>
      <c r="AL28" s="546"/>
      <c r="AM28" s="546"/>
      <c r="AN28" s="546"/>
      <c r="AO28" s="546"/>
      <c r="AP28" s="546"/>
      <c r="AQ28" s="50"/>
      <c r="AR28" s="50"/>
      <c r="AS28" s="545"/>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81"/>
      <c r="M29" s="151"/>
      <c r="N29" s="151"/>
      <c r="O29" s="151"/>
      <c r="S29" s="542" t="s">
        <v>419</v>
      </c>
      <c r="T29" s="542"/>
      <c r="U29" s="543"/>
      <c r="V29" s="544" t="str">
        <f>IF(TITLE_NUMBER_PR_CHANGE="",IF(TITLE_NUMBER_PR="","",TITLE_NUMBER_PR),TITLE_NUMBER_PR_CHANGE)</f>
        <v/>
      </c>
      <c r="W29" s="544"/>
      <c r="X29" s="544"/>
      <c r="Y29" s="544"/>
      <c r="Z29" s="544"/>
      <c r="AA29" s="544"/>
      <c r="AB29" s="544"/>
      <c r="AC29" s="544"/>
      <c r="AD29" s="544"/>
      <c r="AE29" s="544"/>
      <c r="AF29" s="50"/>
      <c r="AG29" s="544" t="str">
        <f>IF(TITLE_NUMBER_PR_CHANGE="",IF(TITLE_NUMBER_PR="","",TITLE_NUMBER_PR),TITLE_NUMBER_PR_CHANGE)</f>
        <v/>
      </c>
      <c r="AH29" s="544"/>
      <c r="AI29" s="544"/>
      <c r="AJ29" s="544"/>
      <c r="AK29" s="544"/>
      <c r="AL29" s="544"/>
      <c r="AM29" s="544"/>
      <c r="AN29" s="544"/>
      <c r="AO29" s="544"/>
      <c r="AP29" s="544"/>
      <c r="AQ29" s="50"/>
      <c r="AR29" s="50"/>
      <c r="AS29" s="545"/>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44"/>
      <c r="AC30" s="544"/>
      <c r="AD30" s="544"/>
      <c r="AE30" s="544"/>
      <c r="AF30" s="50"/>
      <c r="AG30" s="544" t="str">
        <f>IF(TITLE_IST_PUB_CHANGE="",IF(TITLE_IST_PUB="","",TITLE_IST_PUB),TITLE_IST_PUB_CHANGE)</f>
        <v/>
      </c>
      <c r="AH30" s="544"/>
      <c r="AI30" s="544"/>
      <c r="AJ30" s="544"/>
      <c r="AK30" s="544"/>
      <c r="AL30" s="544"/>
      <c r="AM30" s="544"/>
      <c r="AN30" s="544"/>
      <c r="AO30" s="544"/>
      <c r="AP30" s="544"/>
      <c r="AQ30" s="50"/>
      <c r="AR30" s="50"/>
      <c r="AS30" s="545"/>
      <c r="AT30" s="129"/>
      <c r="AU30" s="129"/>
      <c r="AV30" s="129"/>
      <c r="AW30" s="129"/>
      <c r="AX30" s="129"/>
      <c r="AY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41"/>
      <c r="AK31" s="541"/>
      <c r="AL31" s="541"/>
      <c r="AM31" s="541"/>
      <c r="AN31" s="541"/>
      <c r="AO31" s="541"/>
      <c r="AP31" s="541"/>
      <c r="AQ31" s="541"/>
      <c r="AR31" s="50"/>
      <c r="AY31" s="50">
        <v>0</v>
      </c>
    </row>
    <row r="32" s="184" customFormat="1" ht="18.75" hidden="1" customHeight="1">
      <c r="A32" s="151"/>
      <c r="B32" s="151"/>
      <c r="C32" s="151"/>
      <c r="D32" s="151"/>
      <c r="E32" s="151"/>
      <c r="F32" s="151"/>
      <c r="G32" s="151"/>
      <c r="H32" s="151"/>
      <c r="I32" s="151"/>
      <c r="J32" s="151"/>
      <c r="K32" s="151"/>
      <c r="L32" s="481"/>
      <c r="M32" s="151"/>
      <c r="N32" s="151"/>
      <c r="O32" s="151"/>
      <c r="S32" s="542" t="s">
        <v>420</v>
      </c>
      <c r="T32" s="542"/>
      <c r="U32" s="543"/>
      <c r="V32" s="546" t="str">
        <f>IF(TITLE_DATE_PR_CHANGE="",IF(TITLE_DATE_PR="","",TITLE_DATE_PR),TITLE_DATE_PR_CHANGE)</f>
        <v/>
      </c>
      <c r="W32" s="546"/>
      <c r="X32" s="546"/>
      <c r="Y32" s="546"/>
      <c r="Z32" s="546"/>
      <c r="AA32" s="546"/>
      <c r="AB32" s="546"/>
      <c r="AC32" s="546"/>
      <c r="AD32" s="546"/>
      <c r="AE32" s="546"/>
      <c r="AF32" s="50"/>
      <c r="AG32" s="546" t="str">
        <f>IF(TITLE_DATE_PR_CHANGE="",IF(TITLE_DATE_PR="","",TITLE_DATE_PR),TITLE_DATE_PR_CHANGE)</f>
        <v/>
      </c>
      <c r="AH32" s="546"/>
      <c r="AI32" s="546"/>
      <c r="AJ32" s="546"/>
      <c r="AK32" s="546"/>
      <c r="AL32" s="546"/>
      <c r="AM32" s="546"/>
      <c r="AN32" s="546"/>
      <c r="AO32" s="546"/>
      <c r="AP32" s="546"/>
      <c r="AQ32" s="50"/>
      <c r="AR32" s="50"/>
      <c r="AS32" s="545"/>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1"/>
      <c r="M33" s="151"/>
      <c r="N33" s="151"/>
      <c r="O33" s="151"/>
      <c r="S33" s="542" t="s">
        <v>421</v>
      </c>
      <c r="T33" s="542"/>
      <c r="U33" s="543"/>
      <c r="V33" s="544" t="str">
        <f>IF(TITLE_NUMBER_PR_CHANGE="",IF(TITLE_NUMBER_PR="","",TITLE_NUMBER_PR),TITLE_NUMBER_PR_CHANGE)</f>
        <v/>
      </c>
      <c r="W33" s="544"/>
      <c r="X33" s="544"/>
      <c r="Y33" s="544"/>
      <c r="Z33" s="544"/>
      <c r="AA33" s="544"/>
      <c r="AB33" s="544"/>
      <c r="AC33" s="544"/>
      <c r="AD33" s="544"/>
      <c r="AE33" s="544"/>
      <c r="AF33" s="50"/>
      <c r="AG33" s="544" t="str">
        <f>IF(TITLE_NUMBER_PR_CHANGE="",IF(TITLE_NUMBER_PR="","",TITLE_NUMBER_PR),TITLE_NUMBER_PR_CHANGE)</f>
        <v/>
      </c>
      <c r="AH33" s="544"/>
      <c r="AI33" s="544"/>
      <c r="AJ33" s="544"/>
      <c r="AK33" s="544"/>
      <c r="AL33" s="544"/>
      <c r="AM33" s="544"/>
      <c r="AN33" s="544"/>
      <c r="AO33" s="544"/>
      <c r="AP33" s="544"/>
      <c r="AQ33" s="50"/>
      <c r="AR33" s="50"/>
      <c r="AS33" s="545"/>
      <c r="AT33" s="129"/>
      <c r="AU33" s="129"/>
      <c r="AV33" s="129"/>
      <c r="AW33" s="129"/>
      <c r="AX33" s="129"/>
      <c r="AY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0"/>
      <c r="AC34" s="50"/>
      <c r="AD34" s="50"/>
      <c r="AE34" s="50"/>
      <c r="AF34" s="57" t="s">
        <v>422</v>
      </c>
      <c r="AG34" s="50"/>
      <c r="AH34" s="50"/>
      <c r="AI34" s="50"/>
      <c r="AJ34" s="50"/>
      <c r="AK34" s="50"/>
      <c r="AL34" s="50"/>
      <c r="AM34" s="50"/>
      <c r="AN34" s="50"/>
      <c r="AO34" s="50"/>
      <c r="AP34" s="50"/>
      <c r="AQ34" s="57" t="s">
        <v>422</v>
      </c>
      <c r="AT34" s="129"/>
      <c r="AU34" s="129"/>
      <c r="AV34" s="129"/>
      <c r="AW34" s="129"/>
      <c r="AX34" s="129"/>
      <c r="AY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Y35" s="50">
        <v>14</v>
      </c>
    </row>
    <row r="36" ht="14.65" customHeight="1">
      <c r="Q36" s="539"/>
      <c r="R36" s="539"/>
      <c r="S36" s="157" t="s">
        <v>295</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296</v>
      </c>
      <c r="AY36" s="50">
        <v>14</v>
      </c>
    </row>
    <row r="37" ht="14.65" customHeight="1">
      <c r="Q37" s="539"/>
      <c r="R37" s="539"/>
      <c r="S37" s="484" t="s">
        <v>88</v>
      </c>
      <c r="T37" s="347" t="s">
        <v>423</v>
      </c>
      <c r="U37" s="549"/>
      <c r="V37" s="550" t="s">
        <v>424</v>
      </c>
      <c r="W37" s="551"/>
      <c r="X37" s="551"/>
      <c r="Y37" s="551"/>
      <c r="Z37" s="551"/>
      <c r="AA37" s="551"/>
      <c r="AB37" s="551"/>
      <c r="AC37" s="551"/>
      <c r="AD37" s="551"/>
      <c r="AE37" s="552"/>
      <c r="AF37" s="553" t="s">
        <v>425</v>
      </c>
      <c r="AG37" s="550" t="s">
        <v>424</v>
      </c>
      <c r="AH37" s="551"/>
      <c r="AI37" s="551"/>
      <c r="AJ37" s="551"/>
      <c r="AK37" s="551"/>
      <c r="AL37" s="551"/>
      <c r="AM37" s="551"/>
      <c r="AN37" s="551"/>
      <c r="AO37" s="551"/>
      <c r="AP37" s="552"/>
      <c r="AQ37" s="553" t="s">
        <v>426</v>
      </c>
      <c r="AR37" s="554" t="s">
        <v>427</v>
      </c>
      <c r="AS37" s="157"/>
      <c r="AY37" s="50">
        <v>14</v>
      </c>
    </row>
    <row r="38" s="50" customFormat="1" ht="19.949999999999999" customHeight="1">
      <c r="A38" s="53"/>
      <c r="B38" s="53"/>
      <c r="C38" s="53"/>
      <c r="D38" s="53"/>
      <c r="E38" s="53"/>
      <c r="F38" s="53"/>
      <c r="G38" s="53"/>
      <c r="H38" s="53"/>
      <c r="I38" s="53"/>
      <c r="J38" s="53"/>
      <c r="K38" s="53"/>
      <c r="L38" s="114"/>
      <c r="M38" s="61"/>
      <c r="N38" s="61"/>
      <c r="O38" s="61"/>
      <c r="P38" s="60"/>
      <c r="Q38" s="539"/>
      <c r="R38" s="539"/>
      <c r="S38" s="484"/>
      <c r="T38" s="347"/>
      <c r="U38" s="555"/>
      <c r="V38" s="157" t="s">
        <v>527</v>
      </c>
      <c r="W38" s="704" t="s">
        <v>528</v>
      </c>
      <c r="X38" s="704"/>
      <c r="Y38" s="704"/>
      <c r="Z38" s="704" t="s">
        <v>529</v>
      </c>
      <c r="AA38" s="704"/>
      <c r="AB38" s="704"/>
      <c r="AC38" s="304" t="s">
        <v>431</v>
      </c>
      <c r="AD38" s="626"/>
      <c r="AE38" s="305"/>
      <c r="AF38" s="557"/>
      <c r="AG38" s="157" t="s">
        <v>527</v>
      </c>
      <c r="AH38" s="704" t="s">
        <v>528</v>
      </c>
      <c r="AI38" s="704"/>
      <c r="AJ38" s="704"/>
      <c r="AK38" s="704" t="s">
        <v>529</v>
      </c>
      <c r="AL38" s="704"/>
      <c r="AM38" s="704"/>
      <c r="AN38" s="304" t="s">
        <v>431</v>
      </c>
      <c r="AO38" s="626"/>
      <c r="AP38" s="305"/>
      <c r="AQ38" s="557"/>
      <c r="AR38" s="558"/>
      <c r="AS38" s="157"/>
      <c r="AT38" s="57"/>
      <c r="AU38" s="57"/>
      <c r="AV38" s="57"/>
      <c r="AW38" s="57"/>
      <c r="AX38" s="57"/>
      <c r="AY38" s="50">
        <v>19</v>
      </c>
    </row>
    <row r="39" ht="19.949999999999999" customHeight="1">
      <c r="Q39" s="539"/>
      <c r="R39" s="539"/>
      <c r="S39" s="484"/>
      <c r="T39" s="347"/>
      <c r="U39" s="555"/>
      <c r="V39" s="157"/>
      <c r="W39" s="704" t="s">
        <v>530</v>
      </c>
      <c r="X39" s="704" t="s">
        <v>531</v>
      </c>
      <c r="Y39" s="704"/>
      <c r="Z39" s="704" t="s">
        <v>532</v>
      </c>
      <c r="AA39" s="704" t="s">
        <v>531</v>
      </c>
      <c r="AB39" s="704"/>
      <c r="AC39" s="310"/>
      <c r="AD39" s="627"/>
      <c r="AE39" s="311"/>
      <c r="AF39" s="557"/>
      <c r="AG39" s="157"/>
      <c r="AH39" s="704" t="s">
        <v>530</v>
      </c>
      <c r="AI39" s="704" t="s">
        <v>531</v>
      </c>
      <c r="AJ39" s="704"/>
      <c r="AK39" s="704" t="s">
        <v>532</v>
      </c>
      <c r="AL39" s="704" t="s">
        <v>531</v>
      </c>
      <c r="AM39" s="704"/>
      <c r="AN39" s="310"/>
      <c r="AO39" s="627"/>
      <c r="AP39" s="311"/>
      <c r="AQ39" s="557"/>
      <c r="AR39" s="558"/>
      <c r="AS39" s="157"/>
      <c r="AY39" s="50">
        <v>19</v>
      </c>
    </row>
    <row r="40" ht="61.950000000000003" customHeight="1">
      <c r="A40" s="151"/>
      <c r="B40" s="151" t="s">
        <v>132</v>
      </c>
      <c r="C40" s="151" t="s">
        <v>133</v>
      </c>
      <c r="D40" s="151" t="s">
        <v>134</v>
      </c>
      <c r="E40" s="481" t="s">
        <v>432</v>
      </c>
      <c r="F40" s="481" t="s">
        <v>433</v>
      </c>
      <c r="G40" s="481" t="s">
        <v>434</v>
      </c>
      <c r="H40" s="481"/>
      <c r="I40" s="481" t="s">
        <v>485</v>
      </c>
      <c r="J40" s="481" t="s">
        <v>437</v>
      </c>
      <c r="K40" s="481" t="s">
        <v>486</v>
      </c>
      <c r="L40" s="481" t="s">
        <v>413</v>
      </c>
      <c r="Q40" s="539"/>
      <c r="R40" s="539"/>
      <c r="S40" s="484"/>
      <c r="T40" s="347"/>
      <c r="U40" s="559"/>
      <c r="V40" s="157"/>
      <c r="W40" s="704"/>
      <c r="X40" s="704" t="s">
        <v>533</v>
      </c>
      <c r="Y40" s="704" t="s">
        <v>534</v>
      </c>
      <c r="Z40" s="704"/>
      <c r="AA40" s="704" t="s">
        <v>535</v>
      </c>
      <c r="AB40" s="704" t="s">
        <v>536</v>
      </c>
      <c r="AC40" s="246" t="s">
        <v>441</v>
      </c>
      <c r="AD40" s="415" t="s">
        <v>442</v>
      </c>
      <c r="AE40" s="417"/>
      <c r="AF40" s="561"/>
      <c r="AG40" s="157"/>
      <c r="AH40" s="704"/>
      <c r="AI40" s="704" t="s">
        <v>533</v>
      </c>
      <c r="AJ40" s="704" t="s">
        <v>534</v>
      </c>
      <c r="AK40" s="704"/>
      <c r="AL40" s="704" t="s">
        <v>535</v>
      </c>
      <c r="AM40" s="704" t="s">
        <v>536</v>
      </c>
      <c r="AN40" s="246" t="s">
        <v>441</v>
      </c>
      <c r="AO40" s="415" t="s">
        <v>442</v>
      </c>
      <c r="AP40" s="417"/>
      <c r="AQ40" s="561"/>
      <c r="AR40" s="562"/>
      <c r="AS40" s="157"/>
      <c r="AY40" s="50">
        <v>59</v>
      </c>
    </row>
    <row r="41" s="131" customFormat="1" ht="11.25" hidden="1" customHeight="1">
      <c r="A41" s="151"/>
      <c r="B41" s="151"/>
      <c r="C41" s="151"/>
      <c r="D41" s="151"/>
      <c r="E41" s="151"/>
      <c r="F41" s="151"/>
      <c r="G41" s="151"/>
      <c r="H41" s="151"/>
      <c r="I41" s="151"/>
      <c r="J41" s="151"/>
      <c r="K41" s="151"/>
      <c r="L41" s="481"/>
      <c r="M41" s="61"/>
      <c r="N41" s="61"/>
      <c r="O41" s="61"/>
      <c r="P41" s="563"/>
      <c r="Q41" s="564"/>
      <c r="R41" s="565">
        <v>1</v>
      </c>
      <c r="S41" s="566" t="s">
        <v>106</v>
      </c>
      <c r="T41" s="567" t="s">
        <v>107</v>
      </c>
      <c r="U41" s="568" t="str">
        <f ca="1">OFFSET(U41,0,-1)</f>
        <v>2</v>
      </c>
      <c r="V41" s="569">
        <f ca="1">OFFSET(V41,0,-1)+1</f>
        <v>3</v>
      </c>
      <c r="W41" s="569"/>
      <c r="X41" s="569"/>
      <c r="Y41" s="569"/>
      <c r="Z41" s="569"/>
      <c r="AA41" s="569"/>
      <c r="AB41" s="569">
        <f ca="1">OFFSET(AB41,0,-1)+1</f>
        <v>1</v>
      </c>
      <c r="AC41" s="569">
        <f ca="1">OFFSET(AC41,0,-1)+1</f>
        <v>2</v>
      </c>
      <c r="AD41" s="569">
        <f ca="1">OFFSET(AD41,0,-1)+1</f>
        <v>3</v>
      </c>
      <c r="AE41" s="569"/>
      <c r="AF41" s="569">
        <f ca="1">OFFSET(AF41,0,-2)+1</f>
        <v>4</v>
      </c>
      <c r="AG41" s="569">
        <f ca="1">OFFSET(AG41,0,-1)+1</f>
        <v>5</v>
      </c>
      <c r="AH41" s="569"/>
      <c r="AI41" s="569"/>
      <c r="AJ41" s="569"/>
      <c r="AK41" s="569"/>
      <c r="AL41" s="569"/>
      <c r="AM41" s="569">
        <f ca="1">OFFSET(AM41,0,-1)+1</f>
        <v>1</v>
      </c>
      <c r="AN41" s="569">
        <f ca="1">OFFSET(AN41,0,-1)+1</f>
        <v>2</v>
      </c>
      <c r="AO41" s="569">
        <f ca="1">OFFSET(AO41,0,-1)+1</f>
        <v>3</v>
      </c>
      <c r="AP41" s="569"/>
      <c r="AQ41" s="569">
        <f ca="1">OFFSET(AQ41,0,-2)+1</f>
        <v>4</v>
      </c>
      <c r="AR41" s="568">
        <f ca="1">OFFSET(AR41,0,-1)</f>
        <v>4</v>
      </c>
      <c r="AS41" s="569">
        <f ca="1">OFFSET(AS41,0,-1)+1</f>
        <v>5</v>
      </c>
      <c r="AT41" s="57"/>
      <c r="AU41" s="57"/>
      <c r="AV41" s="57"/>
      <c r="AW41" s="57"/>
      <c r="AX41" s="57"/>
      <c r="AY41" s="131">
        <v>0</v>
      </c>
    </row>
    <row r="42" ht="24" customHeight="1">
      <c r="A42" s="479" t="s">
        <v>251</v>
      </c>
      <c r="B42" s="479"/>
      <c r="C42" s="479"/>
      <c r="D42" s="479"/>
      <c r="E42" s="480">
        <v>1</v>
      </c>
      <c r="F42" s="479"/>
      <c r="G42" s="479"/>
      <c r="H42" s="479"/>
      <c r="I42" s="479"/>
      <c r="J42" s="479"/>
      <c r="K42" s="479"/>
      <c r="L42" s="481"/>
      <c r="M42" s="482"/>
      <c r="N42" s="482"/>
      <c r="O42" s="482"/>
      <c r="P42" s="60"/>
      <c r="Q42" s="143"/>
      <c r="R42" s="483"/>
      <c r="S42" s="484">
        <f>INDEX(PT_DIFFERENTIATION_NUM_NTAR,MATCH(A42,PT_DIFFERENTIATION_NTAR_ID,0))</f>
        <v>0</v>
      </c>
      <c r="T42" s="485" t="s">
        <v>120</v>
      </c>
      <c r="U42" s="486"/>
      <c r="V42" s="487"/>
      <c r="W42" s="488"/>
      <c r="X42" s="488"/>
      <c r="Y42" s="488"/>
      <c r="Z42" s="488"/>
      <c r="AA42" s="488"/>
      <c r="AB42" s="488"/>
      <c r="AC42" s="488"/>
      <c r="AD42" s="488"/>
      <c r="AE42" s="488"/>
      <c r="AF42" s="489"/>
      <c r="AG42" s="487" t="str">
        <f>INDEX(PT_DIFFERENTIATION_NTAR,MATCH(A42,PT_DIFFERENTIATION_NTAR_ID,0))</f>
        <v/>
      </c>
      <c r="AH42" s="488"/>
      <c r="AI42" s="488"/>
      <c r="AJ42" s="488"/>
      <c r="AK42" s="488"/>
      <c r="AL42" s="488"/>
      <c r="AM42" s="488"/>
      <c r="AN42" s="488"/>
      <c r="AO42" s="488"/>
      <c r="AP42" s="488"/>
      <c r="AQ42" s="488"/>
      <c r="AR42" s="489"/>
      <c r="AS4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4"/>
        <v xml:space="preserve">Наименование тарифа</v>
      </c>
      <c r="AW42" s="129"/>
      <c r="AX42" s="129"/>
      <c r="AY42" s="50">
        <v>23</v>
      </c>
    </row>
    <row r="43" ht="24" customHeight="1">
      <c r="A43" s="479" t="s">
        <v>251</v>
      </c>
      <c r="B43" s="479" t="s">
        <v>252</v>
      </c>
      <c r="C43" s="479"/>
      <c r="D43" s="479"/>
      <c r="E43" s="491"/>
      <c r="F43" s="480">
        <v>1</v>
      </c>
      <c r="G43" s="479"/>
      <c r="H43" s="479"/>
      <c r="I43" s="479"/>
      <c r="J43" s="479"/>
      <c r="K43" s="479"/>
      <c r="L43" s="481"/>
      <c r="M43" s="482"/>
      <c r="N43" s="482"/>
      <c r="O43" s="482"/>
      <c r="P43" s="51"/>
      <c r="Q43" s="492"/>
      <c r="R43" s="493"/>
      <c r="S43" s="484" t="str">
        <f>INDEX(PT_DIFFERENTIATION_NUM_TER,MATCH(B43,PT_DIFFERENTIATION_TER_ID,0))</f>
        <v>.</v>
      </c>
      <c r="T43" s="494" t="s">
        <v>392</v>
      </c>
      <c r="U43" s="486"/>
      <c r="V43" s="487"/>
      <c r="W43" s="488"/>
      <c r="X43" s="488"/>
      <c r="Y43" s="488"/>
      <c r="Z43" s="488"/>
      <c r="AA43" s="488"/>
      <c r="AB43" s="488"/>
      <c r="AC43" s="488"/>
      <c r="AD43" s="488"/>
      <c r="AE43" s="488"/>
      <c r="AF43" s="489"/>
      <c r="AG43" s="487" t="str">
        <f>INDEX(PT_DIFFERENTIATION_TER,MATCH(B43,PT_DIFFERENTIATION_TER_ID,0))</f>
        <v/>
      </c>
      <c r="AH43" s="488"/>
      <c r="AI43" s="488"/>
      <c r="AJ43" s="488"/>
      <c r="AK43" s="488"/>
      <c r="AL43" s="488"/>
      <c r="AM43" s="488"/>
      <c r="AN43" s="488"/>
      <c r="AO43" s="488"/>
      <c r="AP43" s="488"/>
      <c r="AQ43" s="488"/>
      <c r="AR43" s="489"/>
      <c r="AS43" s="490" t="s">
        <v>393</v>
      </c>
      <c r="AU43" s="129"/>
      <c r="AV43" s="129" t="str">
        <f t="shared" si="44"/>
        <v xml:space="preserve">Территория действия тарифа</v>
      </c>
      <c r="AW43" s="129"/>
      <c r="AX43" s="129"/>
      <c r="AY43" s="50">
        <v>23</v>
      </c>
    </row>
    <row r="44" ht="24" customHeight="1">
      <c r="A44" s="479" t="s">
        <v>251</v>
      </c>
      <c r="B44" s="479" t="s">
        <v>252</v>
      </c>
      <c r="C44" s="479" t="s">
        <v>253</v>
      </c>
      <c r="D44" s="479"/>
      <c r="E44" s="491"/>
      <c r="F44" s="491"/>
      <c r="G44" s="480">
        <v>1</v>
      </c>
      <c r="H44" s="479"/>
      <c r="I44" s="479"/>
      <c r="J44" s="479"/>
      <c r="K44" s="479"/>
      <c r="L44" s="481"/>
      <c r="M44" s="482"/>
      <c r="N44" s="482"/>
      <c r="O44" s="482"/>
      <c r="P44" s="495"/>
      <c r="Q44" s="492"/>
      <c r="R44" s="493"/>
      <c r="S44" s="484" t="str">
        <f>INDEX(PT_DIFFERENTIATION_NUM_CS,MATCH(C44,PT_DIFFERENTIATION_CS_ID,0))</f>
        <v>..</v>
      </c>
      <c r="T44" s="496" t="s">
        <v>525</v>
      </c>
      <c r="U44" s="486"/>
      <c r="V44" s="487"/>
      <c r="W44" s="488"/>
      <c r="X44" s="488"/>
      <c r="Y44" s="488"/>
      <c r="Z44" s="488"/>
      <c r="AA44" s="488"/>
      <c r="AB44" s="488"/>
      <c r="AC44" s="488"/>
      <c r="AD44" s="488"/>
      <c r="AE44" s="488"/>
      <c r="AF44" s="489"/>
      <c r="AG44" s="487" t="str">
        <f>INDEX(PT_DIFFERENTIATION_CS,MATCH(C44,PT_DIFFERENTIATION_CS_ID,0))</f>
        <v/>
      </c>
      <c r="AH44" s="488"/>
      <c r="AI44" s="488"/>
      <c r="AJ44" s="488"/>
      <c r="AK44" s="488"/>
      <c r="AL44" s="488"/>
      <c r="AM44" s="488"/>
      <c r="AN44" s="488"/>
      <c r="AO44" s="488"/>
      <c r="AP44" s="488"/>
      <c r="AQ44" s="488"/>
      <c r="AR44" s="489"/>
      <c r="AS44" s="490" t="s">
        <v>526</v>
      </c>
      <c r="AU44" s="129"/>
      <c r="AV44" s="129" t="str">
        <f t="shared" si="44"/>
        <v xml:space="preserve">Наименование централизованной системы горячего водоснабжения</v>
      </c>
      <c r="AW44" s="129"/>
      <c r="AX44" s="129"/>
      <c r="AY44" s="50">
        <v>23</v>
      </c>
    </row>
    <row r="45" ht="24" customHeight="1">
      <c r="A45" s="479" t="s">
        <v>251</v>
      </c>
      <c r="B45" s="479" t="s">
        <v>252</v>
      </c>
      <c r="C45" s="479" t="s">
        <v>253</v>
      </c>
      <c r="D45" s="479" t="s">
        <v>538</v>
      </c>
      <c r="E45" s="491"/>
      <c r="F45" s="491"/>
      <c r="G45" s="491"/>
      <c r="H45" s="491"/>
      <c r="I45" s="498" t="str">
        <f>S44&amp;".1"</f>
        <v>...1</v>
      </c>
      <c r="J45" s="479"/>
      <c r="K45" s="479"/>
      <c r="L45" s="481"/>
      <c r="P45" s="132">
        <v>1</v>
      </c>
      <c r="Q45" s="132"/>
      <c r="R45" s="499"/>
      <c r="S45" s="484" t="str">
        <f>$I45</f>
        <v>...1</v>
      </c>
      <c r="T45" s="500" t="s">
        <v>478</v>
      </c>
      <c r="U45" s="486"/>
      <c r="V45" s="676"/>
      <c r="W45" s="677"/>
      <c r="X45" s="677"/>
      <c r="Y45" s="677"/>
      <c r="Z45" s="677"/>
      <c r="AA45" s="677"/>
      <c r="AB45" s="677"/>
      <c r="AC45" s="677"/>
      <c r="AD45" s="677"/>
      <c r="AE45" s="677"/>
      <c r="AF45" s="678"/>
      <c r="AG45" s="679"/>
      <c r="AH45" s="680"/>
      <c r="AI45" s="680"/>
      <c r="AJ45" s="680"/>
      <c r="AK45" s="680"/>
      <c r="AL45" s="680"/>
      <c r="AM45" s="680"/>
      <c r="AN45" s="680"/>
      <c r="AO45" s="680"/>
      <c r="AP45" s="680"/>
      <c r="AQ45" s="680"/>
      <c r="AR45" s="681"/>
      <c r="AS45" s="490" t="s">
        <v>479</v>
      </c>
      <c r="AU45" s="129"/>
      <c r="AV45" s="129" t="str">
        <f t="shared" si="44"/>
        <v xml:space="preserve">Наименование признака дифференциации</v>
      </c>
      <c r="AW45" s="129"/>
      <c r="AX45" s="129"/>
      <c r="AY45" s="50">
        <v>23</v>
      </c>
    </row>
    <row r="46" ht="24" customHeight="1">
      <c r="A46" s="479" t="s">
        <v>251</v>
      </c>
      <c r="B46" s="479" t="s">
        <v>252</v>
      </c>
      <c r="C46" s="479" t="s">
        <v>253</v>
      </c>
      <c r="D46" s="479" t="s">
        <v>538</v>
      </c>
      <c r="E46" s="491"/>
      <c r="F46" s="491"/>
      <c r="G46" s="491"/>
      <c r="H46" s="491"/>
      <c r="I46" s="503"/>
      <c r="J46" s="498" t="str">
        <f>I45&amp;".1"</f>
        <v>...1.1</v>
      </c>
      <c r="K46" s="479"/>
      <c r="L46" s="481" t="s">
        <v>401</v>
      </c>
      <c r="P46" s="132"/>
      <c r="Q46" s="132">
        <v>1</v>
      </c>
      <c r="R46" s="504"/>
      <c r="S46" s="484" t="str">
        <f>$J46</f>
        <v>...1.1</v>
      </c>
      <c r="T46" s="505" t="s">
        <v>402</v>
      </c>
      <c r="U46" s="486"/>
      <c r="V46" s="431"/>
      <c r="W46" s="501"/>
      <c r="X46" s="501"/>
      <c r="Y46" s="501"/>
      <c r="Z46" s="501"/>
      <c r="AA46" s="501"/>
      <c r="AB46" s="501"/>
      <c r="AC46" s="501"/>
      <c r="AD46" s="501"/>
      <c r="AE46" s="501"/>
      <c r="AF46" s="502"/>
      <c r="AG46" s="431"/>
      <c r="AH46" s="501"/>
      <c r="AI46" s="501"/>
      <c r="AJ46" s="501"/>
      <c r="AK46" s="501"/>
      <c r="AL46" s="501"/>
      <c r="AM46" s="501"/>
      <c r="AN46" s="501"/>
      <c r="AO46" s="501"/>
      <c r="AP46" s="501"/>
      <c r="AQ46" s="501"/>
      <c r="AR46" s="502"/>
      <c r="AS46" s="617" t="s">
        <v>480</v>
      </c>
      <c r="AU46" s="129"/>
      <c r="AV46" s="129" t="str">
        <f t="shared" si="44"/>
        <v xml:space="preserve">Группа потребителей</v>
      </c>
      <c r="AW46" s="129"/>
      <c r="AX46" s="129"/>
      <c r="AY46" s="50">
        <v>23</v>
      </c>
    </row>
    <row r="47" ht="24" customHeight="1">
      <c r="A47" s="479" t="s">
        <v>251</v>
      </c>
      <c r="B47" s="479" t="s">
        <v>252</v>
      </c>
      <c r="C47" s="479" t="s">
        <v>253</v>
      </c>
      <c r="D47" s="479" t="s">
        <v>538</v>
      </c>
      <c r="E47" s="491"/>
      <c r="F47" s="491"/>
      <c r="G47" s="491"/>
      <c r="H47" s="491"/>
      <c r="I47" s="503"/>
      <c r="J47" s="503"/>
      <c r="K47" s="498" t="str">
        <f>J46&amp;".1"</f>
        <v>...1.1.1</v>
      </c>
      <c r="L47" s="481"/>
      <c r="P47" s="132"/>
      <c r="Q47" s="132"/>
      <c r="R47" s="504">
        <v>1</v>
      </c>
      <c r="S47" s="484" t="str">
        <f>$K47</f>
        <v>...1.1.1</v>
      </c>
      <c r="T47" s="682"/>
      <c r="U47" s="486"/>
      <c r="V47" s="533"/>
      <c r="W47" s="533"/>
      <c r="X47" s="533"/>
      <c r="Y47" s="533"/>
      <c r="Z47" s="533"/>
      <c r="AA47" s="533"/>
      <c r="AB47" s="534"/>
      <c r="AC47" s="535"/>
      <c r="AD47" s="536" t="s">
        <v>65</v>
      </c>
      <c r="AE47" s="535"/>
      <c r="AF47" s="536" t="s">
        <v>65</v>
      </c>
      <c r="AG47" s="507"/>
      <c r="AH47" s="507"/>
      <c r="AI47" s="507"/>
      <c r="AJ47" s="507"/>
      <c r="AK47" s="507"/>
      <c r="AL47" s="507"/>
      <c r="AM47" s="509"/>
      <c r="AN47" s="510"/>
      <c r="AO47" s="224" t="s">
        <v>65</v>
      </c>
      <c r="AP47" s="570"/>
      <c r="AQ47" s="224" t="s">
        <v>19</v>
      </c>
      <c r="AR47" s="683"/>
      <c r="AS4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4"/>
        <v/>
      </c>
      <c r="AW47" s="129"/>
      <c r="AX47" s="129"/>
      <c r="AY47" s="50">
        <v>23</v>
      </c>
    </row>
    <row r="48" ht="0" customHeight="1">
      <c r="A48" s="479" t="s">
        <v>251</v>
      </c>
      <c r="B48" s="479" t="s">
        <v>252</v>
      </c>
      <c r="C48" s="479" t="s">
        <v>253</v>
      </c>
      <c r="D48" s="479" t="s">
        <v>538</v>
      </c>
      <c r="E48" s="491"/>
      <c r="F48" s="491"/>
      <c r="G48" s="491"/>
      <c r="H48" s="491"/>
      <c r="I48" s="503"/>
      <c r="J48" s="503"/>
      <c r="K48" s="498"/>
      <c r="L48" s="481"/>
      <c r="P48" s="132"/>
      <c r="Q48" s="132"/>
      <c r="R48" s="504"/>
      <c r="S48" s="458"/>
      <c r="T48" s="486"/>
      <c r="U48" s="486"/>
      <c r="V48" s="533"/>
      <c r="W48" s="533"/>
      <c r="X48" s="533"/>
      <c r="Y48" s="533"/>
      <c r="Z48" s="533"/>
      <c r="AA48" s="533"/>
      <c r="AB48" s="512" t="str">
        <f>AC47&amp;"-"&amp;AE47</f>
        <v>-</v>
      </c>
      <c r="AC48" s="536"/>
      <c r="AD48" s="536"/>
      <c r="AE48" s="536"/>
      <c r="AF48" s="536"/>
      <c r="AG48" s="508"/>
      <c r="AH48" s="508"/>
      <c r="AI48" s="508"/>
      <c r="AJ48" s="508"/>
      <c r="AK48" s="508"/>
      <c r="AL48" s="508"/>
      <c r="AM48" s="512" t="str">
        <f>AN47&amp;"-"&amp;AP47</f>
        <v>-</v>
      </c>
      <c r="AN48" s="513"/>
      <c r="AO48" s="224"/>
      <c r="AP48" s="572"/>
      <c r="AQ48" s="224"/>
      <c r="AR48" s="685"/>
      <c r="AS48" s="684"/>
      <c r="AU48" s="129"/>
      <c r="AV48" s="129" t="str">
        <f t="shared" si="44"/>
        <v/>
      </c>
      <c r="AW48" s="129"/>
      <c r="AX48" s="129"/>
      <c r="AY48" s="50">
        <v>0</v>
      </c>
    </row>
    <row r="49" ht="21" customHeight="1">
      <c r="A49" s="479" t="s">
        <v>251</v>
      </c>
      <c r="B49" s="479" t="s">
        <v>252</v>
      </c>
      <c r="C49" s="479" t="s">
        <v>253</v>
      </c>
      <c r="D49" s="479" t="s">
        <v>538</v>
      </c>
      <c r="E49" s="491"/>
      <c r="F49" s="491"/>
      <c r="G49" s="491"/>
      <c r="H49" s="491"/>
      <c r="I49" s="503"/>
      <c r="J49" s="498"/>
      <c r="K49" s="479"/>
      <c r="L49" s="481"/>
      <c r="P49" s="132"/>
      <c r="Q49" s="132"/>
      <c r="R49" s="499"/>
      <c r="S49" s="515"/>
      <c r="T49" s="519" t="s">
        <v>481</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0" t="s">
        <v>482</v>
      </c>
      <c r="AU49" s="129"/>
      <c r="AV49" s="129" t="str">
        <f t="shared" si="44"/>
        <v xml:space="preserve">Добавить значение признака дифференциации</v>
      </c>
      <c r="AW49" s="129"/>
      <c r="AX49" s="129"/>
      <c r="AY49" s="50">
        <v>20</v>
      </c>
    </row>
    <row r="50" ht="22" customHeight="1">
      <c r="A50" s="479" t="s">
        <v>251</v>
      </c>
      <c r="B50" s="479" t="s">
        <v>252</v>
      </c>
      <c r="C50" s="479" t="s">
        <v>253</v>
      </c>
      <c r="D50" s="479" t="s">
        <v>538</v>
      </c>
      <c r="E50" s="491"/>
      <c r="F50" s="491"/>
      <c r="G50" s="491"/>
      <c r="H50" s="491"/>
      <c r="I50" s="498"/>
      <c r="J50" s="479"/>
      <c r="K50" s="479"/>
      <c r="L50" s="481"/>
      <c r="P50" s="132"/>
      <c r="Q50" s="132"/>
      <c r="R50" s="499"/>
      <c r="S50" s="515"/>
      <c r="T50" s="523" t="s">
        <v>407</v>
      </c>
      <c r="U50" s="214"/>
      <c r="V50" s="214"/>
      <c r="W50" s="214"/>
      <c r="X50" s="214"/>
      <c r="Y50" s="214"/>
      <c r="Z50" s="214"/>
      <c r="AA50" s="214"/>
      <c r="AB50" s="214"/>
      <c r="AC50" s="214"/>
      <c r="AD50" s="214"/>
      <c r="AE50" s="214"/>
      <c r="AF50" s="520"/>
      <c r="AG50" s="214"/>
      <c r="AH50" s="214"/>
      <c r="AI50" s="214"/>
      <c r="AJ50" s="214"/>
      <c r="AK50" s="214"/>
      <c r="AL50" s="214"/>
      <c r="AM50" s="214"/>
      <c r="AN50" s="214"/>
      <c r="AO50" s="214"/>
      <c r="AP50" s="214"/>
      <c r="AQ50" s="520"/>
      <c r="AR50" s="214"/>
      <c r="AS50" s="686"/>
      <c r="AU50" s="129"/>
      <c r="AV50" s="129" t="str">
        <f t="shared" si="44"/>
        <v xml:space="preserve">Добавить группу потребителей</v>
      </c>
      <c r="AW50" s="129"/>
      <c r="AX50" s="129"/>
      <c r="AY50" s="50">
        <v>21</v>
      </c>
    </row>
    <row r="51" ht="22" customHeight="1">
      <c r="A51" s="479" t="s">
        <v>251</v>
      </c>
      <c r="B51" s="479" t="s">
        <v>252</v>
      </c>
      <c r="C51" s="479" t="s">
        <v>253</v>
      </c>
      <c r="D51" s="479" t="s">
        <v>538</v>
      </c>
      <c r="E51" s="491"/>
      <c r="F51" s="491"/>
      <c r="G51" s="491"/>
      <c r="H51" s="480"/>
      <c r="I51" s="479"/>
      <c r="J51" s="479"/>
      <c r="K51" s="479"/>
      <c r="L51" s="481"/>
      <c r="M51" s="482"/>
      <c r="N51" s="482"/>
      <c r="O51" s="53"/>
      <c r="P51" s="143"/>
      <c r="Q51" s="522"/>
      <c r="R51" s="483"/>
      <c r="S51" s="515"/>
      <c r="T51" s="687" t="s">
        <v>483</v>
      </c>
      <c r="U51" s="214"/>
      <c r="V51" s="214"/>
      <c r="W51" s="214"/>
      <c r="X51" s="214"/>
      <c r="Y51" s="214"/>
      <c r="Z51" s="214"/>
      <c r="AA51" s="214"/>
      <c r="AB51" s="214"/>
      <c r="AC51" s="214"/>
      <c r="AD51" s="214"/>
      <c r="AE51" s="214"/>
      <c r="AF51" s="520"/>
      <c r="AG51" s="214"/>
      <c r="AH51" s="214"/>
      <c r="AI51" s="214"/>
      <c r="AJ51" s="214"/>
      <c r="AK51" s="214"/>
      <c r="AL51" s="214"/>
      <c r="AM51" s="214"/>
      <c r="AN51" s="214"/>
      <c r="AO51" s="214"/>
      <c r="AP51" s="214"/>
      <c r="AQ51" s="520"/>
      <c r="AR51" s="214"/>
      <c r="AS51" s="521"/>
      <c r="AU51" s="129"/>
      <c r="AV51" s="129" t="str">
        <f t="shared" si="44"/>
        <v xml:space="preserve">Добавить наименование признака дифференциации</v>
      </c>
      <c r="AW51" s="129"/>
      <c r="AX51" s="129"/>
      <c r="AY51" s="50">
        <v>21</v>
      </c>
    </row>
    <row r="52" s="57" customFormat="1" ht="0" customHeight="1">
      <c r="A52" s="133" t="s">
        <v>251</v>
      </c>
      <c r="B52" s="133" t="s">
        <v>252</v>
      </c>
      <c r="C52" s="133"/>
      <c r="D52" s="133"/>
      <c r="E52" s="491"/>
      <c r="F52" s="480"/>
      <c r="G52" s="133"/>
      <c r="H52" s="133"/>
      <c r="I52" s="133"/>
      <c r="J52" s="133"/>
      <c r="K52" s="133"/>
      <c r="L52" s="212"/>
      <c r="M52" s="528"/>
      <c r="N52" s="528"/>
      <c r="P52" s="167"/>
      <c r="Q52" s="524"/>
      <c r="R52" s="167"/>
      <c r="S52" s="529"/>
      <c r="T52" s="532" t="s">
        <v>410</v>
      </c>
      <c r="U52" s="531"/>
      <c r="V52" s="531"/>
      <c r="W52" s="531"/>
      <c r="X52" s="531"/>
      <c r="Y52" s="531"/>
      <c r="Z52" s="531"/>
      <c r="AA52" s="531"/>
      <c r="AB52" s="531"/>
      <c r="AC52" s="531"/>
      <c r="AD52" s="531"/>
      <c r="AE52" s="531"/>
      <c r="AF52" s="531"/>
      <c r="AG52" s="531"/>
      <c r="AH52" s="531"/>
      <c r="AI52" s="531"/>
      <c r="AJ52" s="531"/>
      <c r="AK52" s="531"/>
      <c r="AL52" s="531"/>
      <c r="AM52" s="531"/>
      <c r="AN52" s="531"/>
      <c r="AO52" s="531"/>
      <c r="AP52" s="531"/>
      <c r="AQ52" s="531"/>
      <c r="AR52" s="531"/>
      <c r="AS52" s="531"/>
      <c r="AU52" s="129"/>
      <c r="AV52" s="129" t="str">
        <f t="shared" si="44"/>
        <v xml:space="preserve">Добавить централизованную систему для дифференциации</v>
      </c>
      <c r="AW52" s="129"/>
      <c r="AX52" s="129"/>
      <c r="AY52" s="57">
        <v>0</v>
      </c>
    </row>
    <row r="53" s="57" customFormat="1" ht="0" customHeight="1">
      <c r="A53" s="133" t="s">
        <v>251</v>
      </c>
      <c r="B53" s="133"/>
      <c r="C53" s="133"/>
      <c r="D53" s="133"/>
      <c r="E53" s="480"/>
      <c r="F53" s="133"/>
      <c r="G53" s="133"/>
      <c r="H53" s="133"/>
      <c r="I53" s="133"/>
      <c r="J53" s="133"/>
      <c r="K53" s="133"/>
      <c r="L53" s="212"/>
      <c r="M53" s="528"/>
      <c r="N53" s="528"/>
      <c r="O53" s="57"/>
      <c r="P53" s="167"/>
      <c r="Q53" s="524"/>
      <c r="R53" s="167"/>
      <c r="S53" s="529"/>
      <c r="T53" s="532" t="s">
        <v>411</v>
      </c>
      <c r="U53" s="531"/>
      <c r="V53" s="531"/>
      <c r="W53" s="531"/>
      <c r="X53" s="531"/>
      <c r="Y53" s="531"/>
      <c r="Z53" s="531"/>
      <c r="AA53" s="531"/>
      <c r="AB53" s="531"/>
      <c r="AC53" s="531"/>
      <c r="AD53" s="531"/>
      <c r="AE53" s="531"/>
      <c r="AF53" s="531"/>
      <c r="AG53" s="531"/>
      <c r="AH53" s="531"/>
      <c r="AI53" s="531"/>
      <c r="AJ53" s="531"/>
      <c r="AK53" s="531"/>
      <c r="AL53" s="531"/>
      <c r="AM53" s="531"/>
      <c r="AN53" s="531"/>
      <c r="AO53" s="531"/>
      <c r="AP53" s="531"/>
      <c r="AQ53" s="531"/>
      <c r="AR53" s="531"/>
      <c r="AS53" s="531"/>
      <c r="AU53" s="129"/>
      <c r="AV53" s="129" t="str">
        <f t="shared" si="44"/>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28"/>
      <c r="N54" s="528"/>
      <c r="P54" s="167"/>
      <c r="Q54" s="524"/>
      <c r="R54" s="167"/>
      <c r="S54" s="529"/>
      <c r="T54" s="532" t="s">
        <v>443</v>
      </c>
      <c r="U54" s="531"/>
      <c r="V54" s="531"/>
      <c r="W54" s="531"/>
      <c r="X54" s="531"/>
      <c r="Y54" s="531"/>
      <c r="Z54" s="531"/>
      <c r="AA54" s="531"/>
      <c r="AB54" s="531"/>
      <c r="AC54" s="531"/>
      <c r="AD54" s="531"/>
      <c r="AE54" s="531"/>
      <c r="AF54" s="531"/>
      <c r="AG54" s="531"/>
      <c r="AH54" s="531"/>
      <c r="AI54" s="531"/>
      <c r="AJ54" s="531"/>
      <c r="AK54" s="531"/>
      <c r="AL54" s="531"/>
      <c r="AM54" s="531"/>
      <c r="AN54" s="531"/>
      <c r="AO54" s="531"/>
      <c r="AP54" s="531"/>
      <c r="AQ54" s="531"/>
      <c r="AR54" s="531"/>
      <c r="AS54" s="531"/>
      <c r="AU54" s="129"/>
      <c r="AV54" s="129" t="str">
        <f t="shared" si="44"/>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76"/>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Y56" s="50">
        <v>14</v>
      </c>
    </row>
    <row r="57" ht="14.65" customHeight="1">
      <c r="O57" s="53"/>
      <c r="AY57" s="50">
        <v>14</v>
      </c>
    </row>
    <row r="58" ht="14.65" customHeight="1">
      <c r="O58" s="53"/>
      <c r="S58" s="476"/>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78">
        <v>3</v>
      </c>
      <c r="R59" s="478">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50063-00A9-4F4B-9DCC-0028008700FD}"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A700F0-0092-491F-A4E2-0036008F008B}"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0000FA-00E6-4075-ACBA-006E008D00D6}"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6000D5-0032-4763-8981-00EF00F9005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8" width="3.7109375"/>
    <col customWidth="1" min="18" max="18" style="47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120</v>
      </c>
      <c r="U2" s="486"/>
      <c r="V2" s="488"/>
      <c r="W2" s="488"/>
      <c r="X2" s="488"/>
      <c r="Y2" s="488"/>
      <c r="Z2" s="488"/>
      <c r="AA2" s="488"/>
      <c r="AB2" s="488"/>
      <c r="AC2" s="489"/>
      <c r="AD2" s="487" t="e">
        <f>INDEX(PT_DIFFERENTIATION_NTAR,MATCH(A2,PT_DIFFERENTIATION_NTAR_ID,0))</f>
        <v>#VALUE!</v>
      </c>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9"/>
      <c r="BC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45">IF(T2="","",T2)</f>
        <v xml:space="preserve">Наименование тарифа</v>
      </c>
      <c r="BG2" s="129"/>
      <c r="BH2" s="129"/>
      <c r="BI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392</v>
      </c>
      <c r="U3" s="486"/>
      <c r="V3" s="488"/>
      <c r="W3" s="488"/>
      <c r="X3" s="488"/>
      <c r="Y3" s="488"/>
      <c r="Z3" s="488"/>
      <c r="AA3" s="488"/>
      <c r="AB3" s="488"/>
      <c r="AC3" s="489"/>
      <c r="AD3" s="487" t="e">
        <f>INDEX(PT_DIFFERENTIATION_TER,MATCH(B3,PT_DIFFERENTIATION_TER_ID,0))</f>
        <v>#VALUE!</v>
      </c>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9"/>
      <c r="BC3" s="490" t="s">
        <v>393</v>
      </c>
      <c r="BE3" s="129"/>
      <c r="BF3" s="129" t="str">
        <f t="shared" si="45"/>
        <v xml:space="preserve">Территория действия тарифа</v>
      </c>
      <c r="BG3" s="129"/>
      <c r="BH3" s="129"/>
      <c r="BI3" s="50">
        <v>0</v>
      </c>
    </row>
    <row r="4" ht="33.75"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525</v>
      </c>
      <c r="U4" s="486"/>
      <c r="V4" s="488"/>
      <c r="W4" s="488"/>
      <c r="X4" s="488"/>
      <c r="Y4" s="488"/>
      <c r="Z4" s="488"/>
      <c r="AA4" s="488"/>
      <c r="AB4" s="488"/>
      <c r="AC4" s="489"/>
      <c r="AD4" s="487" t="e">
        <f>INDEX(PT_DIFFERENTIATION_CS,MATCH(C4,PT_DIFFERENTIATION_CS_ID,0))</f>
        <v>#VALUE!</v>
      </c>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9"/>
      <c r="BC4" s="490" t="s">
        <v>526</v>
      </c>
      <c r="BE4" s="129"/>
      <c r="BF4" s="129" t="str">
        <f t="shared" si="45"/>
        <v xml:space="preserve">Наименование централизованной системы горячего водоснабжения</v>
      </c>
      <c r="BG4" s="129"/>
      <c r="BH4" s="129"/>
      <c r="BI4" s="50">
        <v>0</v>
      </c>
    </row>
    <row r="5" s="57" customFormat="1" ht="14.25" hidden="1" customHeight="1">
      <c r="A5" s="133"/>
      <c r="B5" s="133"/>
      <c r="C5" s="133"/>
      <c r="D5" s="133"/>
      <c r="E5" s="491"/>
      <c r="F5" s="491"/>
      <c r="G5" s="491"/>
      <c r="H5" s="480">
        <v>1</v>
      </c>
      <c r="I5" s="133"/>
      <c r="J5" s="133"/>
      <c r="K5" s="133"/>
      <c r="L5" s="212"/>
      <c r="M5" s="464"/>
      <c r="N5" s="464"/>
      <c r="O5" s="464"/>
      <c r="P5" s="694"/>
      <c r="Q5" s="695"/>
      <c r="R5" s="504"/>
      <c r="S5" s="351"/>
      <c r="T5" s="696"/>
      <c r="U5" s="587"/>
      <c r="V5" s="589"/>
      <c r="W5" s="589"/>
      <c r="X5" s="589"/>
      <c r="Y5" s="589"/>
      <c r="Z5" s="589"/>
      <c r="AA5" s="589"/>
      <c r="AB5" s="589"/>
      <c r="AC5" s="590"/>
      <c r="AD5" s="588"/>
      <c r="AE5" s="589"/>
      <c r="AF5" s="589"/>
      <c r="AG5" s="589"/>
      <c r="AH5" s="589"/>
      <c r="AI5" s="589"/>
      <c r="AJ5" s="589"/>
      <c r="AK5" s="589"/>
      <c r="AL5" s="589"/>
      <c r="AM5" s="589"/>
      <c r="AN5" s="589"/>
      <c r="AO5" s="589"/>
      <c r="AP5" s="589"/>
      <c r="AQ5" s="589"/>
      <c r="AR5" s="589"/>
      <c r="AS5" s="589"/>
      <c r="AT5" s="589"/>
      <c r="AU5" s="589"/>
      <c r="AV5" s="589"/>
      <c r="AW5" s="589"/>
      <c r="AX5" s="589"/>
      <c r="AY5" s="589"/>
      <c r="AZ5" s="589"/>
      <c r="BA5" s="589"/>
      <c r="BB5" s="590"/>
      <c r="BC5" s="591" t="s">
        <v>397</v>
      </c>
      <c r="BE5" s="129"/>
      <c r="BF5" s="129" t="str">
        <f t="shared" si="45"/>
        <v/>
      </c>
      <c r="BG5" s="129"/>
      <c r="BH5" s="129"/>
      <c r="BI5" s="57">
        <v>0</v>
      </c>
    </row>
    <row r="6" s="57" customFormat="1" ht="14.25" hidden="1" customHeight="1">
      <c r="A6" s="133"/>
      <c r="B6" s="133"/>
      <c r="C6" s="133"/>
      <c r="D6" s="133"/>
      <c r="E6" s="491"/>
      <c r="F6" s="491"/>
      <c r="G6" s="491"/>
      <c r="H6" s="491"/>
      <c r="I6" s="498" t="str">
        <f>S5&amp;".1"</f>
        <v>.1</v>
      </c>
      <c r="J6" s="133"/>
      <c r="K6" s="133"/>
      <c r="L6" s="212" t="s">
        <v>398</v>
      </c>
      <c r="M6" s="596"/>
      <c r="N6" s="596"/>
      <c r="O6" s="596"/>
      <c r="P6" s="132">
        <v>1</v>
      </c>
      <c r="Q6" s="132"/>
      <c r="R6" s="499"/>
      <c r="S6" s="351"/>
      <c r="T6" s="586"/>
      <c r="U6" s="587"/>
      <c r="V6" s="589"/>
      <c r="W6" s="589"/>
      <c r="X6" s="589"/>
      <c r="Y6" s="589"/>
      <c r="Z6" s="589"/>
      <c r="AA6" s="589"/>
      <c r="AB6" s="589"/>
      <c r="AC6" s="590"/>
      <c r="AD6" s="588"/>
      <c r="AE6" s="589"/>
      <c r="AF6" s="589"/>
      <c r="AG6" s="589"/>
      <c r="AH6" s="589"/>
      <c r="AI6" s="589"/>
      <c r="AJ6" s="589"/>
      <c r="AK6" s="589"/>
      <c r="AL6" s="589"/>
      <c r="AM6" s="589"/>
      <c r="AN6" s="589"/>
      <c r="AO6" s="589"/>
      <c r="AP6" s="589"/>
      <c r="AQ6" s="589"/>
      <c r="AR6" s="589"/>
      <c r="AS6" s="589"/>
      <c r="AT6" s="589"/>
      <c r="AU6" s="589"/>
      <c r="AV6" s="589"/>
      <c r="AW6" s="589"/>
      <c r="AX6" s="589"/>
      <c r="AY6" s="589"/>
      <c r="AZ6" s="589"/>
      <c r="BA6" s="589"/>
      <c r="BB6" s="590"/>
      <c r="BC6" s="591"/>
      <c r="BE6" s="129"/>
      <c r="BF6" s="129" t="str">
        <f t="shared" si="45"/>
        <v/>
      </c>
      <c r="BG6" s="129"/>
      <c r="BH6" s="129"/>
      <c r="BI6" s="57">
        <v>0</v>
      </c>
    </row>
    <row r="7" s="57" customFormat="1" ht="14.25" hidden="1" customHeight="1">
      <c r="A7" s="133"/>
      <c r="B7" s="133"/>
      <c r="C7" s="133"/>
      <c r="D7" s="133"/>
      <c r="E7" s="491"/>
      <c r="F7" s="491"/>
      <c r="G7" s="491"/>
      <c r="H7" s="491"/>
      <c r="I7" s="503"/>
      <c r="J7" s="498" t="str">
        <f>S5&amp;".1"</f>
        <v>.1</v>
      </c>
      <c r="K7" s="133"/>
      <c r="L7" s="212"/>
      <c r="M7" s="596"/>
      <c r="N7" s="596"/>
      <c r="O7" s="596"/>
      <c r="P7" s="132"/>
      <c r="Q7" s="132">
        <v>1</v>
      </c>
      <c r="R7" s="504"/>
      <c r="S7" s="351"/>
      <c r="T7" s="630"/>
      <c r="U7" s="587"/>
      <c r="V7" s="589"/>
      <c r="W7" s="589"/>
      <c r="X7" s="589"/>
      <c r="Y7" s="589"/>
      <c r="Z7" s="589"/>
      <c r="AA7" s="589"/>
      <c r="AB7" s="589"/>
      <c r="AC7" s="590"/>
      <c r="AD7" s="588"/>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90"/>
      <c r="BC7" s="591"/>
      <c r="BE7" s="129"/>
      <c r="BF7" s="129" t="str">
        <f t="shared" si="45"/>
        <v/>
      </c>
      <c r="BG7" s="129"/>
      <c r="BH7" s="129"/>
      <c r="BI7" s="57">
        <v>0</v>
      </c>
    </row>
    <row r="8" ht="11.25" hidden="1" customHeight="1">
      <c r="A8" s="479"/>
      <c r="B8" s="479"/>
      <c r="C8" s="479"/>
      <c r="D8" s="479"/>
      <c r="E8" s="491"/>
      <c r="F8" s="491"/>
      <c r="G8" s="491"/>
      <c r="H8" s="491"/>
      <c r="I8" s="503"/>
      <c r="J8" s="503"/>
      <c r="K8" s="498" t="e">
        <f>S4&amp;".1"</f>
        <v>#VALUE!</v>
      </c>
      <c r="L8" s="481"/>
      <c r="P8" s="132"/>
      <c r="Q8" s="132"/>
      <c r="R8" s="631">
        <v>1</v>
      </c>
      <c r="S8" s="598" t="e">
        <f>$K8</f>
        <v>#VALUE!</v>
      </c>
      <c r="T8" s="689"/>
      <c r="U8" s="486"/>
      <c r="V8" s="507"/>
      <c r="W8" s="509"/>
      <c r="X8" s="507"/>
      <c r="Y8" s="509"/>
      <c r="Z8" s="510"/>
      <c r="AA8" s="224" t="s">
        <v>65</v>
      </c>
      <c r="AB8" s="510"/>
      <c r="AC8" s="224" t="s">
        <v>65</v>
      </c>
      <c r="AD8" s="314" t="s">
        <v>65</v>
      </c>
      <c r="AE8" s="633"/>
      <c r="AF8" s="345">
        <v>1</v>
      </c>
      <c r="AG8" s="690"/>
      <c r="AH8" s="224" t="s">
        <v>65</v>
      </c>
      <c r="AI8" s="633"/>
      <c r="AJ8" s="345">
        <v>1</v>
      </c>
      <c r="AK8" s="87" t="s">
        <v>22</v>
      </c>
      <c r="AL8" s="224" t="s">
        <v>65</v>
      </c>
      <c r="AM8" s="304"/>
      <c r="AN8" s="345">
        <v>1</v>
      </c>
      <c r="AO8" s="697"/>
      <c r="AP8" s="698" t="s">
        <v>65</v>
      </c>
      <c r="AQ8" s="634"/>
      <c r="AR8" s="345">
        <v>1</v>
      </c>
      <c r="AS8" s="95" t="s">
        <v>22</v>
      </c>
      <c r="AT8" s="507"/>
      <c r="AU8" s="509"/>
      <c r="AV8" s="507"/>
      <c r="AW8" s="509"/>
      <c r="AX8" s="510"/>
      <c r="AY8" s="224" t="s">
        <v>65</v>
      </c>
      <c r="AZ8" s="510"/>
      <c r="BA8" s="224" t="s">
        <v>65</v>
      </c>
      <c r="BB8" s="571"/>
      <c r="BC8" s="511" t="s">
        <v>496</v>
      </c>
      <c r="BE8" s="129"/>
      <c r="BF8" s="129" t="str">
        <f t="shared" si="45"/>
        <v/>
      </c>
      <c r="BG8" s="129"/>
      <c r="BH8" s="129"/>
      <c r="BI8" s="50">
        <v>0</v>
      </c>
    </row>
    <row r="9" ht="11.25" hidden="1" customHeight="1">
      <c r="A9" s="479"/>
      <c r="B9" s="479"/>
      <c r="C9" s="479"/>
      <c r="D9" s="479"/>
      <c r="E9" s="491"/>
      <c r="F9" s="491"/>
      <c r="G9" s="491"/>
      <c r="H9" s="491"/>
      <c r="I9" s="503"/>
      <c r="J9" s="503"/>
      <c r="K9" s="498"/>
      <c r="L9" s="481"/>
      <c r="P9" s="132"/>
      <c r="Q9" s="132"/>
      <c r="R9" s="631"/>
      <c r="S9" s="635"/>
      <c r="T9" s="699"/>
      <c r="U9" s="486"/>
      <c r="V9" s="622"/>
      <c r="W9" s="639"/>
      <c r="X9" s="622"/>
      <c r="Y9" s="639"/>
      <c r="Z9" s="622"/>
      <c r="AA9" s="622"/>
      <c r="AB9" s="622"/>
      <c r="AC9" s="622"/>
      <c r="AD9" s="320"/>
      <c r="AE9" s="633"/>
      <c r="AF9" s="345"/>
      <c r="AG9" s="690"/>
      <c r="AH9" s="224"/>
      <c r="AI9" s="633"/>
      <c r="AJ9" s="345"/>
      <c r="AK9" s="87"/>
      <c r="AL9" s="224"/>
      <c r="AM9" s="310"/>
      <c r="AN9" s="345"/>
      <c r="AO9" s="697"/>
      <c r="AP9" s="700"/>
      <c r="AQ9" s="638"/>
      <c r="AR9" s="177"/>
      <c r="AS9" s="177" t="s">
        <v>497</v>
      </c>
      <c r="AT9" s="622"/>
      <c r="AU9" s="639"/>
      <c r="AV9" s="622"/>
      <c r="AW9" s="639"/>
      <c r="AX9" s="622"/>
      <c r="AY9" s="622"/>
      <c r="AZ9" s="622"/>
      <c r="BA9" s="622"/>
      <c r="BB9" s="637"/>
      <c r="BC9" s="514"/>
      <c r="BE9" s="129"/>
      <c r="BF9" s="129"/>
      <c r="BG9" s="129"/>
      <c r="BH9" s="129"/>
      <c r="BI9" s="50">
        <v>0</v>
      </c>
    </row>
    <row r="10" ht="11.25" hidden="1" customHeight="1">
      <c r="A10" s="479"/>
      <c r="B10" s="479"/>
      <c r="C10" s="479"/>
      <c r="D10" s="479"/>
      <c r="E10" s="491"/>
      <c r="F10" s="491"/>
      <c r="G10" s="491"/>
      <c r="H10" s="491"/>
      <c r="I10" s="503"/>
      <c r="J10" s="503"/>
      <c r="K10" s="498"/>
      <c r="L10" s="481"/>
      <c r="P10" s="132"/>
      <c r="Q10" s="132"/>
      <c r="R10" s="631"/>
      <c r="S10" s="635"/>
      <c r="T10" s="699"/>
      <c r="U10" s="486"/>
      <c r="V10" s="622"/>
      <c r="W10" s="639"/>
      <c r="X10" s="622"/>
      <c r="Y10" s="639"/>
      <c r="Z10" s="622"/>
      <c r="AA10" s="622"/>
      <c r="AB10" s="622"/>
      <c r="AC10" s="622"/>
      <c r="AD10" s="320"/>
      <c r="AE10" s="633"/>
      <c r="AF10" s="345"/>
      <c r="AG10" s="690"/>
      <c r="AH10" s="224"/>
      <c r="AI10" s="633"/>
      <c r="AJ10" s="345"/>
      <c r="AK10" s="87"/>
      <c r="AL10" s="224"/>
      <c r="AM10" s="638"/>
      <c r="AN10" s="701"/>
      <c r="AO10" s="701" t="s">
        <v>498</v>
      </c>
      <c r="AP10" s="177"/>
      <c r="AQ10" s="177"/>
      <c r="AR10" s="177"/>
      <c r="AS10" s="622"/>
      <c r="AT10" s="622"/>
      <c r="AU10" s="639"/>
      <c r="AV10" s="622"/>
      <c r="AW10" s="639"/>
      <c r="AX10" s="622"/>
      <c r="AY10" s="622"/>
      <c r="AZ10" s="622"/>
      <c r="BA10" s="622"/>
      <c r="BB10" s="637"/>
      <c r="BC10" s="514"/>
      <c r="BE10" s="129"/>
      <c r="BF10" s="129"/>
      <c r="BG10" s="129"/>
      <c r="BH10" s="129"/>
      <c r="BI10" s="50">
        <v>0</v>
      </c>
    </row>
    <row r="11" ht="11.25" hidden="1" customHeight="1">
      <c r="A11" s="479"/>
      <c r="B11" s="479"/>
      <c r="C11" s="479"/>
      <c r="D11" s="479"/>
      <c r="E11" s="491"/>
      <c r="F11" s="491"/>
      <c r="G11" s="491"/>
      <c r="H11" s="491"/>
      <c r="I11" s="503"/>
      <c r="J11" s="503"/>
      <c r="K11" s="498"/>
      <c r="L11" s="481"/>
      <c r="P11" s="132"/>
      <c r="Q11" s="132"/>
      <c r="R11" s="631"/>
      <c r="S11" s="635"/>
      <c r="T11" s="699"/>
      <c r="U11" s="486"/>
      <c r="V11" s="622"/>
      <c r="W11" s="639"/>
      <c r="X11" s="622"/>
      <c r="Y11" s="639"/>
      <c r="Z11" s="622"/>
      <c r="AA11" s="622"/>
      <c r="AB11" s="622"/>
      <c r="AC11" s="622"/>
      <c r="AD11" s="320"/>
      <c r="AE11" s="633"/>
      <c r="AF11" s="345"/>
      <c r="AG11" s="690"/>
      <c r="AH11" s="224"/>
      <c r="AI11" s="641"/>
      <c r="AJ11" s="172"/>
      <c r="AK11" s="441" t="s">
        <v>499</v>
      </c>
      <c r="AL11" s="622"/>
      <c r="AM11" s="622"/>
      <c r="AN11" s="622"/>
      <c r="AO11" s="622"/>
      <c r="AP11" s="622"/>
      <c r="AQ11" s="622"/>
      <c r="AR11" s="622"/>
      <c r="AS11" s="622"/>
      <c r="AT11" s="622"/>
      <c r="AU11" s="639"/>
      <c r="AV11" s="622"/>
      <c r="AW11" s="639"/>
      <c r="AX11" s="622"/>
      <c r="AY11" s="622"/>
      <c r="AZ11" s="622"/>
      <c r="BA11" s="622"/>
      <c r="BB11" s="637"/>
      <c r="BC11" s="514"/>
      <c r="BE11" s="129"/>
      <c r="BF11" s="129"/>
      <c r="BG11" s="129"/>
      <c r="BH11" s="129"/>
      <c r="BI11" s="50">
        <v>0</v>
      </c>
    </row>
    <row r="12" ht="11.25" hidden="1" customHeight="1">
      <c r="A12" s="479"/>
      <c r="B12" s="479"/>
      <c r="C12" s="479"/>
      <c r="D12" s="479"/>
      <c r="E12" s="491"/>
      <c r="F12" s="491"/>
      <c r="G12" s="491"/>
      <c r="H12" s="491"/>
      <c r="I12" s="503"/>
      <c r="J12" s="503"/>
      <c r="K12" s="498"/>
      <c r="L12" s="481"/>
      <c r="P12" s="132"/>
      <c r="Q12" s="132"/>
      <c r="R12" s="631"/>
      <c r="S12" s="608"/>
      <c r="T12" s="702"/>
      <c r="U12" s="486"/>
      <c r="V12" s="622"/>
      <c r="W12" s="623" t="str">
        <f>Z8&amp;"-"&amp;AB8</f>
        <v>-</v>
      </c>
      <c r="X12" s="622"/>
      <c r="Y12" s="623" t="str">
        <f>AB8&amp;"-"&amp;AD8</f>
        <v>-да</v>
      </c>
      <c r="Z12" s="622"/>
      <c r="AA12" s="622"/>
      <c r="AB12" s="622"/>
      <c r="AC12" s="622"/>
      <c r="AD12" s="220"/>
      <c r="AE12" s="644"/>
      <c r="AF12" s="645"/>
      <c r="AG12" s="177" t="s">
        <v>500</v>
      </c>
      <c r="AH12" s="622"/>
      <c r="AI12" s="622"/>
      <c r="AJ12" s="622"/>
      <c r="AK12" s="622"/>
      <c r="AL12" s="622"/>
      <c r="AM12" s="622"/>
      <c r="AN12" s="622"/>
      <c r="AO12" s="622"/>
      <c r="AP12" s="622"/>
      <c r="AQ12" s="622"/>
      <c r="AR12" s="622"/>
      <c r="AS12" s="622"/>
      <c r="AT12" s="622"/>
      <c r="AU12" s="623" t="str">
        <f>AX8&amp;"-"&amp;AZ8</f>
        <v>-</v>
      </c>
      <c r="AV12" s="622"/>
      <c r="AW12" s="623" t="str">
        <f>AZ8&amp;"-"&amp;BB8</f>
        <v>-</v>
      </c>
      <c r="AX12" s="622"/>
      <c r="AY12" s="622"/>
      <c r="AZ12" s="622"/>
      <c r="BA12" s="622"/>
      <c r="BB12" s="643" t="str">
        <f>BE8&amp;"-"&amp;BG8</f>
        <v>-</v>
      </c>
      <c r="BC12" s="514"/>
      <c r="BE12" s="129"/>
      <c r="BF12" s="129" t="str">
        <f t="shared" ref="BF12:BF63" si="46">IF(T12="","",T12)</f>
        <v/>
      </c>
      <c r="BG12" s="129"/>
      <c r="BH12" s="129"/>
      <c r="BI12" s="50">
        <v>0</v>
      </c>
    </row>
    <row r="13" ht="11.25" hidden="1" customHeight="1">
      <c r="A13" s="479"/>
      <c r="B13" s="479"/>
      <c r="C13" s="479"/>
      <c r="D13" s="479"/>
      <c r="E13" s="491"/>
      <c r="F13" s="491"/>
      <c r="G13" s="491"/>
      <c r="H13" s="491"/>
      <c r="I13" s="503"/>
      <c r="J13" s="498"/>
      <c r="K13" s="479"/>
      <c r="L13" s="481"/>
      <c r="P13" s="132"/>
      <c r="Q13" s="132"/>
      <c r="R13" s="499"/>
      <c r="S13" s="515"/>
      <c r="T13" s="519" t="s">
        <v>463</v>
      </c>
      <c r="U13" s="214"/>
      <c r="V13" s="214"/>
      <c r="W13" s="214"/>
      <c r="X13" s="214"/>
      <c r="Y13" s="214"/>
      <c r="Z13" s="214"/>
      <c r="AA13" s="214"/>
      <c r="AB13" s="214"/>
      <c r="AC13" s="214"/>
      <c r="AD13" s="67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17"/>
      <c r="BC13" s="518"/>
      <c r="BE13" s="129"/>
      <c r="BF13" s="129" t="str">
        <f t="shared" si="46"/>
        <v xml:space="preserve">Добавить строку</v>
      </c>
      <c r="BG13" s="129"/>
      <c r="BH13" s="129"/>
      <c r="BI13" s="50">
        <v>0</v>
      </c>
    </row>
    <row r="14" s="57" customFormat="1" ht="14.25" hidden="1" customHeight="1">
      <c r="A14" s="133"/>
      <c r="B14" s="133"/>
      <c r="C14" s="133"/>
      <c r="D14" s="133"/>
      <c r="E14" s="491"/>
      <c r="F14" s="491"/>
      <c r="G14" s="491"/>
      <c r="H14" s="491"/>
      <c r="I14" s="498"/>
      <c r="J14" s="133"/>
      <c r="K14" s="133"/>
      <c r="L14" s="212"/>
      <c r="M14" s="596"/>
      <c r="N14" s="596"/>
      <c r="O14" s="596"/>
      <c r="P14" s="132"/>
      <c r="Q14" s="132"/>
      <c r="R14" s="499"/>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5"/>
      <c r="BE14" s="129"/>
      <c r="BF14" s="129" t="str">
        <f t="shared" si="46"/>
        <v/>
      </c>
      <c r="BG14" s="129"/>
      <c r="BH14" s="129"/>
      <c r="BI14" s="57">
        <v>0</v>
      </c>
    </row>
    <row r="15" s="57" customFormat="1" ht="14.25" hidden="1" customHeight="1">
      <c r="A15" s="133"/>
      <c r="B15" s="133"/>
      <c r="C15" s="133"/>
      <c r="D15" s="133"/>
      <c r="E15" s="491"/>
      <c r="F15" s="491"/>
      <c r="G15" s="491"/>
      <c r="H15" s="480"/>
      <c r="I15" s="133"/>
      <c r="J15" s="133"/>
      <c r="K15" s="133"/>
      <c r="L15" s="212"/>
      <c r="M15" s="464"/>
      <c r="N15" s="464"/>
      <c r="O15" s="57"/>
      <c r="P15" s="167"/>
      <c r="Q15" s="524"/>
      <c r="R15" s="646"/>
      <c r="S15" s="592"/>
      <c r="T15" s="593"/>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5"/>
      <c r="BE15" s="129"/>
      <c r="BF15" s="129" t="str">
        <f t="shared" si="46"/>
        <v/>
      </c>
      <c r="BG15" s="129"/>
      <c r="BH15" s="129"/>
      <c r="BI15" s="57">
        <v>0</v>
      </c>
    </row>
    <row r="16" s="57" customFormat="1" ht="14.25" hidden="1" customHeight="1">
      <c r="A16" s="133"/>
      <c r="B16" s="133"/>
      <c r="C16" s="133"/>
      <c r="D16" s="133"/>
      <c r="E16" s="491"/>
      <c r="F16" s="491"/>
      <c r="G16" s="480"/>
      <c r="H16" s="133"/>
      <c r="I16" s="133"/>
      <c r="J16" s="133"/>
      <c r="K16" s="133"/>
      <c r="L16" s="212"/>
      <c r="M16" s="464"/>
      <c r="N16" s="464"/>
      <c r="P16" s="167"/>
      <c r="Q16" s="524"/>
      <c r="R16" s="167"/>
      <c r="S16" s="529"/>
      <c r="T16" s="532"/>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E16" s="129"/>
      <c r="BF16" s="129" t="str">
        <f t="shared" si="46"/>
        <v/>
      </c>
      <c r="BG16" s="129"/>
      <c r="BH16" s="129"/>
      <c r="BI16" s="57">
        <v>0</v>
      </c>
    </row>
    <row r="17" s="57" customFormat="1" ht="14.25" hidden="1" customHeight="1">
      <c r="A17" s="133"/>
      <c r="B17" s="133"/>
      <c r="C17" s="133"/>
      <c r="D17" s="133"/>
      <c r="E17" s="491"/>
      <c r="F17" s="480"/>
      <c r="G17" s="133"/>
      <c r="H17" s="133"/>
      <c r="I17" s="133"/>
      <c r="J17" s="133"/>
      <c r="K17" s="133"/>
      <c r="L17" s="212"/>
      <c r="M17" s="528"/>
      <c r="N17" s="528"/>
      <c r="P17" s="167"/>
      <c r="Q17" s="524"/>
      <c r="R17" s="167"/>
      <c r="S17" s="529"/>
      <c r="T17" s="532" t="s">
        <v>410</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E17" s="129"/>
      <c r="BF17" s="129" t="str">
        <f t="shared" si="46"/>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0"/>
      <c r="F18" s="133"/>
      <c r="G18" s="133"/>
      <c r="H18" s="133"/>
      <c r="I18" s="133"/>
      <c r="J18" s="133"/>
      <c r="K18" s="133"/>
      <c r="L18" s="212"/>
      <c r="M18" s="528"/>
      <c r="N18" s="528"/>
      <c r="O18" s="57"/>
      <c r="P18" s="167"/>
      <c r="Q18" s="524"/>
      <c r="R18" s="167"/>
      <c r="S18" s="529"/>
      <c r="T18" s="532" t="s">
        <v>411</v>
      </c>
      <c r="U18" s="531"/>
      <c r="V18" s="531"/>
      <c r="W18" s="531"/>
      <c r="X18" s="5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E18" s="129"/>
      <c r="BF18" s="129" t="str">
        <f t="shared" si="46"/>
        <v xml:space="preserve">Добавить территорию для дифференциации</v>
      </c>
      <c r="BG18" s="129"/>
      <c r="BH18" s="129"/>
      <c r="BI18" s="57">
        <v>0</v>
      </c>
    </row>
    <row r="19" ht="14.25" hidden="1" customHeight="1">
      <c r="AC19" s="50"/>
      <c r="BA19" s="50"/>
      <c r="BI19" s="50">
        <v>0</v>
      </c>
    </row>
    <row r="20" ht="14.25" hidden="1" customHeight="1">
      <c r="AD20" s="531" t="s">
        <v>19</v>
      </c>
      <c r="AE20" s="647"/>
      <c r="AF20" s="531">
        <v>1</v>
      </c>
      <c r="AG20" s="648"/>
      <c r="AH20" s="531" t="s">
        <v>19</v>
      </c>
      <c r="AI20" s="647"/>
      <c r="AJ20" s="531">
        <v>1</v>
      </c>
      <c r="AK20" s="648"/>
      <c r="AL20" s="531" t="s">
        <v>19</v>
      </c>
      <c r="AM20" s="649"/>
      <c r="AN20" s="531">
        <v>1</v>
      </c>
      <c r="AO20" s="134"/>
      <c r="AP20" s="531" t="s">
        <v>19</v>
      </c>
      <c r="AQ20" s="649"/>
      <c r="AR20" s="531">
        <v>1</v>
      </c>
      <c r="AS20" s="134"/>
      <c r="AT20" s="508"/>
      <c r="AU20" s="583"/>
      <c r="AV20" s="508"/>
      <c r="AW20" s="583"/>
      <c r="AX20" s="653"/>
      <c r="AY20" s="654" t="s">
        <v>65</v>
      </c>
      <c r="AZ20" s="653"/>
      <c r="BA20" s="654" t="s">
        <v>65</v>
      </c>
      <c r="BI20" s="50">
        <v>0</v>
      </c>
    </row>
    <row r="21" ht="14.25" hidden="1" customHeight="1">
      <c r="BD21" s="131"/>
      <c r="BE21" s="131"/>
      <c r="BF21" s="131"/>
      <c r="BG21" s="131"/>
      <c r="BH21" s="131"/>
      <c r="BI21" s="50">
        <v>0</v>
      </c>
    </row>
    <row r="22" ht="14.25" hidden="1" customHeight="1">
      <c r="O22" s="537" t="s">
        <v>412</v>
      </c>
      <c r="Z22" s="581"/>
      <c r="AB22" s="581"/>
      <c r="AC22" s="50"/>
      <c r="AX22" s="581"/>
      <c r="AZ22" s="581"/>
      <c r="BA22" s="50"/>
      <c r="BD22" s="131"/>
      <c r="BE22" s="131"/>
      <c r="BF22" s="131"/>
      <c r="BG22" s="131"/>
      <c r="BH22" s="131"/>
      <c r="BI22" s="50">
        <v>0</v>
      </c>
    </row>
    <row r="23" ht="14.25" hidden="1" customHeight="1">
      <c r="AC23" s="50"/>
      <c r="BA23" s="50"/>
      <c r="BD23" s="131"/>
      <c r="BE23" s="131"/>
      <c r="BF23" s="131"/>
      <c r="BG23" s="131"/>
      <c r="BH23" s="131"/>
      <c r="BI23" s="50">
        <v>0</v>
      </c>
    </row>
    <row r="24" s="655" customFormat="1" ht="14.25" hidden="1" customHeight="1">
      <c r="M24" s="656"/>
      <c r="N24" s="656"/>
      <c r="O24" s="655" t="s">
        <v>413</v>
      </c>
      <c r="P24" s="656"/>
      <c r="Q24" s="657"/>
      <c r="R24" s="657"/>
      <c r="AA24" s="655" t="s">
        <v>415</v>
      </c>
      <c r="AC24" s="655" t="s">
        <v>416</v>
      </c>
      <c r="AD24" s="655" t="s">
        <v>464</v>
      </c>
      <c r="AH24" s="655" t="s">
        <v>464</v>
      </c>
      <c r="AK24" s="655" t="s">
        <v>501</v>
      </c>
      <c r="AL24" s="655" t="s">
        <v>464</v>
      </c>
      <c r="AP24" s="655" t="s">
        <v>464</v>
      </c>
      <c r="AY24" s="655" t="s">
        <v>415</v>
      </c>
      <c r="BA24" s="655" t="s">
        <v>416</v>
      </c>
      <c r="BD24" s="658"/>
      <c r="BE24" s="658"/>
      <c r="BF24" s="658"/>
      <c r="BG24" s="658"/>
      <c r="BH24" s="658"/>
      <c r="BI24" s="655">
        <v>0</v>
      </c>
    </row>
    <row r="25" ht="14.25" hidden="1" customHeight="1">
      <c r="O25" s="481"/>
      <c r="BD25" s="131"/>
      <c r="BE25" s="131"/>
      <c r="BF25" s="131"/>
      <c r="BG25" s="131"/>
      <c r="BH25" s="131"/>
      <c r="BI25" s="50">
        <v>0</v>
      </c>
    </row>
    <row r="26" ht="14.25" hidden="1" customHeight="1">
      <c r="O26" s="481"/>
      <c r="BD26" s="131"/>
      <c r="BE26" s="131"/>
      <c r="BF26" s="131"/>
      <c r="BG26" s="131"/>
      <c r="BH26" s="131"/>
      <c r="BI26" s="50">
        <v>0</v>
      </c>
    </row>
    <row r="27" ht="14.65" customHeight="1">
      <c r="Q27" s="659"/>
      <c r="R27" s="539"/>
      <c r="S27" s="54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59"/>
      <c r="R28" s="539"/>
      <c r="S28" s="452"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240"/>
      <c r="BI28" s="50">
        <v>14</v>
      </c>
    </row>
    <row r="29" ht="14.65" customHeight="1">
      <c r="Q29" s="659"/>
      <c r="R29" s="539"/>
      <c r="S29" s="303" t="str">
        <f>IF(org=0,"Не определено",org)</f>
        <v xml:space="preserve">АО "ДГК" СП "Биробиджанская ТЭЦ"</v>
      </c>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240"/>
      <c r="BI29" s="50">
        <v>14</v>
      </c>
    </row>
    <row r="30" ht="14.25" hidden="1" customHeight="1">
      <c r="Q30" s="659"/>
      <c r="R30" s="539"/>
      <c r="S30" s="540"/>
      <c r="T30" s="91"/>
      <c r="U30" s="9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0"/>
      <c r="BI30" s="50">
        <v>0</v>
      </c>
    </row>
    <row r="31" s="184" customFormat="1" ht="25.5" hidden="1" customHeight="1">
      <c r="A31" s="151"/>
      <c r="B31" s="151"/>
      <c r="C31" s="151"/>
      <c r="D31" s="151"/>
      <c r="E31" s="151"/>
      <c r="F31" s="151"/>
      <c r="G31" s="151"/>
      <c r="H31" s="151"/>
      <c r="I31" s="151"/>
      <c r="J31" s="151"/>
      <c r="K31" s="151"/>
      <c r="L31" s="481"/>
      <c r="M31" s="151"/>
      <c r="N31" s="151"/>
      <c r="O31" s="151"/>
      <c r="P31" s="151"/>
      <c r="Q31" s="151"/>
      <c r="S31" s="542" t="s">
        <v>41</v>
      </c>
      <c r="T31" s="542"/>
      <c r="U31" s="543"/>
      <c r="V31" s="544" t="str">
        <f>IF(TITLE_NAME_OR_PR_CHANGE="",IF(TITLE_NAME_OR_PR="","",TITLE_NAME_OR_PR),TITLE_NAME_OR_PR_CHANGE)</f>
        <v/>
      </c>
      <c r="W31" s="544"/>
      <c r="X31" s="544"/>
      <c r="Y31" s="544"/>
      <c r="Z31" s="544"/>
      <c r="AA31" s="544"/>
      <c r="AB31" s="544"/>
      <c r="AC31" s="50"/>
      <c r="AD31" s="544" t="str">
        <f>IF(TITLE_NAME_OR_PR_CHANGE="",IF(TITLE_NAME_OR_PR="","",TITLE_NAME_OR_PR),TITLE_NAME_OR_PR_CHANGE)</f>
        <v/>
      </c>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0"/>
      <c r="BB31" s="50"/>
      <c r="BC31" s="545"/>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418</v>
      </c>
      <c r="T32" s="542"/>
      <c r="U32" s="543"/>
      <c r="V32" s="546" t="str">
        <f>IF(TITLE_DATE_PR_CHANGE="",IF(TITLE_DATE_PR="","",TITLE_DATE_PR),TITLE_DATE_PR_CHANGE)</f>
        <v/>
      </c>
      <c r="W32" s="546"/>
      <c r="X32" s="546"/>
      <c r="Y32" s="546"/>
      <c r="Z32" s="546"/>
      <c r="AA32" s="546"/>
      <c r="AB32" s="546"/>
      <c r="AC32" s="50"/>
      <c r="AD32" s="546" t="str">
        <f>IF(TITLE_DATE_PR_CHANGE="",IF(TITLE_DATE_PR="","",TITLE_DATE_PR),TITLE_DATE_PR_CHANGE)</f>
        <v/>
      </c>
      <c r="AE32" s="546"/>
      <c r="AF32" s="546"/>
      <c r="AG32" s="546"/>
      <c r="AH32" s="546"/>
      <c r="AI32" s="546"/>
      <c r="AJ32" s="546"/>
      <c r="AK32" s="546"/>
      <c r="AL32" s="546"/>
      <c r="AM32" s="546"/>
      <c r="AN32" s="546"/>
      <c r="AO32" s="546"/>
      <c r="AP32" s="546"/>
      <c r="AQ32" s="546"/>
      <c r="AR32" s="546"/>
      <c r="AS32" s="546"/>
      <c r="AT32" s="546"/>
      <c r="AU32" s="546"/>
      <c r="AV32" s="546"/>
      <c r="AW32" s="546"/>
      <c r="AX32" s="546"/>
      <c r="AY32" s="546"/>
      <c r="AZ32" s="546"/>
      <c r="BA32" s="50"/>
      <c r="BB32" s="50"/>
      <c r="BC32" s="545"/>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419</v>
      </c>
      <c r="T33" s="542"/>
      <c r="U33" s="543"/>
      <c r="V33" s="544" t="str">
        <f>IF(TITLE_NUMBER_PR_CHANGE="",IF(TITLE_NUMBER_PR="","",TITLE_NUMBER_PR),TITLE_NUMBER_PR_CHANGE)</f>
        <v/>
      </c>
      <c r="W33" s="544"/>
      <c r="X33" s="544"/>
      <c r="Y33" s="544"/>
      <c r="Z33" s="544"/>
      <c r="AA33" s="544"/>
      <c r="AB33" s="544"/>
      <c r="AC33" s="50"/>
      <c r="AD33" s="544" t="str">
        <f>IF(TITLE_NUMBER_PR_CHANGE="",IF(TITLE_NUMBER_PR="","",TITLE_NUMBER_PR),TITLE_NUMBER_PR_CHANGE)</f>
        <v/>
      </c>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0"/>
      <c r="BB33" s="50"/>
      <c r="BC33" s="545"/>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81"/>
      <c r="M34" s="151"/>
      <c r="N34" s="151"/>
      <c r="O34" s="151"/>
      <c r="P34" s="151"/>
      <c r="Q34" s="151"/>
      <c r="S34" s="542" t="s">
        <v>42</v>
      </c>
      <c r="T34" s="542"/>
      <c r="U34" s="543"/>
      <c r="V34" s="544" t="str">
        <f>IF(TITLE_IST_PUB_CHANGE="",IF(TITLE_IST_PUB="","",TITLE_IST_PUB),TITLE_IST_PUB_CHANGE)</f>
        <v/>
      </c>
      <c r="W34" s="544"/>
      <c r="X34" s="544"/>
      <c r="Y34" s="544"/>
      <c r="Z34" s="544"/>
      <c r="AA34" s="544"/>
      <c r="AB34" s="544"/>
      <c r="AC34" s="50"/>
      <c r="AD34" s="544" t="str">
        <f>IF(TITLE_IST_PUB_CHANGE="",IF(TITLE_IST_PUB="","",TITLE_IST_PUB),TITLE_IST_PUB_CHANGE)</f>
        <v/>
      </c>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0"/>
      <c r="BB34" s="50"/>
      <c r="BC34" s="545"/>
      <c r="BD34" s="129"/>
      <c r="BE34" s="129"/>
      <c r="BF34" s="129"/>
      <c r="BG34" s="129"/>
      <c r="BH34" s="129"/>
      <c r="BI34" s="184">
        <v>0</v>
      </c>
    </row>
    <row r="35" ht="14.25" hidden="1" customHeight="1">
      <c r="Q35" s="659"/>
      <c r="R35" s="539"/>
      <c r="S35" s="540"/>
      <c r="T35" s="91"/>
      <c r="U35" s="9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0"/>
      <c r="BI35" s="50">
        <v>0</v>
      </c>
    </row>
    <row r="36" s="184" customFormat="1" ht="18.75" hidden="1" customHeight="1">
      <c r="A36" s="151"/>
      <c r="B36" s="151"/>
      <c r="C36" s="151"/>
      <c r="D36" s="151"/>
      <c r="E36" s="151"/>
      <c r="F36" s="151"/>
      <c r="G36" s="151"/>
      <c r="H36" s="151"/>
      <c r="I36" s="151"/>
      <c r="J36" s="151"/>
      <c r="K36" s="151"/>
      <c r="L36" s="481"/>
      <c r="M36" s="151"/>
      <c r="N36" s="151"/>
      <c r="O36" s="151"/>
      <c r="P36" s="151"/>
      <c r="Q36" s="151"/>
      <c r="S36" s="542" t="s">
        <v>418</v>
      </c>
      <c r="T36" s="542"/>
      <c r="U36" s="543"/>
      <c r="V36" s="546" t="str">
        <f>IF(TITLE_DATE_PR_CHANGE="",IF(TITLE_DATE_PR="","",TITLE_DATE_PR),TITLE_DATE_PR_CHANGE)</f>
        <v/>
      </c>
      <c r="W36" s="546"/>
      <c r="X36" s="546"/>
      <c r="Y36" s="546"/>
      <c r="Z36" s="546"/>
      <c r="AA36" s="546"/>
      <c r="AB36" s="546"/>
      <c r="AC36" s="50"/>
      <c r="AD36" s="546" t="str">
        <f>IF(TITLE_DATE_PR_CHANGE="",IF(TITLE_DATE_PR="","",TITLE_DATE_PR),TITLE_DATE_PR_CHANGE)</f>
        <v/>
      </c>
      <c r="AE36" s="546"/>
      <c r="AF36" s="546"/>
      <c r="AG36" s="546"/>
      <c r="AH36" s="546"/>
      <c r="AI36" s="546"/>
      <c r="AJ36" s="546"/>
      <c r="AK36" s="546"/>
      <c r="AL36" s="546"/>
      <c r="AM36" s="546"/>
      <c r="AN36" s="546"/>
      <c r="AO36" s="546"/>
      <c r="AP36" s="546"/>
      <c r="AQ36" s="546"/>
      <c r="AR36" s="546"/>
      <c r="AS36" s="546"/>
      <c r="AT36" s="546"/>
      <c r="AU36" s="546"/>
      <c r="AV36" s="546"/>
      <c r="AW36" s="546"/>
      <c r="AX36" s="546"/>
      <c r="AY36" s="546"/>
      <c r="AZ36" s="546"/>
      <c r="BA36" s="50"/>
      <c r="BB36" s="50"/>
      <c r="BC36" s="545"/>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1"/>
      <c r="M37" s="151"/>
      <c r="N37" s="151"/>
      <c r="O37" s="151"/>
      <c r="P37" s="151"/>
      <c r="Q37" s="151"/>
      <c r="S37" s="542" t="s">
        <v>419</v>
      </c>
      <c r="T37" s="542"/>
      <c r="U37" s="543"/>
      <c r="V37" s="544" t="str">
        <f>IF(TITLE_NUMBER_PR_CHANGE="",IF(TITLE_NUMBER_PR="","",TITLE_NUMBER_PR),TITLE_NUMBER_PR_CHANGE)</f>
        <v/>
      </c>
      <c r="W37" s="544"/>
      <c r="X37" s="544"/>
      <c r="Y37" s="544"/>
      <c r="Z37" s="544"/>
      <c r="AA37" s="544"/>
      <c r="AB37" s="544"/>
      <c r="AC37" s="50"/>
      <c r="AD37" s="544" t="str">
        <f>IF(TITLE_NUMBER_PR_CHANGE="",IF(TITLE_NUMBER_PR="","",TITLE_NUMBER_PR),TITLE_NUMBER_PR_CHANGE)</f>
        <v/>
      </c>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0"/>
      <c r="BB37" s="50"/>
      <c r="BC37" s="545"/>
      <c r="BD37" s="129"/>
      <c r="BE37" s="129"/>
      <c r="BF37" s="129"/>
      <c r="BG37" s="129"/>
      <c r="BH37" s="129"/>
      <c r="BI37" s="184">
        <v>0</v>
      </c>
    </row>
    <row r="38" s="184" customFormat="1" ht="0" customHeight="1">
      <c r="A38" s="151"/>
      <c r="B38" s="151"/>
      <c r="C38" s="151"/>
      <c r="D38" s="151"/>
      <c r="E38" s="151"/>
      <c r="F38" s="151"/>
      <c r="G38" s="151"/>
      <c r="H38" s="151"/>
      <c r="I38" s="151"/>
      <c r="J38" s="151"/>
      <c r="K38" s="151"/>
      <c r="L38" s="481"/>
      <c r="M38" s="151"/>
      <c r="N38" s="151"/>
      <c r="O38" s="151"/>
      <c r="P38" s="151"/>
      <c r="Q38" s="151"/>
      <c r="S38" s="50"/>
      <c r="T38" s="50"/>
      <c r="U38" s="140"/>
      <c r="V38" s="50"/>
      <c r="W38" s="50"/>
      <c r="X38" s="50"/>
      <c r="Y38" s="50"/>
      <c r="Z38" s="50"/>
      <c r="AA38" s="50"/>
      <c r="AB38" s="50"/>
      <c r="AC38" s="57" t="s">
        <v>422</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422</v>
      </c>
      <c r="BD38" s="129"/>
      <c r="BE38" s="129"/>
      <c r="BF38" s="129"/>
      <c r="BG38" s="129"/>
      <c r="BH38" s="129"/>
      <c r="BI38" s="184">
        <v>0</v>
      </c>
    </row>
    <row r="39" ht="14.65" customHeight="1">
      <c r="Q39" s="659"/>
      <c r="R39" s="539"/>
      <c r="S39" s="540"/>
      <c r="T39" s="91"/>
      <c r="U39" s="547"/>
      <c r="V39" s="548"/>
      <c r="W39" s="548"/>
      <c r="X39" s="548"/>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I39" s="50">
        <v>14</v>
      </c>
    </row>
    <row r="40" ht="14.65" customHeight="1">
      <c r="Q40" s="659"/>
      <c r="R40" s="539"/>
      <c r="S40" s="157" t="s">
        <v>295</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296</v>
      </c>
      <c r="BI40" s="50">
        <v>14</v>
      </c>
    </row>
    <row r="41" ht="14.65" customHeight="1">
      <c r="Q41" s="659"/>
      <c r="R41" s="539"/>
      <c r="S41" s="484" t="s">
        <v>88</v>
      </c>
      <c r="T41" s="347" t="s">
        <v>502</v>
      </c>
      <c r="U41" s="549"/>
      <c r="V41" s="550" t="s">
        <v>424</v>
      </c>
      <c r="W41" s="551"/>
      <c r="X41" s="551"/>
      <c r="Y41" s="551"/>
      <c r="Z41" s="551"/>
      <c r="AA41" s="551"/>
      <c r="AB41" s="552"/>
      <c r="AC41" s="553" t="s">
        <v>425</v>
      </c>
      <c r="AD41" s="661" t="s">
        <v>503</v>
      </c>
      <c r="AE41" s="584"/>
      <c r="AF41" s="584"/>
      <c r="AG41" s="662"/>
      <c r="AH41" s="661" t="s">
        <v>504</v>
      </c>
      <c r="AI41" s="584"/>
      <c r="AJ41" s="584"/>
      <c r="AK41" s="662"/>
      <c r="AL41" s="661" t="s">
        <v>505</v>
      </c>
      <c r="AM41" s="584"/>
      <c r="AN41" s="584"/>
      <c r="AO41" s="662"/>
      <c r="AP41" s="661" t="s">
        <v>506</v>
      </c>
      <c r="AQ41" s="584"/>
      <c r="AR41" s="584"/>
      <c r="AS41" s="662"/>
      <c r="AT41" s="550" t="s">
        <v>424</v>
      </c>
      <c r="AU41" s="551"/>
      <c r="AV41" s="551"/>
      <c r="AW41" s="551"/>
      <c r="AX41" s="551"/>
      <c r="AY41" s="551"/>
      <c r="AZ41" s="552"/>
      <c r="BA41" s="553" t="s">
        <v>425</v>
      </c>
      <c r="BB41" s="554" t="s">
        <v>427</v>
      </c>
      <c r="BC41" s="157"/>
      <c r="BI41" s="50">
        <v>14</v>
      </c>
    </row>
    <row r="42" ht="35.649999999999999" customHeight="1">
      <c r="Q42" s="659"/>
      <c r="R42" s="539"/>
      <c r="S42" s="484"/>
      <c r="T42" s="347"/>
      <c r="U42" s="555"/>
      <c r="V42" s="304" t="s">
        <v>507</v>
      </c>
      <c r="W42" s="305"/>
      <c r="X42" s="304" t="s">
        <v>508</v>
      </c>
      <c r="Y42" s="305"/>
      <c r="Z42" s="304" t="s">
        <v>509</v>
      </c>
      <c r="AA42" s="626"/>
      <c r="AB42" s="305"/>
      <c r="AC42" s="557"/>
      <c r="AD42" s="664"/>
      <c r="AE42" s="665"/>
      <c r="AF42" s="665"/>
      <c r="AG42" s="666"/>
      <c r="AH42" s="664"/>
      <c r="AI42" s="665"/>
      <c r="AJ42" s="665"/>
      <c r="AK42" s="666"/>
      <c r="AL42" s="664"/>
      <c r="AM42" s="665"/>
      <c r="AN42" s="665"/>
      <c r="AO42" s="666"/>
      <c r="AP42" s="664"/>
      <c r="AQ42" s="665"/>
      <c r="AR42" s="665"/>
      <c r="AS42" s="666"/>
      <c r="AT42" s="304" t="s">
        <v>507</v>
      </c>
      <c r="AU42" s="305"/>
      <c r="AV42" s="304" t="s">
        <v>508</v>
      </c>
      <c r="AW42" s="305"/>
      <c r="AX42" s="304" t="s">
        <v>509</v>
      </c>
      <c r="AY42" s="626"/>
      <c r="AZ42" s="305"/>
      <c r="BA42" s="557"/>
      <c r="BB42" s="558"/>
      <c r="BC42" s="157"/>
      <c r="BI42" s="50">
        <v>34</v>
      </c>
    </row>
    <row r="43" ht="14.65" customHeight="1">
      <c r="Q43" s="659"/>
      <c r="R43" s="539"/>
      <c r="S43" s="484"/>
      <c r="T43" s="347"/>
      <c r="U43" s="555"/>
      <c r="V43" s="310"/>
      <c r="W43" s="311"/>
      <c r="X43" s="310"/>
      <c r="Y43" s="311"/>
      <c r="Z43" s="310"/>
      <c r="AA43" s="627"/>
      <c r="AB43" s="311"/>
      <c r="AC43" s="557"/>
      <c r="AD43" s="664"/>
      <c r="AE43" s="665"/>
      <c r="AF43" s="665"/>
      <c r="AG43" s="666"/>
      <c r="AH43" s="664"/>
      <c r="AI43" s="665"/>
      <c r="AJ43" s="665"/>
      <c r="AK43" s="666"/>
      <c r="AL43" s="664"/>
      <c r="AM43" s="665"/>
      <c r="AN43" s="665"/>
      <c r="AO43" s="666"/>
      <c r="AP43" s="664"/>
      <c r="AQ43" s="665"/>
      <c r="AR43" s="665"/>
      <c r="AS43" s="666"/>
      <c r="AT43" s="310"/>
      <c r="AU43" s="311"/>
      <c r="AV43" s="310"/>
      <c r="AW43" s="311"/>
      <c r="AX43" s="310"/>
      <c r="AY43" s="627"/>
      <c r="AZ43" s="311"/>
      <c r="BA43" s="557"/>
      <c r="BB43" s="558"/>
      <c r="BC43" s="157"/>
      <c r="BI43" s="50">
        <v>14</v>
      </c>
    </row>
    <row r="44" ht="14.65" customHeight="1">
      <c r="A44" s="151"/>
      <c r="B44" s="151" t="s">
        <v>132</v>
      </c>
      <c r="C44" s="151" t="s">
        <v>133</v>
      </c>
      <c r="D44" s="151" t="s">
        <v>134</v>
      </c>
      <c r="E44" s="481" t="s">
        <v>432</v>
      </c>
      <c r="F44" s="481" t="s">
        <v>433</v>
      </c>
      <c r="G44" s="481" t="s">
        <v>434</v>
      </c>
      <c r="H44" s="481" t="s">
        <v>435</v>
      </c>
      <c r="I44" s="481" t="s">
        <v>436</v>
      </c>
      <c r="J44" s="481" t="s">
        <v>437</v>
      </c>
      <c r="K44" s="481" t="s">
        <v>438</v>
      </c>
      <c r="L44" s="481" t="s">
        <v>413</v>
      </c>
      <c r="Q44" s="659"/>
      <c r="R44" s="539"/>
      <c r="S44" s="484"/>
      <c r="T44" s="347"/>
      <c r="U44" s="559"/>
      <c r="V44" s="347" t="s">
        <v>473</v>
      </c>
      <c r="W44" s="347" t="s">
        <v>474</v>
      </c>
      <c r="X44" s="347" t="s">
        <v>473</v>
      </c>
      <c r="Y44" s="347" t="s">
        <v>474</v>
      </c>
      <c r="Z44" s="246" t="s">
        <v>441</v>
      </c>
      <c r="AA44" s="415" t="s">
        <v>442</v>
      </c>
      <c r="AB44" s="417"/>
      <c r="AC44" s="561"/>
      <c r="AD44" s="670"/>
      <c r="AE44" s="671"/>
      <c r="AF44" s="671"/>
      <c r="AG44" s="672"/>
      <c r="AH44" s="670"/>
      <c r="AI44" s="671"/>
      <c r="AJ44" s="671"/>
      <c r="AK44" s="672"/>
      <c r="AL44" s="670"/>
      <c r="AM44" s="671"/>
      <c r="AN44" s="671"/>
      <c r="AO44" s="672"/>
      <c r="AP44" s="670"/>
      <c r="AQ44" s="671"/>
      <c r="AR44" s="671"/>
      <c r="AS44" s="672"/>
      <c r="AT44" s="347" t="s">
        <v>473</v>
      </c>
      <c r="AU44" s="347" t="s">
        <v>474</v>
      </c>
      <c r="AV44" s="347" t="s">
        <v>473</v>
      </c>
      <c r="AW44" s="347" t="s">
        <v>474</v>
      </c>
      <c r="AX44" s="246" t="s">
        <v>441</v>
      </c>
      <c r="AY44" s="415" t="s">
        <v>442</v>
      </c>
      <c r="AZ44" s="417"/>
      <c r="BA44" s="561"/>
      <c r="BB44" s="562"/>
      <c r="BC44" s="157"/>
      <c r="BI44" s="50">
        <v>14</v>
      </c>
    </row>
    <row r="45" s="131" customFormat="1" ht="0" customHeight="1">
      <c r="A45" s="151"/>
      <c r="B45" s="151"/>
      <c r="C45" s="151"/>
      <c r="D45" s="151"/>
      <c r="E45" s="151"/>
      <c r="F45" s="151"/>
      <c r="G45" s="151"/>
      <c r="H45" s="151"/>
      <c r="I45" s="151"/>
      <c r="J45" s="151"/>
      <c r="K45" s="151"/>
      <c r="L45" s="481"/>
      <c r="M45" s="61"/>
      <c r="N45" s="61"/>
      <c r="O45" s="61"/>
      <c r="P45" s="596"/>
      <c r="Q45" s="565"/>
      <c r="R45" s="565">
        <v>1</v>
      </c>
      <c r="S45" s="566" t="s">
        <v>106</v>
      </c>
      <c r="T45" s="567" t="s">
        <v>107</v>
      </c>
      <c r="U45" s="568" t="str">
        <f ca="1">OFFSET(U45,0,-1)</f>
        <v>2</v>
      </c>
      <c r="V45" s="569">
        <f ca="1">OFFSET(V45,0,-1)+1</f>
        <v>3</v>
      </c>
      <c r="W45" s="569">
        <f ca="1">OFFSET(W45,0,-1)+1</f>
        <v>4</v>
      </c>
      <c r="X45" s="569">
        <f ca="1">OFFSET(X45,0,-1)+1</f>
        <v>5</v>
      </c>
      <c r="Y45" s="569">
        <f ca="1">OFFSET(Y45,0,-1)+1</f>
        <v>6</v>
      </c>
      <c r="Z45" s="569">
        <f ca="1">OFFSET(Z45,0,-1)+1</f>
        <v>7</v>
      </c>
      <c r="AA45" s="569">
        <f ca="1">OFFSET(AA45,0,-1)+1</f>
        <v>8</v>
      </c>
      <c r="AB45" s="569"/>
      <c r="AC45" s="569">
        <f ca="1">OFFSET(AC45,0,-2)+1</f>
        <v>9</v>
      </c>
      <c r="AD45" s="569">
        <f ca="1">OFFSET(AD45,0,-1)+1</f>
        <v>10</v>
      </c>
      <c r="AE45" s="569"/>
      <c r="AF45" s="569"/>
      <c r="AG45" s="569"/>
      <c r="AH45" s="569"/>
      <c r="AI45" s="569"/>
      <c r="AJ45" s="569"/>
      <c r="AK45" s="569"/>
      <c r="AL45" s="569"/>
      <c r="AM45" s="569"/>
      <c r="AN45" s="569"/>
      <c r="AO45" s="569"/>
      <c r="AP45" s="569"/>
      <c r="AQ45" s="569"/>
      <c r="AR45" s="569"/>
      <c r="AS45" s="569"/>
      <c r="AT45" s="569"/>
      <c r="AU45" s="569"/>
      <c r="AV45" s="569"/>
      <c r="AW45" s="569">
        <f ca="1">OFFSET(AW45,0,-1)+1</f>
        <v>1</v>
      </c>
      <c r="AX45" s="569">
        <f ca="1">OFFSET(AX45,0,-1)+1</f>
        <v>2</v>
      </c>
      <c r="AY45" s="569">
        <f ca="1">OFFSET(AY45,0,-1)+1</f>
        <v>3</v>
      </c>
      <c r="AZ45" s="569"/>
      <c r="BA45" s="569">
        <f ca="1">OFFSET(BA45,0,-2)+1</f>
        <v>4</v>
      </c>
      <c r="BB45" s="568">
        <f ca="1">OFFSET(BB45,0,-1)</f>
        <v>4</v>
      </c>
      <c r="BC45" s="569">
        <f ca="1">OFFSET(BC45,0,-1)+1</f>
        <v>5</v>
      </c>
      <c r="BD45" s="57"/>
      <c r="BE45" s="57"/>
      <c r="BF45" s="57"/>
      <c r="BG45" s="57"/>
      <c r="BH45" s="57"/>
      <c r="BI45" s="131">
        <v>0</v>
      </c>
    </row>
    <row r="46" ht="22" customHeight="1">
      <c r="A46" s="479" t="s">
        <v>256</v>
      </c>
      <c r="B46" s="479"/>
      <c r="C46" s="479"/>
      <c r="D46" s="479"/>
      <c r="E46" s="480">
        <v>1</v>
      </c>
      <c r="F46" s="479"/>
      <c r="G46" s="479"/>
      <c r="H46" s="479"/>
      <c r="I46" s="479"/>
      <c r="J46" s="479"/>
      <c r="K46" s="479"/>
      <c r="L46" s="481"/>
      <c r="M46" s="482"/>
      <c r="N46" s="482"/>
      <c r="O46" s="482"/>
      <c r="P46" s="61"/>
      <c r="Q46" s="64"/>
      <c r="R46" s="483"/>
      <c r="S46" s="484">
        <f>INDEX(PT_DIFFERENTIATION_NUM_NTAR,MATCH(A46,PT_DIFFERENTIATION_NTAR_ID,0))</f>
        <v>0</v>
      </c>
      <c r="T46" s="485" t="s">
        <v>120</v>
      </c>
      <c r="U46" s="486"/>
      <c r="V46" s="488"/>
      <c r="W46" s="488"/>
      <c r="X46" s="488"/>
      <c r="Y46" s="488"/>
      <c r="Z46" s="488"/>
      <c r="AA46" s="488"/>
      <c r="AB46" s="488"/>
      <c r="AC46" s="489"/>
      <c r="AD46" s="487" t="str">
        <f>INDEX(PT_DIFFERENTIATION_NTAR,MATCH(A46,PT_DIFFERENTIATION_NTAR_ID,0))</f>
        <v/>
      </c>
      <c r="AE46" s="488"/>
      <c r="AF46" s="488"/>
      <c r="AG46" s="488"/>
      <c r="AH46" s="488"/>
      <c r="AI46" s="488"/>
      <c r="AJ46" s="488"/>
      <c r="AK46" s="488"/>
      <c r="AL46" s="488"/>
      <c r="AM46" s="488"/>
      <c r="AN46" s="488"/>
      <c r="AO46" s="488"/>
      <c r="AP46" s="488"/>
      <c r="AQ46" s="488"/>
      <c r="AR46" s="488"/>
      <c r="AS46" s="488"/>
      <c r="AT46" s="488"/>
      <c r="AU46" s="488"/>
      <c r="AV46" s="488"/>
      <c r="AW46" s="488"/>
      <c r="AX46" s="488"/>
      <c r="AY46" s="488"/>
      <c r="AZ46" s="488"/>
      <c r="BA46" s="488"/>
      <c r="BB46" s="489"/>
      <c r="BC46"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6"/>
        <v xml:space="preserve">Наименование тарифа</v>
      </c>
      <c r="BG46" s="129"/>
      <c r="BH46" s="129"/>
      <c r="BI46" s="50">
        <v>21</v>
      </c>
    </row>
    <row r="47" ht="22" customHeight="1">
      <c r="A47" s="479" t="s">
        <v>256</v>
      </c>
      <c r="B47" s="479" t="s">
        <v>257</v>
      </c>
      <c r="C47" s="479"/>
      <c r="D47" s="479"/>
      <c r="E47" s="491"/>
      <c r="F47" s="480">
        <v>1</v>
      </c>
      <c r="G47" s="479"/>
      <c r="H47" s="479"/>
      <c r="I47" s="479"/>
      <c r="J47" s="479"/>
      <c r="K47" s="479"/>
      <c r="L47" s="481"/>
      <c r="M47" s="482"/>
      <c r="N47" s="482"/>
      <c r="O47" s="482"/>
      <c r="P47" s="114"/>
      <c r="Q47" s="629"/>
      <c r="R47" s="493"/>
      <c r="S47" s="484" t="str">
        <f>INDEX(PT_DIFFERENTIATION_NUM_TER,MATCH(B47,PT_DIFFERENTIATION_TER_ID,0))</f>
        <v>.</v>
      </c>
      <c r="T47" s="494" t="s">
        <v>392</v>
      </c>
      <c r="U47" s="486"/>
      <c r="V47" s="488"/>
      <c r="W47" s="488"/>
      <c r="X47" s="488"/>
      <c r="Y47" s="488"/>
      <c r="Z47" s="488"/>
      <c r="AA47" s="488"/>
      <c r="AB47" s="488"/>
      <c r="AC47" s="489"/>
      <c r="AD47" s="487" t="str">
        <f>INDEX(PT_DIFFERENTIATION_TER,MATCH(B47,PT_DIFFERENTIATION_TER_ID,0))</f>
        <v/>
      </c>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9"/>
      <c r="BC47" s="490" t="s">
        <v>393</v>
      </c>
      <c r="BE47" s="129"/>
      <c r="BF47" s="129" t="str">
        <f t="shared" si="46"/>
        <v xml:space="preserve">Территория действия тарифа</v>
      </c>
      <c r="BG47" s="129"/>
      <c r="BH47" s="129"/>
      <c r="BI47" s="50">
        <v>21</v>
      </c>
    </row>
    <row r="48" ht="35.649999999999999" customHeight="1">
      <c r="A48" s="479" t="s">
        <v>256</v>
      </c>
      <c r="B48" s="479" t="s">
        <v>257</v>
      </c>
      <c r="C48" s="479" t="s">
        <v>258</v>
      </c>
      <c r="D48" s="479"/>
      <c r="E48" s="491"/>
      <c r="F48" s="491"/>
      <c r="G48" s="480">
        <v>1</v>
      </c>
      <c r="H48" s="479"/>
      <c r="I48" s="479"/>
      <c r="J48" s="479"/>
      <c r="K48" s="479"/>
      <c r="L48" s="481"/>
      <c r="M48" s="482"/>
      <c r="N48" s="482"/>
      <c r="O48" s="482"/>
      <c r="P48" s="135"/>
      <c r="Q48" s="629"/>
      <c r="R48" s="493"/>
      <c r="S48" s="484" t="str">
        <f>INDEX(PT_DIFFERENTIATION_NUM_CS,MATCH(C48,PT_DIFFERENTIATION_CS_ID,0))</f>
        <v>..</v>
      </c>
      <c r="T48" s="496" t="s">
        <v>525</v>
      </c>
      <c r="U48" s="486"/>
      <c r="V48" s="488"/>
      <c r="W48" s="488"/>
      <c r="X48" s="488"/>
      <c r="Y48" s="488"/>
      <c r="Z48" s="488"/>
      <c r="AA48" s="488"/>
      <c r="AB48" s="488"/>
      <c r="AC48" s="489"/>
      <c r="AD48" s="487" t="str">
        <f>INDEX(PT_DIFFERENTIATION_CS,MATCH(C48,PT_DIFFERENTIATION_CS_ID,0))</f>
        <v/>
      </c>
      <c r="AE48" s="488"/>
      <c r="AF48" s="488"/>
      <c r="AG48" s="488"/>
      <c r="AH48" s="488"/>
      <c r="AI48" s="488"/>
      <c r="AJ48" s="488"/>
      <c r="AK48" s="488"/>
      <c r="AL48" s="488"/>
      <c r="AM48" s="488"/>
      <c r="AN48" s="488"/>
      <c r="AO48" s="488"/>
      <c r="AP48" s="488"/>
      <c r="AQ48" s="488"/>
      <c r="AR48" s="488"/>
      <c r="AS48" s="488"/>
      <c r="AT48" s="488"/>
      <c r="AU48" s="488"/>
      <c r="AV48" s="488"/>
      <c r="AW48" s="488"/>
      <c r="AX48" s="488"/>
      <c r="AY48" s="488"/>
      <c r="AZ48" s="488"/>
      <c r="BA48" s="488"/>
      <c r="BB48" s="489"/>
      <c r="BC48" s="490" t="s">
        <v>526</v>
      </c>
      <c r="BE48" s="129"/>
      <c r="BF48" s="129" t="str">
        <f t="shared" si="46"/>
        <v xml:space="preserve">Наименование централизованной системы горячего водоснабжения</v>
      </c>
      <c r="BG48" s="129"/>
      <c r="BH48" s="129"/>
      <c r="BI48" s="50">
        <v>34</v>
      </c>
    </row>
    <row r="49" s="57" customFormat="1" ht="0" customHeight="1">
      <c r="A49" s="133" t="s">
        <v>256</v>
      </c>
      <c r="B49" s="133" t="s">
        <v>257</v>
      </c>
      <c r="C49" s="133" t="s">
        <v>258</v>
      </c>
      <c r="D49" s="133" t="s">
        <v>539</v>
      </c>
      <c r="E49" s="491"/>
      <c r="F49" s="491"/>
      <c r="G49" s="491"/>
      <c r="H49" s="480">
        <v>1</v>
      </c>
      <c r="I49" s="133"/>
      <c r="J49" s="133"/>
      <c r="K49" s="133"/>
      <c r="L49" s="212"/>
      <c r="M49" s="464"/>
      <c r="N49" s="464"/>
      <c r="O49" s="464"/>
      <c r="P49" s="694"/>
      <c r="Q49" s="695"/>
      <c r="R49" s="504"/>
      <c r="S49" s="351"/>
      <c r="T49" s="696"/>
      <c r="U49" s="587"/>
      <c r="V49" s="589"/>
      <c r="W49" s="589"/>
      <c r="X49" s="589"/>
      <c r="Y49" s="589"/>
      <c r="Z49" s="589"/>
      <c r="AA49" s="589"/>
      <c r="AB49" s="589"/>
      <c r="AC49" s="590"/>
      <c r="AD49" s="588"/>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90"/>
      <c r="BC49" s="591" t="s">
        <v>397</v>
      </c>
      <c r="BE49" s="129"/>
      <c r="BF49" s="129" t="str">
        <f t="shared" si="46"/>
        <v/>
      </c>
      <c r="BG49" s="129"/>
      <c r="BH49" s="129"/>
      <c r="BI49" s="57">
        <v>0</v>
      </c>
    </row>
    <row r="50" s="57" customFormat="1" ht="0" customHeight="1">
      <c r="A50" s="133" t="s">
        <v>256</v>
      </c>
      <c r="B50" s="133" t="s">
        <v>257</v>
      </c>
      <c r="C50" s="133" t="s">
        <v>258</v>
      </c>
      <c r="D50" s="133" t="s">
        <v>539</v>
      </c>
      <c r="E50" s="491"/>
      <c r="F50" s="491"/>
      <c r="G50" s="491"/>
      <c r="H50" s="491"/>
      <c r="I50" s="498" t="str">
        <f>S49&amp;".1"</f>
        <v>.1</v>
      </c>
      <c r="J50" s="133"/>
      <c r="K50" s="133"/>
      <c r="L50" s="212" t="s">
        <v>398</v>
      </c>
      <c r="M50" s="596"/>
      <c r="N50" s="596"/>
      <c r="O50" s="596"/>
      <c r="P50" s="132">
        <v>1</v>
      </c>
      <c r="Q50" s="132"/>
      <c r="R50" s="499"/>
      <c r="S50" s="351"/>
      <c r="T50" s="586"/>
      <c r="U50" s="587"/>
      <c r="V50" s="589"/>
      <c r="W50" s="589"/>
      <c r="X50" s="589"/>
      <c r="Y50" s="589"/>
      <c r="Z50" s="589"/>
      <c r="AA50" s="589"/>
      <c r="AB50" s="589"/>
      <c r="AC50" s="590"/>
      <c r="AD50" s="588"/>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90"/>
      <c r="BC50" s="591"/>
      <c r="BE50" s="129"/>
      <c r="BF50" s="129" t="str">
        <f t="shared" si="46"/>
        <v/>
      </c>
      <c r="BG50" s="129"/>
      <c r="BH50" s="129"/>
      <c r="BI50" s="57">
        <v>0</v>
      </c>
    </row>
    <row r="51" s="57" customFormat="1" ht="0" customHeight="1">
      <c r="A51" s="133" t="s">
        <v>256</v>
      </c>
      <c r="B51" s="133" t="s">
        <v>257</v>
      </c>
      <c r="C51" s="133" t="s">
        <v>258</v>
      </c>
      <c r="D51" s="133" t="s">
        <v>539</v>
      </c>
      <c r="E51" s="491"/>
      <c r="F51" s="491"/>
      <c r="G51" s="491"/>
      <c r="H51" s="491"/>
      <c r="I51" s="503"/>
      <c r="J51" s="498" t="str">
        <f>S49&amp;".1"</f>
        <v>.1</v>
      </c>
      <c r="K51" s="133"/>
      <c r="L51" s="212"/>
      <c r="M51" s="596"/>
      <c r="N51" s="596"/>
      <c r="O51" s="596"/>
      <c r="P51" s="132"/>
      <c r="Q51" s="132">
        <v>1</v>
      </c>
      <c r="R51" s="504"/>
      <c r="S51" s="351"/>
      <c r="T51" s="630"/>
      <c r="U51" s="587"/>
      <c r="V51" s="589"/>
      <c r="W51" s="589"/>
      <c r="X51" s="589"/>
      <c r="Y51" s="589"/>
      <c r="Z51" s="589"/>
      <c r="AA51" s="589"/>
      <c r="AB51" s="589"/>
      <c r="AC51" s="590"/>
      <c r="AD51" s="588"/>
      <c r="AE51" s="589"/>
      <c r="AF51" s="589"/>
      <c r="AG51" s="589"/>
      <c r="AH51" s="589"/>
      <c r="AI51" s="589"/>
      <c r="AJ51" s="589"/>
      <c r="AK51" s="589"/>
      <c r="AL51" s="589"/>
      <c r="AM51" s="589"/>
      <c r="AN51" s="703"/>
      <c r="AO51" s="703"/>
      <c r="AP51" s="589"/>
      <c r="AQ51" s="589"/>
      <c r="AR51" s="589"/>
      <c r="AS51" s="589"/>
      <c r="AT51" s="589"/>
      <c r="AU51" s="589"/>
      <c r="AV51" s="589"/>
      <c r="AW51" s="589"/>
      <c r="AX51" s="589"/>
      <c r="AY51" s="589"/>
      <c r="AZ51" s="589"/>
      <c r="BA51" s="589"/>
      <c r="BB51" s="590"/>
      <c r="BC51" s="591"/>
      <c r="BE51" s="129"/>
      <c r="BF51" s="129" t="str">
        <f t="shared" si="46"/>
        <v/>
      </c>
      <c r="BG51" s="129"/>
      <c r="BH51" s="129"/>
      <c r="BI51" s="57">
        <v>0</v>
      </c>
    </row>
    <row r="52" ht="11.5" customHeight="1">
      <c r="A52" s="479" t="s">
        <v>256</v>
      </c>
      <c r="B52" s="479" t="s">
        <v>257</v>
      </c>
      <c r="C52" s="479" t="s">
        <v>258</v>
      </c>
      <c r="D52" s="479" t="s">
        <v>539</v>
      </c>
      <c r="E52" s="491"/>
      <c r="F52" s="491"/>
      <c r="G52" s="491"/>
      <c r="H52" s="491"/>
      <c r="I52" s="503"/>
      <c r="J52" s="503"/>
      <c r="K52" s="498" t="str">
        <f>S48&amp;".1"</f>
        <v>...1</v>
      </c>
      <c r="L52" s="481"/>
      <c r="P52" s="132"/>
      <c r="Q52" s="132"/>
      <c r="R52" s="504">
        <v>1</v>
      </c>
      <c r="S52" s="598" t="str">
        <f>$K52</f>
        <v>...1</v>
      </c>
      <c r="T52" s="689"/>
      <c r="U52" s="486"/>
      <c r="V52" s="507"/>
      <c r="W52" s="509"/>
      <c r="X52" s="507"/>
      <c r="Y52" s="509"/>
      <c r="Z52" s="510"/>
      <c r="AA52" s="224" t="s">
        <v>65</v>
      </c>
      <c r="AB52" s="510"/>
      <c r="AC52" s="224" t="s">
        <v>65</v>
      </c>
      <c r="AD52" s="314" t="s">
        <v>65</v>
      </c>
      <c r="AE52" s="633"/>
      <c r="AF52" s="345">
        <v>1</v>
      </c>
      <c r="AG52" s="690"/>
      <c r="AH52" s="224" t="s">
        <v>65</v>
      </c>
      <c r="AI52" s="633"/>
      <c r="AJ52" s="345">
        <v>1</v>
      </c>
      <c r="AK52" s="87" t="s">
        <v>22</v>
      </c>
      <c r="AL52" s="224" t="s">
        <v>65</v>
      </c>
      <c r="AM52" s="304"/>
      <c r="AN52" s="345">
        <v>1</v>
      </c>
      <c r="AO52" s="697"/>
      <c r="AP52" s="698" t="s">
        <v>65</v>
      </c>
      <c r="AQ52" s="634"/>
      <c r="AR52" s="345">
        <v>1</v>
      </c>
      <c r="AS52" s="95" t="s">
        <v>22</v>
      </c>
      <c r="AT52" s="507"/>
      <c r="AU52" s="509"/>
      <c r="AV52" s="507"/>
      <c r="AW52" s="509"/>
      <c r="AX52" s="510"/>
      <c r="AY52" s="224" t="s">
        <v>65</v>
      </c>
      <c r="AZ52" s="510"/>
      <c r="BA52" s="224" t="s">
        <v>65</v>
      </c>
      <c r="BB52" s="571"/>
      <c r="BC52" s="511" t="s">
        <v>496</v>
      </c>
      <c r="BE52" s="129"/>
      <c r="BF52" s="129" t="str">
        <f t="shared" si="46"/>
        <v/>
      </c>
      <c r="BG52" s="129"/>
      <c r="BH52" s="129"/>
      <c r="BI52" s="50">
        <v>11</v>
      </c>
    </row>
    <row r="53" ht="11.5" customHeight="1">
      <c r="A53" s="479"/>
      <c r="B53" s="479"/>
      <c r="C53" s="479"/>
      <c r="D53" s="479"/>
      <c r="E53" s="491"/>
      <c r="F53" s="491"/>
      <c r="G53" s="491"/>
      <c r="H53" s="491"/>
      <c r="I53" s="503"/>
      <c r="J53" s="503"/>
      <c r="K53" s="498"/>
      <c r="L53" s="481"/>
      <c r="P53" s="132"/>
      <c r="Q53" s="132"/>
      <c r="R53" s="504"/>
      <c r="S53" s="635"/>
      <c r="T53" s="699"/>
      <c r="U53" s="486"/>
      <c r="V53" s="622"/>
      <c r="W53" s="639"/>
      <c r="X53" s="622"/>
      <c r="Y53" s="639"/>
      <c r="Z53" s="622"/>
      <c r="AA53" s="622"/>
      <c r="AB53" s="622"/>
      <c r="AC53" s="622"/>
      <c r="AD53" s="320"/>
      <c r="AE53" s="633"/>
      <c r="AF53" s="345"/>
      <c r="AG53" s="690"/>
      <c r="AH53" s="224"/>
      <c r="AI53" s="633"/>
      <c r="AJ53" s="345"/>
      <c r="AK53" s="87"/>
      <c r="AL53" s="224"/>
      <c r="AM53" s="310"/>
      <c r="AN53" s="345"/>
      <c r="AO53" s="697"/>
      <c r="AP53" s="700"/>
      <c r="AQ53" s="638"/>
      <c r="AR53" s="177"/>
      <c r="AS53" s="177" t="s">
        <v>497</v>
      </c>
      <c r="AT53" s="622"/>
      <c r="AU53" s="639"/>
      <c r="AV53" s="622"/>
      <c r="AW53" s="639"/>
      <c r="AX53" s="622"/>
      <c r="AY53" s="622"/>
      <c r="AZ53" s="622"/>
      <c r="BA53" s="622"/>
      <c r="BB53" s="637"/>
      <c r="BC53" s="514"/>
      <c r="BE53" s="129"/>
      <c r="BF53" s="129"/>
      <c r="BG53" s="129"/>
      <c r="BH53" s="129"/>
      <c r="BI53" s="50">
        <v>11</v>
      </c>
    </row>
    <row r="54" ht="11.5" customHeight="1">
      <c r="A54" s="479" t="s">
        <v>256</v>
      </c>
      <c r="B54" s="479"/>
      <c r="C54" s="479"/>
      <c r="D54" s="479"/>
      <c r="E54" s="491"/>
      <c r="F54" s="491"/>
      <c r="G54" s="491"/>
      <c r="H54" s="491"/>
      <c r="I54" s="503"/>
      <c r="J54" s="503"/>
      <c r="K54" s="498"/>
      <c r="L54" s="481"/>
      <c r="P54" s="132"/>
      <c r="Q54" s="132"/>
      <c r="R54" s="504"/>
      <c r="S54" s="635"/>
      <c r="T54" s="699"/>
      <c r="U54" s="486"/>
      <c r="V54" s="622"/>
      <c r="W54" s="639"/>
      <c r="X54" s="622"/>
      <c r="Y54" s="639"/>
      <c r="Z54" s="622"/>
      <c r="AA54" s="622"/>
      <c r="AB54" s="622"/>
      <c r="AC54" s="622"/>
      <c r="AD54" s="320"/>
      <c r="AE54" s="633"/>
      <c r="AF54" s="345"/>
      <c r="AG54" s="690"/>
      <c r="AH54" s="224"/>
      <c r="AI54" s="633"/>
      <c r="AJ54" s="345"/>
      <c r="AK54" s="87"/>
      <c r="AL54" s="224"/>
      <c r="AM54" s="638"/>
      <c r="AN54" s="701"/>
      <c r="AO54" s="701" t="s">
        <v>498</v>
      </c>
      <c r="AP54" s="177"/>
      <c r="AQ54" s="177"/>
      <c r="AR54" s="177"/>
      <c r="AS54" s="622"/>
      <c r="AT54" s="622"/>
      <c r="AU54" s="639"/>
      <c r="AV54" s="622"/>
      <c r="AW54" s="639"/>
      <c r="AX54" s="622"/>
      <c r="AY54" s="622"/>
      <c r="AZ54" s="622"/>
      <c r="BA54" s="622"/>
      <c r="BB54" s="637"/>
      <c r="BC54" s="514"/>
      <c r="BE54" s="129"/>
      <c r="BF54" s="129"/>
      <c r="BG54" s="129"/>
      <c r="BH54" s="129"/>
      <c r="BI54" s="50">
        <v>11</v>
      </c>
    </row>
    <row r="55" ht="11.5" customHeight="1">
      <c r="A55" s="479" t="s">
        <v>256</v>
      </c>
      <c r="B55" s="479"/>
      <c r="C55" s="479"/>
      <c r="D55" s="479"/>
      <c r="E55" s="491"/>
      <c r="F55" s="491"/>
      <c r="G55" s="491"/>
      <c r="H55" s="491"/>
      <c r="I55" s="503"/>
      <c r="J55" s="503"/>
      <c r="K55" s="498"/>
      <c r="L55" s="481"/>
      <c r="P55" s="132"/>
      <c r="Q55" s="132"/>
      <c r="R55" s="504"/>
      <c r="S55" s="635"/>
      <c r="T55" s="699"/>
      <c r="U55" s="486"/>
      <c r="V55" s="622"/>
      <c r="W55" s="639"/>
      <c r="X55" s="622"/>
      <c r="Y55" s="639"/>
      <c r="Z55" s="622"/>
      <c r="AA55" s="622"/>
      <c r="AB55" s="622"/>
      <c r="AC55" s="622"/>
      <c r="AD55" s="320"/>
      <c r="AE55" s="633"/>
      <c r="AF55" s="345"/>
      <c r="AG55" s="690"/>
      <c r="AH55" s="224"/>
      <c r="AI55" s="641"/>
      <c r="AJ55" s="172"/>
      <c r="AK55" s="441" t="s">
        <v>499</v>
      </c>
      <c r="AL55" s="622"/>
      <c r="AM55" s="622"/>
      <c r="AN55" s="622"/>
      <c r="AO55" s="622"/>
      <c r="AP55" s="622"/>
      <c r="AQ55" s="622"/>
      <c r="AR55" s="622"/>
      <c r="AS55" s="622"/>
      <c r="AT55" s="622"/>
      <c r="AU55" s="639"/>
      <c r="AV55" s="622"/>
      <c r="AW55" s="639"/>
      <c r="AX55" s="622"/>
      <c r="AY55" s="622"/>
      <c r="AZ55" s="622"/>
      <c r="BA55" s="622"/>
      <c r="BB55" s="637"/>
      <c r="BC55" s="514"/>
      <c r="BE55" s="129"/>
      <c r="BF55" s="129"/>
      <c r="BG55" s="129"/>
      <c r="BH55" s="129"/>
      <c r="BI55" s="50">
        <v>11</v>
      </c>
    </row>
    <row r="56" ht="11.5" customHeight="1">
      <c r="A56" s="479" t="s">
        <v>256</v>
      </c>
      <c r="B56" s="479" t="s">
        <v>257</v>
      </c>
      <c r="C56" s="479" t="s">
        <v>258</v>
      </c>
      <c r="D56" s="479" t="s">
        <v>539</v>
      </c>
      <c r="E56" s="491"/>
      <c r="F56" s="491"/>
      <c r="G56" s="491"/>
      <c r="H56" s="491"/>
      <c r="I56" s="503"/>
      <c r="J56" s="503"/>
      <c r="K56" s="498"/>
      <c r="L56" s="481"/>
      <c r="P56" s="132"/>
      <c r="Q56" s="132"/>
      <c r="R56" s="504"/>
      <c r="S56" s="608"/>
      <c r="T56" s="702"/>
      <c r="U56" s="486"/>
      <c r="V56" s="622"/>
      <c r="W56" s="623" t="str">
        <f>Z52&amp;"-"&amp;AB52</f>
        <v>-</v>
      </c>
      <c r="X56" s="622"/>
      <c r="Y56" s="623" t="str">
        <f>AB52&amp;"-"&amp;AD52</f>
        <v>-да</v>
      </c>
      <c r="Z56" s="622"/>
      <c r="AA56" s="622"/>
      <c r="AB56" s="622"/>
      <c r="AC56" s="622"/>
      <c r="AD56" s="220"/>
      <c r="AE56" s="644"/>
      <c r="AF56" s="645"/>
      <c r="AG56" s="177" t="s">
        <v>500</v>
      </c>
      <c r="AH56" s="622"/>
      <c r="AI56" s="622"/>
      <c r="AJ56" s="622"/>
      <c r="AK56" s="622"/>
      <c r="AL56" s="622"/>
      <c r="AM56" s="622"/>
      <c r="AN56" s="622"/>
      <c r="AO56" s="622"/>
      <c r="AP56" s="622"/>
      <c r="AQ56" s="622"/>
      <c r="AR56" s="622"/>
      <c r="AS56" s="622"/>
      <c r="AT56" s="622"/>
      <c r="AU56" s="623" t="str">
        <f>AX52&amp;"-"&amp;AZ52</f>
        <v>-</v>
      </c>
      <c r="AV56" s="622"/>
      <c r="AW56" s="623" t="str">
        <f>AZ52&amp;"-"&amp;BB52</f>
        <v>-</v>
      </c>
      <c r="AX56" s="622"/>
      <c r="AY56" s="622"/>
      <c r="AZ56" s="622"/>
      <c r="BA56" s="622"/>
      <c r="BB56" s="643" t="str">
        <f>BE52&amp;"-"&amp;BG52</f>
        <v>-</v>
      </c>
      <c r="BC56" s="514"/>
      <c r="BE56" s="129"/>
      <c r="BF56" s="129" t="str">
        <f t="shared" si="46"/>
        <v/>
      </c>
      <c r="BG56" s="129"/>
      <c r="BH56" s="129"/>
      <c r="BI56" s="50">
        <v>11</v>
      </c>
    </row>
    <row r="57" ht="11.5" customHeight="1">
      <c r="A57" s="479" t="s">
        <v>256</v>
      </c>
      <c r="B57" s="479" t="s">
        <v>257</v>
      </c>
      <c r="C57" s="479" t="s">
        <v>258</v>
      </c>
      <c r="D57" s="479" t="s">
        <v>539</v>
      </c>
      <c r="E57" s="491"/>
      <c r="F57" s="491"/>
      <c r="G57" s="491"/>
      <c r="H57" s="491"/>
      <c r="I57" s="503"/>
      <c r="J57" s="498"/>
      <c r="K57" s="479"/>
      <c r="L57" s="481"/>
      <c r="P57" s="132"/>
      <c r="Q57" s="132"/>
      <c r="R57" s="499"/>
      <c r="S57" s="515"/>
      <c r="T57" s="519" t="s">
        <v>463</v>
      </c>
      <c r="U57" s="214"/>
      <c r="V57" s="214"/>
      <c r="W57" s="214"/>
      <c r="X57" s="214"/>
      <c r="Y57" s="214"/>
      <c r="Z57" s="214"/>
      <c r="AA57" s="214"/>
      <c r="AB57" s="214"/>
      <c r="AC57" s="517"/>
      <c r="AD57" s="67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17"/>
      <c r="BC57" s="518"/>
      <c r="BE57" s="129"/>
      <c r="BF57" s="129" t="str">
        <f t="shared" si="46"/>
        <v xml:space="preserve">Добавить строку</v>
      </c>
      <c r="BG57" s="129"/>
      <c r="BH57" s="129"/>
      <c r="BI57" s="50">
        <v>11</v>
      </c>
    </row>
    <row r="58" s="57" customFormat="1" ht="0" customHeight="1">
      <c r="A58" s="133" t="s">
        <v>256</v>
      </c>
      <c r="B58" s="133" t="s">
        <v>257</v>
      </c>
      <c r="C58" s="133" t="s">
        <v>258</v>
      </c>
      <c r="D58" s="133" t="s">
        <v>539</v>
      </c>
      <c r="E58" s="491"/>
      <c r="F58" s="491"/>
      <c r="G58" s="491"/>
      <c r="H58" s="491"/>
      <c r="I58" s="498"/>
      <c r="J58" s="133"/>
      <c r="K58" s="133"/>
      <c r="L58" s="212"/>
      <c r="M58" s="596"/>
      <c r="N58" s="596"/>
      <c r="O58" s="596"/>
      <c r="P58" s="132"/>
      <c r="Q58" s="132"/>
      <c r="R58" s="499"/>
      <c r="S58" s="592"/>
      <c r="T58" s="593"/>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5"/>
      <c r="BE58" s="129"/>
      <c r="BF58" s="129" t="str">
        <f t="shared" si="46"/>
        <v/>
      </c>
      <c r="BG58" s="129"/>
      <c r="BH58" s="129"/>
      <c r="BI58" s="57">
        <v>0</v>
      </c>
    </row>
    <row r="59" s="57" customFormat="1" ht="0" customHeight="1">
      <c r="A59" s="133" t="s">
        <v>256</v>
      </c>
      <c r="B59" s="133" t="s">
        <v>257</v>
      </c>
      <c r="C59" s="133" t="s">
        <v>258</v>
      </c>
      <c r="D59" s="133" t="s">
        <v>539</v>
      </c>
      <c r="E59" s="491"/>
      <c r="F59" s="491"/>
      <c r="G59" s="491"/>
      <c r="H59" s="480"/>
      <c r="I59" s="133"/>
      <c r="J59" s="133"/>
      <c r="K59" s="133"/>
      <c r="L59" s="212"/>
      <c r="M59" s="464"/>
      <c r="N59" s="464"/>
      <c r="O59" s="57"/>
      <c r="P59" s="167"/>
      <c r="Q59" s="524"/>
      <c r="R59" s="646"/>
      <c r="S59" s="592"/>
      <c r="T59" s="593"/>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5"/>
      <c r="BE59" s="129"/>
      <c r="BF59" s="129" t="str">
        <f t="shared" si="46"/>
        <v/>
      </c>
      <c r="BG59" s="129"/>
      <c r="BH59" s="129"/>
      <c r="BI59" s="57">
        <v>0</v>
      </c>
    </row>
    <row r="60" s="57" customFormat="1" ht="0" customHeight="1">
      <c r="A60" s="133" t="s">
        <v>256</v>
      </c>
      <c r="B60" s="133" t="s">
        <v>257</v>
      </c>
      <c r="C60" s="133" t="s">
        <v>258</v>
      </c>
      <c r="D60" s="133"/>
      <c r="E60" s="491"/>
      <c r="F60" s="491"/>
      <c r="G60" s="480"/>
      <c r="H60" s="133"/>
      <c r="I60" s="133"/>
      <c r="J60" s="133"/>
      <c r="K60" s="133"/>
      <c r="L60" s="212"/>
      <c r="M60" s="464"/>
      <c r="N60" s="464"/>
      <c r="P60" s="167"/>
      <c r="Q60" s="524"/>
      <c r="R60" s="167"/>
      <c r="S60" s="529"/>
      <c r="T60" s="532"/>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E60" s="129"/>
      <c r="BF60" s="129" t="str">
        <f t="shared" si="46"/>
        <v/>
      </c>
      <c r="BG60" s="129"/>
      <c r="BH60" s="129"/>
      <c r="BI60" s="57">
        <v>0</v>
      </c>
    </row>
    <row r="61" s="57" customFormat="1" ht="0" customHeight="1">
      <c r="A61" s="133" t="s">
        <v>256</v>
      </c>
      <c r="B61" s="133" t="s">
        <v>257</v>
      </c>
      <c r="C61" s="133"/>
      <c r="D61" s="133"/>
      <c r="E61" s="491"/>
      <c r="F61" s="480"/>
      <c r="G61" s="133"/>
      <c r="H61" s="133"/>
      <c r="I61" s="133"/>
      <c r="J61" s="133"/>
      <c r="K61" s="133"/>
      <c r="L61" s="212"/>
      <c r="M61" s="528"/>
      <c r="N61" s="528"/>
      <c r="P61" s="167"/>
      <c r="Q61" s="524"/>
      <c r="R61" s="167"/>
      <c r="S61" s="529"/>
      <c r="T61" s="532" t="s">
        <v>410</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1"/>
      <c r="AX61" s="531"/>
      <c r="AY61" s="531"/>
      <c r="AZ61" s="531"/>
      <c r="BA61" s="531"/>
      <c r="BB61" s="531"/>
      <c r="BC61" s="531"/>
      <c r="BE61" s="129"/>
      <c r="BF61" s="129" t="str">
        <f t="shared" si="46"/>
        <v xml:space="preserve">Добавить централизованную систему для дифференциации</v>
      </c>
      <c r="BG61" s="129"/>
      <c r="BH61" s="129"/>
      <c r="BI61" s="57">
        <v>0</v>
      </c>
    </row>
    <row r="62" s="57" customFormat="1" ht="0" customHeight="1">
      <c r="A62" s="133" t="s">
        <v>256</v>
      </c>
      <c r="B62" s="133"/>
      <c r="C62" s="133"/>
      <c r="D62" s="133"/>
      <c r="E62" s="480"/>
      <c r="F62" s="133"/>
      <c r="G62" s="133"/>
      <c r="H62" s="133"/>
      <c r="I62" s="133"/>
      <c r="J62" s="133"/>
      <c r="K62" s="133"/>
      <c r="L62" s="212"/>
      <c r="M62" s="528"/>
      <c r="N62" s="528"/>
      <c r="O62" s="57"/>
      <c r="P62" s="167"/>
      <c r="Q62" s="524"/>
      <c r="R62" s="167"/>
      <c r="S62" s="529"/>
      <c r="T62" s="532" t="s">
        <v>411</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31"/>
      <c r="BB62" s="531"/>
      <c r="BC62" s="531"/>
      <c r="BE62" s="129"/>
      <c r="BF62" s="129" t="str">
        <f t="shared" si="46"/>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28"/>
      <c r="N63" s="528"/>
      <c r="P63" s="167"/>
      <c r="Q63" s="524"/>
      <c r="R63" s="167"/>
      <c r="S63" s="529"/>
      <c r="T63" s="532" t="s">
        <v>443</v>
      </c>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1"/>
      <c r="AY63" s="531"/>
      <c r="AZ63" s="531"/>
      <c r="BA63" s="531"/>
      <c r="BB63" s="531"/>
      <c r="BC63" s="531"/>
      <c r="BE63" s="129"/>
      <c r="BF63" s="129" t="str">
        <f t="shared" si="46"/>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76"/>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c r="BI65" s="50">
        <v>19</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c r="BI66" s="50">
        <v>14</v>
      </c>
    </row>
    <row r="67" ht="19.949999999999999" customHeight="1">
      <c r="O67" s="53"/>
      <c r="S67" s="476"/>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38">
        <v>0</v>
      </c>
      <c r="R69" s="47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3200EA-0063-47A7-B7DF-000000FD00B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8900BA-002F-4DB3-A517-003F002000F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6B0032-0000-4B0E-9C86-0005002800BC}"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0E00BC-00E1-4D54-AAB3-000C002100F9}"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1300B8-00FD-4620-A8E2-001300BC00DE}"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0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6"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31" t="s">
        <v>540</v>
      </c>
      <c r="D2" s="125"/>
      <c r="E2" s="707">
        <f>B2</f>
        <v>0</v>
      </c>
      <c r="F2" s="708"/>
      <c r="G2" s="157" t="s">
        <v>541</v>
      </c>
      <c r="H2" s="157" t="s">
        <v>541</v>
      </c>
      <c r="I2" s="157" t="s">
        <v>541</v>
      </c>
      <c r="J2" s="485" t="s">
        <v>542</v>
      </c>
      <c r="K2" s="709"/>
      <c r="AF2" s="50">
        <v>0</v>
      </c>
    </row>
    <row r="3" s="57" customFormat="1" ht="0.75" hidden="1" customHeight="1">
      <c r="B3" s="51"/>
      <c r="C3" s="531"/>
      <c r="D3" s="531"/>
      <c r="E3" s="710"/>
      <c r="F3" s="711" t="s">
        <v>543</v>
      </c>
      <c r="G3" s="158"/>
      <c r="H3" s="158">
        <f>H4*H5+H7</f>
        <v>0</v>
      </c>
      <c r="I3" s="158">
        <f>I4*I5+I6</f>
        <v>0</v>
      </c>
      <c r="J3" s="350"/>
      <c r="AF3" s="57">
        <v>0</v>
      </c>
    </row>
    <row r="4" ht="23.25" hidden="1" customHeight="1">
      <c r="B4" s="51"/>
      <c r="C4" s="531"/>
      <c r="D4" s="125"/>
      <c r="E4" s="707" t="str">
        <f>B2&amp;".1"</f>
        <v>.1</v>
      </c>
      <c r="F4" s="712" t="s">
        <v>544</v>
      </c>
      <c r="G4" s="713"/>
      <c r="H4" s="507"/>
      <c r="I4" s="507"/>
      <c r="J4" s="485" t="s">
        <v>545</v>
      </c>
      <c r="K4" s="709"/>
      <c r="AF4" s="50">
        <v>0</v>
      </c>
    </row>
    <row r="5" ht="18.75" hidden="1" customHeight="1">
      <c r="B5" s="51"/>
      <c r="C5" s="531"/>
      <c r="D5" s="125"/>
      <c r="E5" s="707" t="str">
        <f>B2&amp;".2"</f>
        <v>.2</v>
      </c>
      <c r="F5" s="712" t="s">
        <v>546</v>
      </c>
      <c r="G5" s="157" t="s">
        <v>547</v>
      </c>
      <c r="H5" s="507"/>
      <c r="I5" s="507"/>
      <c r="J5" s="485"/>
      <c r="K5" s="709"/>
      <c r="AF5" s="50">
        <v>0</v>
      </c>
    </row>
    <row r="6" ht="18.75" hidden="1" customHeight="1">
      <c r="B6" s="51"/>
      <c r="C6" s="531"/>
      <c r="D6" s="125"/>
      <c r="E6" s="707" t="str">
        <f>B2&amp;".3"</f>
        <v>.3</v>
      </c>
      <c r="F6" s="712" t="s">
        <v>548</v>
      </c>
      <c r="G6" s="157" t="s">
        <v>547</v>
      </c>
      <c r="H6" s="507"/>
      <c r="I6" s="507"/>
      <c r="J6" s="485"/>
      <c r="K6" s="709"/>
      <c r="AF6" s="50">
        <v>0</v>
      </c>
    </row>
    <row r="7" ht="18.75" hidden="1" customHeight="1">
      <c r="B7" s="51"/>
      <c r="C7" s="531"/>
      <c r="D7" s="125"/>
      <c r="E7" s="707" t="str">
        <f>B2&amp;".4"</f>
        <v>.4</v>
      </c>
      <c r="F7" s="712" t="s">
        <v>549</v>
      </c>
      <c r="G7" s="157" t="s">
        <v>541</v>
      </c>
      <c r="H7" s="714"/>
      <c r="I7" s="714"/>
      <c r="J7" s="485"/>
      <c r="K7" s="709"/>
      <c r="AF7" s="50">
        <v>0</v>
      </c>
    </row>
    <row r="8" s="53" customFormat="1" ht="11.25" hidden="1" customHeight="1">
      <c r="A8" s="705"/>
      <c r="C8" s="57"/>
      <c r="D8" s="53"/>
      <c r="H8" s="53">
        <v>4</v>
      </c>
      <c r="I8" s="53">
        <v>4</v>
      </c>
      <c r="L8" s="57"/>
      <c r="M8" s="57"/>
      <c r="R8" s="57"/>
      <c r="AF8" s="53">
        <v>0</v>
      </c>
    </row>
    <row r="9" s="53" customFormat="1" ht="22.5" hidden="1" customHeight="1">
      <c r="A9" s="705"/>
      <c r="C9" s="57"/>
      <c r="D9" s="715"/>
      <c r="E9" s="157"/>
      <c r="F9" s="159"/>
      <c r="G9" s="157" t="s">
        <v>547</v>
      </c>
      <c r="H9" s="507"/>
      <c r="I9" s="507"/>
      <c r="J9" s="716" t="s">
        <v>550</v>
      </c>
      <c r="K9" s="709"/>
      <c r="L9" s="57"/>
      <c r="M9" s="57"/>
      <c r="R9" s="57"/>
      <c r="U9" s="706"/>
      <c r="AA9" s="56"/>
      <c r="AB9" s="56"/>
      <c r="AC9" s="56"/>
      <c r="AD9" s="56"/>
      <c r="AE9" s="56"/>
      <c r="AF9" s="53">
        <v>0</v>
      </c>
    </row>
    <row r="10" ht="11.25" hidden="1" customHeight="1">
      <c r="AF10" s="50">
        <v>0</v>
      </c>
    </row>
    <row r="11" ht="18.75" hidden="1" customHeight="1">
      <c r="D11" s="125"/>
      <c r="E11" s="707"/>
      <c r="F11" s="159"/>
      <c r="G11" s="157" t="s">
        <v>551</v>
      </c>
      <c r="H11" s="507"/>
      <c r="I11" s="507"/>
      <c r="J11" s="485" t="s">
        <v>552</v>
      </c>
      <c r="K11" s="709"/>
      <c r="AF11" s="50">
        <v>0</v>
      </c>
    </row>
    <row r="12" ht="11.25" hidden="1" customHeight="1">
      <c r="AF12" s="50">
        <v>0</v>
      </c>
    </row>
    <row r="13" ht="22.5" hidden="1" customHeight="1">
      <c r="D13" s="125"/>
      <c r="E13" s="707"/>
      <c r="F13" s="159"/>
      <c r="G13" s="72" t="s">
        <v>553</v>
      </c>
      <c r="H13" s="717"/>
      <c r="I13" s="717"/>
      <c r="J13" s="718" t="s">
        <v>554</v>
      </c>
      <c r="K13" s="709"/>
      <c r="AF13" s="50">
        <v>0</v>
      </c>
    </row>
    <row r="14" ht="11.25" hidden="1" customHeight="1">
      <c r="AF14" s="50">
        <v>0</v>
      </c>
    </row>
    <row r="15" ht="22.5" hidden="1" customHeight="1">
      <c r="D15" s="125"/>
      <c r="E15" s="707"/>
      <c r="F15" s="159"/>
      <c r="G15" s="157" t="s">
        <v>555</v>
      </c>
      <c r="H15" s="717"/>
      <c r="I15" s="717"/>
      <c r="J15" s="485" t="s">
        <v>556</v>
      </c>
      <c r="K15" s="709"/>
      <c r="AF15" s="50">
        <v>0</v>
      </c>
    </row>
    <row r="16" ht="11.25" hidden="1" customHeight="1">
      <c r="AF16" s="50">
        <v>0</v>
      </c>
    </row>
    <row r="17" ht="22.5" hidden="1" customHeight="1">
      <c r="D17" s="125"/>
      <c r="E17" s="707"/>
      <c r="F17" s="159"/>
      <c r="G17" s="157" t="s">
        <v>557</v>
      </c>
      <c r="H17" s="717"/>
      <c r="I17" s="717"/>
      <c r="J17" s="485" t="s">
        <v>558</v>
      </c>
      <c r="K17" s="709"/>
      <c r="AF17" s="50">
        <v>0</v>
      </c>
    </row>
    <row r="18" ht="11.25" hidden="1" customHeight="1">
      <c r="AF18" s="50">
        <v>0</v>
      </c>
    </row>
    <row r="19" s="56" customFormat="1" ht="11.25" hidden="1" customHeight="1">
      <c r="A19" s="705"/>
      <c r="B19" s="53"/>
      <c r="C19" s="57"/>
      <c r="D19" s="56"/>
      <c r="J19" s="56">
        <v>4</v>
      </c>
      <c r="K19" s="53"/>
      <c r="L19" s="57"/>
      <c r="M19" s="57"/>
      <c r="N19" s="53"/>
      <c r="O19" s="53"/>
      <c r="P19" s="53"/>
      <c r="Q19" s="53"/>
      <c r="R19" s="57"/>
      <c r="S19" s="53"/>
      <c r="T19" s="53"/>
      <c r="U19" s="706"/>
      <c r="V19" s="53"/>
      <c r="W19" s="53"/>
      <c r="X19" s="53"/>
      <c r="Y19" s="53"/>
      <c r="Z19" s="53"/>
      <c r="AF19" s="56">
        <v>0</v>
      </c>
    </row>
    <row r="20" ht="11.5" customHeight="1">
      <c r="AF20" s="50">
        <v>11</v>
      </c>
    </row>
    <row r="21" ht="25.199999999999999" customHeight="1">
      <c r="E21" s="452"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52"/>
      <c r="G21" s="452"/>
      <c r="H21" s="452"/>
      <c r="I21" s="452"/>
      <c r="J21" s="240"/>
      <c r="AF21" s="50">
        <v>24</v>
      </c>
    </row>
    <row r="22" ht="25.199999999999999" customHeight="1">
      <c r="E22" s="303" t="str">
        <f>IF(org=0,"Не определено",org)</f>
        <v xml:space="preserve">АО "ДГК" СП "Биробиджанская ТЭЦ"</v>
      </c>
      <c r="F22" s="303"/>
      <c r="G22" s="303"/>
      <c r="H22" s="303"/>
      <c r="I22" s="303"/>
      <c r="AF22" s="50">
        <v>24</v>
      </c>
    </row>
    <row r="23" ht="11.5" customHeight="1">
      <c r="E23" s="719"/>
      <c r="F23" s="719"/>
      <c r="G23" s="719"/>
      <c r="H23" s="719"/>
      <c r="I23" s="719"/>
      <c r="AF23" s="50">
        <v>11</v>
      </c>
    </row>
    <row r="24" s="57" customFormat="1" ht="1.05" customHeight="1">
      <c r="A24" s="531"/>
      <c r="D24" s="57"/>
      <c r="H24" s="720"/>
      <c r="I24" s="720" t="s">
        <v>114</v>
      </c>
      <c r="AF24" s="57">
        <v>1</v>
      </c>
    </row>
    <row r="25" ht="11.5" customHeight="1">
      <c r="E25" s="721"/>
      <c r="F25" s="722" t="s">
        <v>102</v>
      </c>
      <c r="G25" s="723"/>
      <c r="H25" s="724" t="str">
        <f>IF(H24="","",INDEX(DIFFERENTIATION_UNMERGE_VD,MATCH(H24,DIFFERENTIATION_ID_DIFF,0)))</f>
        <v/>
      </c>
      <c r="I25" s="724">
        <f>IF(I24="","",INDEX(DIFFERENTIATION_UNMERGE_VD,MATCH(I24,DIFFERENTIATION_ID_DIFF,0)))</f>
        <v>0</v>
      </c>
      <c r="J25" s="157"/>
      <c r="AF25" s="50">
        <v>11</v>
      </c>
    </row>
    <row r="26" ht="11.5" customHeight="1">
      <c r="E26" s="721"/>
      <c r="F26" s="722" t="s">
        <v>559</v>
      </c>
      <c r="G26" s="723"/>
      <c r="H26" s="724" t="str">
        <f>IF(H24="","",INDEX(DIFFERENTIATION_UNMERGE_AREA,MATCH(H24,DIFFERENTIATION_ID_DIFF,0)))</f>
        <v/>
      </c>
      <c r="I26" s="724" t="str">
        <f>IF(I24="","",INDEX(DIFFERENTIATION_UNMERGE_AREA,MATCH(I24,DIFFERENTIATION_ID_DIFF,0)))</f>
        <v/>
      </c>
      <c r="J26" s="157"/>
      <c r="AF26" s="50">
        <v>11</v>
      </c>
    </row>
    <row r="27" ht="11.5" customHeight="1">
      <c r="E27" s="721"/>
      <c r="F27" s="722" t="s">
        <v>560</v>
      </c>
      <c r="G27" s="723"/>
      <c r="H27" s="724" t="str">
        <f>IF(H24="","",INDEX(DIFFERENTIATION_UNMERGE_SYSTEM,MATCH(H24,DIFFERENTIATION_ID_DIFF,0)))</f>
        <v/>
      </c>
      <c r="I27" s="724" t="str">
        <f>IF(I24="","",INDEX(DIFFERENTIATION_UNMERGE_SYSTEM,MATCH(I24,DIFFERENTIATION_ID_DIFF,0)))</f>
        <v xml:space="preserve">без дифференциации</v>
      </c>
      <c r="J27" s="157"/>
      <c r="AF27" s="50">
        <v>11</v>
      </c>
    </row>
    <row r="28" ht="11.5" customHeight="1">
      <c r="E28" s="725" t="s">
        <v>295</v>
      </c>
      <c r="F28" s="726"/>
      <c r="G28" s="726"/>
      <c r="H28" s="722"/>
      <c r="I28" s="722"/>
      <c r="J28" s="157"/>
      <c r="AF28" s="50">
        <v>11</v>
      </c>
    </row>
    <row r="29" ht="24" customHeight="1">
      <c r="E29" s="157" t="s">
        <v>88</v>
      </c>
      <c r="F29" s="157" t="s">
        <v>297</v>
      </c>
      <c r="G29" s="157" t="s">
        <v>561</v>
      </c>
      <c r="H29" s="157" t="s">
        <v>298</v>
      </c>
      <c r="I29" s="157" t="s">
        <v>298</v>
      </c>
      <c r="J29" s="157"/>
      <c r="AF29" s="50">
        <v>23</v>
      </c>
    </row>
    <row r="30" ht="19.949999999999999" customHeight="1">
      <c r="D30" s="125"/>
      <c r="E30" s="707">
        <f>FHD_NUM_P_1</f>
        <v>1</v>
      </c>
      <c r="F30" s="313" t="str">
        <f>FHD_P_1</f>
        <v xml:space="preserve">Выручка от регулируемого вида деятельности с распределением по видам деятельности</v>
      </c>
      <c r="G30" s="157" t="s">
        <v>547</v>
      </c>
      <c r="H30" s="727"/>
      <c r="I30" s="727"/>
      <c r="J30" s="485" t="str">
        <f>FHD_NOTE_P_1</f>
        <v xml:space="preserve">Указывается выручка от регулируемого вида деятельности с распределением по видам деятельности.</v>
      </c>
      <c r="K30" s="709"/>
      <c r="AF30" s="50">
        <v>19</v>
      </c>
    </row>
    <row r="31" ht="11.5" customHeight="1">
      <c r="D31" s="125"/>
      <c r="E31" s="707">
        <f>FHD_NUM_P_2</f>
        <v>2</v>
      </c>
      <c r="F31" s="313" t="str">
        <f>FHD_P_2</f>
        <v xml:space="preserve">Себестоимость производимых товаров (оказываемых услуг) по регулируемому виду деятельности, включая:</v>
      </c>
      <c r="G31" s="157" t="s">
        <v>547</v>
      </c>
      <c r="H31" s="728">
        <f>SUMIF($K33:$K71,$K31,H33:H71)</f>
        <v>0</v>
      </c>
      <c r="I31" s="728">
        <f>SUMIF($K33:$K71,$K31,I33:I71)</f>
        <v>0</v>
      </c>
      <c r="J31" s="485" t="str">
        <f>FHD_NOTE_P_2</f>
        <v xml:space="preserve">Указывается суммарная себестоимость производимых товаров.</v>
      </c>
      <c r="K31" s="57" t="s">
        <v>562</v>
      </c>
      <c r="AF31" s="50">
        <v>11</v>
      </c>
    </row>
    <row r="32" ht="11.5" customHeight="1">
      <c r="D32" s="125"/>
      <c r="E32" s="707" t="str">
        <f>FHD_NUM_P_3</f>
        <v>2.1</v>
      </c>
      <c r="F32" s="673" t="str">
        <f>FHD_P_3</f>
        <v xml:space="preserve">Расходы на приобретаемую тепловую энергию (мощность), теплоноситель</v>
      </c>
      <c r="G32" s="157" t="s">
        <v>547</v>
      </c>
      <c r="H32" s="727"/>
      <c r="I32" s="727"/>
      <c r="J32" s="485" t="str">
        <f>FHD_NOTE_P_3</f>
        <v/>
      </c>
      <c r="K32" s="57" t="str">
        <f t="shared" ref="K32:K70" si="47">IF((LEN(E32)-LEN(SUBSTITUTE(E32,".","")))/LEN(".")=1,"p","")</f>
        <v>p</v>
      </c>
      <c r="AF32" s="50">
        <v>11</v>
      </c>
    </row>
    <row r="33" ht="11.25" customHeight="1">
      <c r="A33" s="729" t="s">
        <v>563</v>
      </c>
      <c r="D33" s="125"/>
      <c r="E33" s="707" t="str">
        <f>FHD_NUM_P_4</f>
        <v>2.2</v>
      </c>
      <c r="F33" s="673"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7" t="s">
        <v>547</v>
      </c>
      <c r="H33" s="728">
        <f>SUMIF($F34:$F40,$F3,H34:H40)</f>
        <v>0</v>
      </c>
      <c r="I33" s="728">
        <f>SUMIF($F34:$F40,$F3,I34:I40)</f>
        <v>0</v>
      </c>
      <c r="J33" s="485" t="str">
        <f>FHD_NOTE_P_4</f>
        <v xml:space="preserve">Указываются суммарные расходы на приобретение топлива всех видов.</v>
      </c>
      <c r="K33" s="57" t="str">
        <f t="shared" si="47"/>
        <v>p</v>
      </c>
      <c r="AF33" s="50">
        <v>0</v>
      </c>
    </row>
    <row r="34" s="131" customFormat="1" ht="0.75" customHeight="1">
      <c r="A34" s="729"/>
      <c r="B34" s="730" t="str">
        <f>E33&amp;".0"</f>
        <v>2.2.0</v>
      </c>
      <c r="C34" s="531"/>
      <c r="D34" s="731"/>
      <c r="E34" s="732"/>
      <c r="F34" s="733"/>
      <c r="G34" s="734"/>
      <c r="H34" s="428"/>
      <c r="I34" s="428"/>
      <c r="J34" s="735"/>
      <c r="K34" s="57" t="str">
        <f t="shared" si="47"/>
        <v/>
      </c>
      <c r="L34" s="57"/>
      <c r="M34" s="57"/>
      <c r="N34" s="57"/>
      <c r="O34" s="57"/>
      <c r="P34" s="57"/>
      <c r="Q34" s="57"/>
      <c r="R34" s="57"/>
      <c r="S34" s="57"/>
      <c r="T34" s="57"/>
      <c r="U34" s="736"/>
      <c r="V34" s="57"/>
      <c r="W34" s="57"/>
      <c r="X34" s="57"/>
      <c r="Y34" s="57"/>
      <c r="Z34" s="57"/>
      <c r="AA34" s="54"/>
      <c r="AB34" s="54"/>
      <c r="AC34" s="54"/>
      <c r="AD34" s="54"/>
      <c r="AE34" s="54"/>
      <c r="AF34" s="131">
        <v>0</v>
      </c>
    </row>
    <row r="35" s="131" customFormat="1" ht="0.75" customHeight="1">
      <c r="A35" s="729"/>
      <c r="B35" s="730"/>
      <c r="C35" s="531"/>
      <c r="D35" s="731"/>
      <c r="E35" s="737"/>
      <c r="F35" s="738"/>
      <c r="G35" s="734"/>
      <c r="H35" s="739"/>
      <c r="I35" s="739"/>
      <c r="J35" s="735"/>
      <c r="K35" s="57" t="str">
        <f t="shared" si="47"/>
        <v/>
      </c>
      <c r="L35" s="57"/>
      <c r="M35" s="57"/>
      <c r="N35" s="57"/>
      <c r="O35" s="57"/>
      <c r="P35" s="57"/>
      <c r="Q35" s="57"/>
      <c r="R35" s="57"/>
      <c r="S35" s="57"/>
      <c r="T35" s="57"/>
      <c r="U35" s="736"/>
      <c r="V35" s="57"/>
      <c r="W35" s="57"/>
      <c r="X35" s="57"/>
      <c r="Y35" s="57"/>
      <c r="Z35" s="57"/>
      <c r="AA35" s="54"/>
      <c r="AB35" s="54"/>
      <c r="AC35" s="54"/>
      <c r="AD35" s="54"/>
      <c r="AE35" s="54"/>
      <c r="AF35" s="131">
        <v>0</v>
      </c>
    </row>
    <row r="36" s="131" customFormat="1" ht="0.75" customHeight="1">
      <c r="A36" s="729"/>
      <c r="B36" s="730"/>
      <c r="C36" s="531"/>
      <c r="D36" s="731"/>
      <c r="E36" s="737"/>
      <c r="F36" s="738"/>
      <c r="G36" s="734"/>
      <c r="H36" s="739"/>
      <c r="I36" s="739"/>
      <c r="J36" s="735"/>
      <c r="K36" s="57" t="str">
        <f t="shared" si="47"/>
        <v/>
      </c>
      <c r="L36" s="57"/>
      <c r="M36" s="57"/>
      <c r="N36" s="57"/>
      <c r="O36" s="57"/>
      <c r="P36" s="57"/>
      <c r="Q36" s="57"/>
      <c r="R36" s="57"/>
      <c r="S36" s="57"/>
      <c r="T36" s="57"/>
      <c r="U36" s="736"/>
      <c r="V36" s="57"/>
      <c r="W36" s="57"/>
      <c r="X36" s="57"/>
      <c r="Y36" s="57"/>
      <c r="Z36" s="57"/>
      <c r="AA36" s="54"/>
      <c r="AB36" s="54"/>
      <c r="AC36" s="54"/>
      <c r="AD36" s="54"/>
      <c r="AE36" s="54"/>
      <c r="AF36" s="131">
        <v>0</v>
      </c>
    </row>
    <row r="37" s="131" customFormat="1" ht="0.75" customHeight="1">
      <c r="A37" s="729"/>
      <c r="B37" s="730"/>
      <c r="C37" s="531"/>
      <c r="D37" s="731"/>
      <c r="E37" s="737"/>
      <c r="F37" s="738"/>
      <c r="G37" s="734"/>
      <c r="H37" s="739"/>
      <c r="I37" s="739"/>
      <c r="J37" s="735"/>
      <c r="K37" s="57" t="str">
        <f t="shared" si="47"/>
        <v/>
      </c>
      <c r="L37" s="57"/>
      <c r="M37" s="57"/>
      <c r="N37" s="57"/>
      <c r="O37" s="57"/>
      <c r="P37" s="57"/>
      <c r="Q37" s="57"/>
      <c r="R37" s="57"/>
      <c r="S37" s="57"/>
      <c r="T37" s="57"/>
      <c r="U37" s="736"/>
      <c r="V37" s="57"/>
      <c r="W37" s="57"/>
      <c r="X37" s="57"/>
      <c r="Y37" s="57"/>
      <c r="Z37" s="57"/>
      <c r="AA37" s="54"/>
      <c r="AB37" s="54"/>
      <c r="AC37" s="54"/>
      <c r="AD37" s="54"/>
      <c r="AE37" s="54"/>
      <c r="AF37" s="131">
        <v>0</v>
      </c>
    </row>
    <row r="38" s="131" customFormat="1" ht="0.75" customHeight="1">
      <c r="A38" s="729"/>
      <c r="B38" s="730"/>
      <c r="C38" s="531"/>
      <c r="D38" s="731"/>
      <c r="E38" s="737"/>
      <c r="F38" s="738"/>
      <c r="G38" s="734"/>
      <c r="H38" s="739"/>
      <c r="I38" s="739"/>
      <c r="J38" s="735"/>
      <c r="K38" s="57" t="str">
        <f t="shared" si="47"/>
        <v/>
      </c>
      <c r="L38" s="57"/>
      <c r="M38" s="57"/>
      <c r="N38" s="57"/>
      <c r="O38" s="57"/>
      <c r="P38" s="57"/>
      <c r="Q38" s="57"/>
      <c r="R38" s="57"/>
      <c r="S38" s="57"/>
      <c r="T38" s="57"/>
      <c r="U38" s="736"/>
      <c r="V38" s="57"/>
      <c r="W38" s="57"/>
      <c r="X38" s="57"/>
      <c r="Y38" s="57"/>
      <c r="Z38" s="57"/>
      <c r="AA38" s="54"/>
      <c r="AB38" s="54"/>
      <c r="AC38" s="54"/>
      <c r="AD38" s="54"/>
      <c r="AE38" s="54"/>
      <c r="AF38" s="131">
        <v>0</v>
      </c>
    </row>
    <row r="39" s="131" customFormat="1" ht="0.75" customHeight="1">
      <c r="A39" s="729"/>
      <c r="B39" s="730"/>
      <c r="C39" s="531"/>
      <c r="D39" s="731"/>
      <c r="E39" s="737"/>
      <c r="F39" s="738"/>
      <c r="G39" s="734"/>
      <c r="H39" s="428"/>
      <c r="I39" s="428"/>
      <c r="J39" s="735"/>
      <c r="K39" s="57" t="str">
        <f t="shared" si="47"/>
        <v/>
      </c>
      <c r="L39" s="57"/>
      <c r="M39" s="57"/>
      <c r="N39" s="57"/>
      <c r="O39" s="57"/>
      <c r="P39" s="57"/>
      <c r="Q39" s="57"/>
      <c r="R39" s="57"/>
      <c r="S39" s="57"/>
      <c r="T39" s="57"/>
      <c r="U39" s="736"/>
      <c r="V39" s="57"/>
      <c r="W39" s="57"/>
      <c r="X39" s="57"/>
      <c r="Y39" s="57"/>
      <c r="Z39" s="57"/>
      <c r="AA39" s="54"/>
      <c r="AB39" s="54"/>
      <c r="AC39" s="54"/>
      <c r="AD39" s="54"/>
      <c r="AE39" s="54"/>
      <c r="AF39" s="131">
        <v>0</v>
      </c>
    </row>
    <row r="40" s="53" customFormat="1" ht="15" customHeight="1">
      <c r="A40" s="729"/>
      <c r="C40" s="57"/>
      <c r="D40" s="128"/>
      <c r="E40" s="740"/>
      <c r="F40" s="235" t="s">
        <v>564</v>
      </c>
      <c r="G40" s="741"/>
      <c r="H40" s="742"/>
      <c r="I40" s="742"/>
      <c r="J40" s="549"/>
      <c r="K40" s="57" t="str">
        <f t="shared" si="47"/>
        <v/>
      </c>
      <c r="L40" s="57"/>
      <c r="M40" s="57"/>
      <c r="R40" s="57"/>
      <c r="U40" s="706"/>
      <c r="AA40" s="56"/>
      <c r="AB40" s="56"/>
      <c r="AC40" s="56"/>
      <c r="AD40" s="56"/>
      <c r="AE40" s="56"/>
      <c r="AF40" s="53">
        <v>0</v>
      </c>
    </row>
    <row r="41" ht="11.25" hidden="1" customHeight="1">
      <c r="A41" s="729" t="s">
        <v>565</v>
      </c>
      <c r="D41" s="125"/>
      <c r="E41" s="707" t="str">
        <f>FHD_NUM_P_5</f>
        <v/>
      </c>
      <c r="F41" s="673" t="str">
        <f>FHD_P_5</f>
        <v/>
      </c>
      <c r="G41" s="157" t="s">
        <v>547</v>
      </c>
      <c r="H41" s="727"/>
      <c r="I41" s="727"/>
      <c r="J41" s="485" t="str">
        <f>FHD_NOTE_P_5</f>
        <v/>
      </c>
      <c r="K41" s="57" t="str">
        <f t="shared" si="47"/>
        <v/>
      </c>
      <c r="AF41" s="50">
        <v>0</v>
      </c>
    </row>
    <row r="42" ht="11.25" hidden="1" customHeight="1">
      <c r="A42" s="729"/>
      <c r="D42" s="125"/>
      <c r="E42" s="707" t="str">
        <f>FHD_NUM_P_6</f>
        <v/>
      </c>
      <c r="F42" s="673" t="str">
        <f>FHD_P_6</f>
        <v/>
      </c>
      <c r="G42" s="157" t="s">
        <v>547</v>
      </c>
      <c r="H42" s="727"/>
      <c r="I42" s="727"/>
      <c r="J42" s="485" t="str">
        <f>FHD_NOTE_P_6</f>
        <v/>
      </c>
      <c r="K42" s="57" t="str">
        <f t="shared" si="47"/>
        <v/>
      </c>
      <c r="AF42" s="50">
        <v>0</v>
      </c>
    </row>
    <row r="43" ht="11.25" hidden="1" customHeight="1">
      <c r="A43" s="729"/>
      <c r="D43" s="125"/>
      <c r="E43" s="707" t="str">
        <f>FHD_NUM_P_7</f>
        <v/>
      </c>
      <c r="F43" s="673" t="str">
        <f>FHD_P_7</f>
        <v/>
      </c>
      <c r="G43" s="157" t="s">
        <v>547</v>
      </c>
      <c r="H43" s="727"/>
      <c r="I43" s="727"/>
      <c r="J43" s="485" t="str">
        <f>FHD_NOTE_P_7</f>
        <v/>
      </c>
      <c r="K43" s="57" t="str">
        <f t="shared" si="47"/>
        <v/>
      </c>
      <c r="AF43" s="50">
        <v>0</v>
      </c>
    </row>
    <row r="44" ht="11.5" customHeight="1">
      <c r="D44" s="125"/>
      <c r="E44" s="707" t="str">
        <f>FHD_NUM_P_8</f>
        <v>2.3</v>
      </c>
      <c r="F44" s="673" t="str">
        <f>FHD_P_8</f>
        <v xml:space="preserve">Расходы на приобретаемую электрическую энергию (мощность), используемую в технологическом процессе</v>
      </c>
      <c r="G44" s="157" t="s">
        <v>547</v>
      </c>
      <c r="H44" s="727"/>
      <c r="I44" s="727"/>
      <c r="J44" s="485" t="str">
        <f>FHD_NOTE_P_8</f>
        <v/>
      </c>
      <c r="K44" s="57" t="str">
        <f t="shared" si="47"/>
        <v>p</v>
      </c>
      <c r="AF44" s="50">
        <v>11</v>
      </c>
    </row>
    <row r="45" ht="11.5" customHeight="1">
      <c r="D45" s="125"/>
      <c r="E45" s="707" t="str">
        <f>FHD_NUM_P_9</f>
        <v>2.3.1</v>
      </c>
      <c r="F45" s="743" t="str">
        <f>FHD_P_9</f>
        <v xml:space="preserve">Средневзвешенная стоимость 1 кВт.ч (с учетом мощности)</v>
      </c>
      <c r="G45" s="157" t="s">
        <v>566</v>
      </c>
      <c r="H45" s="727"/>
      <c r="I45" s="727"/>
      <c r="J45" s="485" t="str">
        <f>FHD_NOTE_P_9</f>
        <v/>
      </c>
      <c r="K45" s="57" t="str">
        <f t="shared" si="47"/>
        <v/>
      </c>
      <c r="AF45" s="50">
        <v>11</v>
      </c>
    </row>
    <row r="46" s="53" customFormat="1" ht="11.5" customHeight="1">
      <c r="A46" s="705"/>
      <c r="C46" s="57"/>
      <c r="D46" s="744"/>
      <c r="E46" s="707" t="str">
        <f>FHD_NUM_P_10</f>
        <v>2.3.2</v>
      </c>
      <c r="F46" s="743" t="str">
        <f>FHD_P_10</f>
        <v xml:space="preserve">Объём приобретения электрической энергии</v>
      </c>
      <c r="G46" s="157" t="s">
        <v>567</v>
      </c>
      <c r="H46" s="727"/>
      <c r="I46" s="727"/>
      <c r="J46" s="485" t="str">
        <f>FHD_NOTE_P_10</f>
        <v/>
      </c>
      <c r="K46" s="57" t="str">
        <f t="shared" si="47"/>
        <v/>
      </c>
      <c r="L46" s="57"/>
      <c r="M46" s="57"/>
      <c r="R46" s="57"/>
      <c r="U46" s="706"/>
      <c r="AA46" s="56"/>
      <c r="AB46" s="56"/>
      <c r="AC46" s="56"/>
      <c r="AD46" s="56"/>
      <c r="AE46" s="56"/>
      <c r="AF46" s="53">
        <v>11</v>
      </c>
    </row>
    <row r="47" s="53" customFormat="1" ht="11.25" customHeight="1">
      <c r="A47" s="745" t="s">
        <v>568</v>
      </c>
      <c r="C47" s="57"/>
      <c r="D47" s="746"/>
      <c r="E47" s="707" t="str">
        <f>FHD_NUM_P_11</f>
        <v>2.4</v>
      </c>
      <c r="F47" s="673" t="str">
        <f>FHD_P_11</f>
        <v xml:space="preserve">Расходы на приобретение холодной воды, используемой в технологическом процессе</v>
      </c>
      <c r="G47" s="157" t="s">
        <v>547</v>
      </c>
      <c r="H47" s="727"/>
      <c r="I47" s="727"/>
      <c r="J47" s="485" t="str">
        <f>FHD_NOTE_P_11</f>
        <v/>
      </c>
      <c r="K47" s="57" t="str">
        <f t="shared" si="47"/>
        <v>p</v>
      </c>
      <c r="L47" s="57"/>
      <c r="M47" s="57"/>
      <c r="R47" s="57"/>
      <c r="U47" s="706"/>
      <c r="AA47" s="56"/>
      <c r="AB47" s="56"/>
      <c r="AC47" s="56"/>
      <c r="AD47" s="56"/>
      <c r="AE47" s="56"/>
      <c r="AF47" s="53">
        <v>0</v>
      </c>
    </row>
    <row r="48" s="53" customFormat="1" ht="18.75" customHeight="1">
      <c r="A48" s="745" t="s">
        <v>569</v>
      </c>
      <c r="C48" s="57"/>
      <c r="D48" s="125"/>
      <c r="E48" s="707" t="str">
        <f>FHD_NUM_P_12</f>
        <v>2.5</v>
      </c>
      <c r="F48" s="673" t="str">
        <f>FHD_P_12</f>
        <v xml:space="preserve">Расходы на  химические реагенты, используемые в технологическом процессе</v>
      </c>
      <c r="G48" s="157" t="s">
        <v>547</v>
      </c>
      <c r="H48" s="747"/>
      <c r="I48" s="747"/>
      <c r="J48" s="485" t="str">
        <f>FHD_NOTE_P_12</f>
        <v/>
      </c>
      <c r="K48" s="57" t="str">
        <f t="shared" si="47"/>
        <v>p</v>
      </c>
      <c r="L48" s="57"/>
      <c r="M48" s="57"/>
      <c r="R48" s="57"/>
      <c r="U48" s="706"/>
      <c r="AA48" s="56"/>
      <c r="AB48" s="56"/>
      <c r="AC48" s="56"/>
      <c r="AD48" s="56"/>
      <c r="AE48" s="56"/>
      <c r="AF48" s="53">
        <v>18</v>
      </c>
    </row>
    <row r="49" s="482" customFormat="1" ht="11.5" customHeight="1">
      <c r="A49" s="748"/>
      <c r="C49" s="464"/>
      <c r="D49" s="268"/>
      <c r="E49" s="707" t="str">
        <f>FHD_NUM_P_13</f>
        <v>2.6</v>
      </c>
      <c r="F49" s="673"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 t="s">
        <v>547</v>
      </c>
      <c r="H49" s="727"/>
      <c r="I49" s="727"/>
      <c r="J49" s="485" t="str">
        <f>FHD_NOTE_P_13</f>
        <v/>
      </c>
      <c r="K49" s="57" t="str">
        <f t="shared" si="47"/>
        <v>p</v>
      </c>
      <c r="L49" s="464"/>
      <c r="M49" s="464"/>
      <c r="R49" s="464"/>
      <c r="U49" s="749"/>
      <c r="AA49" s="48"/>
      <c r="AB49" s="48"/>
      <c r="AC49" s="48"/>
      <c r="AD49" s="48"/>
      <c r="AE49" s="48"/>
      <c r="AF49" s="482">
        <v>11</v>
      </c>
    </row>
    <row r="50" s="482" customFormat="1" ht="11.5" customHeight="1">
      <c r="A50" s="748"/>
      <c r="C50" s="464"/>
      <c r="D50" s="268"/>
      <c r="E50" s="707" t="str">
        <f>FHD_NUM_P_14</f>
        <v>2.6.1</v>
      </c>
      <c r="F50" s="743" t="str">
        <f>FHD_P_14</f>
        <v xml:space="preserve">Расходы на оплату труда основного производственного персонала</v>
      </c>
      <c r="G50" s="157" t="s">
        <v>547</v>
      </c>
      <c r="H50" s="727"/>
      <c r="I50" s="727"/>
      <c r="J50" s="485" t="str">
        <f>FHD_NOTE_P_14</f>
        <v/>
      </c>
      <c r="K50" s="57" t="str">
        <f t="shared" si="47"/>
        <v/>
      </c>
      <c r="L50" s="464"/>
      <c r="M50" s="464"/>
      <c r="R50" s="464"/>
      <c r="U50" s="749"/>
      <c r="AA50" s="48"/>
      <c r="AB50" s="48"/>
      <c r="AC50" s="48"/>
      <c r="AD50" s="48"/>
      <c r="AE50" s="48"/>
      <c r="AF50" s="482">
        <v>11</v>
      </c>
    </row>
    <row r="51" s="482" customFormat="1" ht="11.5" customHeight="1">
      <c r="A51" s="748"/>
      <c r="C51" s="464"/>
      <c r="D51" s="268"/>
      <c r="E51" s="707" t="str">
        <f>FHD_NUM_P_15</f>
        <v>2.6.2</v>
      </c>
      <c r="F51" s="74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7" t="s">
        <v>547</v>
      </c>
      <c r="H51" s="727"/>
      <c r="I51" s="727"/>
      <c r="J51" s="485" t="str">
        <f>FHD_NOTE_P_15</f>
        <v/>
      </c>
      <c r="K51" s="57" t="str">
        <f t="shared" si="47"/>
        <v/>
      </c>
      <c r="L51" s="464"/>
      <c r="M51" s="464"/>
      <c r="R51" s="464"/>
      <c r="U51" s="749"/>
      <c r="AA51" s="48"/>
      <c r="AB51" s="48"/>
      <c r="AC51" s="48"/>
      <c r="AD51" s="48"/>
      <c r="AE51" s="48"/>
      <c r="AF51" s="482">
        <v>11</v>
      </c>
    </row>
    <row r="52" s="53" customFormat="1" ht="11.5" customHeight="1">
      <c r="A52" s="705"/>
      <c r="C52" s="57"/>
      <c r="D52" s="125"/>
      <c r="E52" s="707" t="str">
        <f>FHD_NUM_P_16</f>
        <v>2.7</v>
      </c>
      <c r="F52" s="673"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 t="s">
        <v>547</v>
      </c>
      <c r="H52" s="727"/>
      <c r="I52" s="727"/>
      <c r="J52" s="485" t="str">
        <f>FHD_NOTE_P_16</f>
        <v/>
      </c>
      <c r="K52" s="57" t="str">
        <f t="shared" si="47"/>
        <v>p</v>
      </c>
      <c r="L52" s="57"/>
      <c r="M52" s="57"/>
      <c r="N52" s="53"/>
      <c r="O52" s="53"/>
      <c r="R52" s="57"/>
      <c r="U52" s="706"/>
      <c r="AA52" s="56"/>
      <c r="AB52" s="56"/>
      <c r="AC52" s="56"/>
      <c r="AD52" s="56"/>
      <c r="AE52" s="56"/>
      <c r="AF52" s="53">
        <v>11</v>
      </c>
    </row>
    <row r="53" s="53" customFormat="1" ht="11.5" customHeight="1">
      <c r="A53" s="705"/>
      <c r="C53" s="57"/>
      <c r="D53" s="125"/>
      <c r="E53" s="707" t="str">
        <f>FHD_NUM_P_17</f>
        <v>2.7.1</v>
      </c>
      <c r="F53" s="743" t="str">
        <f>FHD_P_17</f>
        <v xml:space="preserve">Расходы на оплату труда административно-управленческого персонала</v>
      </c>
      <c r="G53" s="157" t="s">
        <v>547</v>
      </c>
      <c r="H53" s="727"/>
      <c r="I53" s="727"/>
      <c r="J53" s="485" t="str">
        <f>FHD_NOTE_P_17</f>
        <v/>
      </c>
      <c r="K53" s="57" t="str">
        <f t="shared" si="47"/>
        <v/>
      </c>
      <c r="L53" s="57"/>
      <c r="M53" s="57"/>
      <c r="N53" s="53"/>
      <c r="O53" s="53"/>
      <c r="R53" s="57"/>
      <c r="U53" s="706"/>
      <c r="AA53" s="56"/>
      <c r="AB53" s="56"/>
      <c r="AC53" s="56"/>
      <c r="AD53" s="56"/>
      <c r="AE53" s="56"/>
      <c r="AF53" s="53">
        <v>11</v>
      </c>
    </row>
    <row r="54" s="53" customFormat="1" ht="11.5" customHeight="1">
      <c r="A54" s="705"/>
      <c r="C54" s="57"/>
      <c r="D54" s="125"/>
      <c r="E54" s="707" t="str">
        <f>FHD_NUM_P_18</f>
        <v>2.7.2</v>
      </c>
      <c r="F54" s="74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7" t="s">
        <v>547</v>
      </c>
      <c r="H54" s="727"/>
      <c r="I54" s="727"/>
      <c r="J54" s="485" t="str">
        <f>FHD_NOTE_P_18</f>
        <v/>
      </c>
      <c r="K54" s="57" t="str">
        <f t="shared" si="47"/>
        <v/>
      </c>
      <c r="L54" s="57"/>
      <c r="M54" s="57"/>
      <c r="N54" s="53"/>
      <c r="O54" s="53"/>
      <c r="R54" s="57"/>
      <c r="U54" s="706"/>
      <c r="AA54" s="56"/>
      <c r="AB54" s="56"/>
      <c r="AC54" s="56"/>
      <c r="AD54" s="56"/>
      <c r="AE54" s="56"/>
      <c r="AF54" s="53">
        <v>11</v>
      </c>
    </row>
    <row r="55" s="53" customFormat="1" ht="11.5" customHeight="1">
      <c r="A55" s="705"/>
      <c r="C55" s="57"/>
      <c r="D55" s="746"/>
      <c r="E55" s="707" t="str">
        <f>FHD_NUM_P_19</f>
        <v>2.8</v>
      </c>
      <c r="F55" s="673" t="str">
        <f>FHD_P_19</f>
        <v xml:space="preserve">Расходы на амортизацию основных средств и нематериальных активов</v>
      </c>
      <c r="G55" s="157" t="s">
        <v>547</v>
      </c>
      <c r="H55" s="727"/>
      <c r="I55" s="727"/>
      <c r="J55" s="485" t="str">
        <f>FHD_NOTE_P_19</f>
        <v/>
      </c>
      <c r="K55" s="57" t="str">
        <f t="shared" si="47"/>
        <v>p</v>
      </c>
      <c r="L55" s="57"/>
      <c r="M55" s="57"/>
      <c r="R55" s="57"/>
      <c r="U55" s="706"/>
      <c r="AA55" s="56"/>
      <c r="AB55" s="56"/>
      <c r="AC55" s="56"/>
      <c r="AD55" s="56"/>
      <c r="AE55" s="56"/>
      <c r="AF55" s="53">
        <v>11</v>
      </c>
    </row>
    <row r="56" s="53" customFormat="1" ht="11.5" customHeight="1">
      <c r="A56" s="705"/>
      <c r="C56" s="57"/>
      <c r="D56" s="746"/>
      <c r="E56" s="707" t="str">
        <f>FHD_NUM_P_20</f>
        <v>2.8.1</v>
      </c>
      <c r="F56" s="743" t="str">
        <f>FHD_P_20</f>
        <v xml:space="preserve">Расходы на амортизацию основных средств</v>
      </c>
      <c r="G56" s="157" t="s">
        <v>547</v>
      </c>
      <c r="H56" s="727"/>
      <c r="I56" s="727"/>
      <c r="J56" s="485" t="str">
        <f>FHD_NOTE_P_20</f>
        <v/>
      </c>
      <c r="K56" s="57" t="str">
        <f t="shared" si="47"/>
        <v/>
      </c>
      <c r="L56" s="57"/>
      <c r="M56" s="57"/>
      <c r="R56" s="57"/>
      <c r="U56" s="706"/>
      <c r="AA56" s="56"/>
      <c r="AB56" s="56"/>
      <c r="AC56" s="56"/>
      <c r="AD56" s="56"/>
      <c r="AE56" s="56"/>
      <c r="AF56" s="53">
        <v>11</v>
      </c>
    </row>
    <row r="57" s="53" customFormat="1" ht="11.5" customHeight="1">
      <c r="A57" s="705"/>
      <c r="C57" s="57"/>
      <c r="D57" s="746"/>
      <c r="E57" s="707" t="str">
        <f>FHD_NUM_P_21</f>
        <v>2.8.2</v>
      </c>
      <c r="F57" s="743" t="str">
        <f>FHD_P_21</f>
        <v xml:space="preserve">Расходы на амортизацию нематериальных активов</v>
      </c>
      <c r="G57" s="157" t="s">
        <v>547</v>
      </c>
      <c r="H57" s="727"/>
      <c r="I57" s="727"/>
      <c r="J57" s="485" t="str">
        <f>FHD_NOTE_P_21</f>
        <v/>
      </c>
      <c r="K57" s="57" t="str">
        <f t="shared" si="47"/>
        <v/>
      </c>
      <c r="L57" s="57"/>
      <c r="M57" s="57"/>
      <c r="R57" s="57"/>
      <c r="U57" s="706"/>
      <c r="AA57" s="56"/>
      <c r="AB57" s="56"/>
      <c r="AC57" s="56"/>
      <c r="AD57" s="56"/>
      <c r="AE57" s="56"/>
      <c r="AF57" s="53">
        <v>11</v>
      </c>
    </row>
    <row r="58" s="53" customFormat="1" ht="11.5" customHeight="1">
      <c r="A58" s="705"/>
      <c r="C58" s="57"/>
      <c r="D58" s="125"/>
      <c r="E58" s="707" t="str">
        <f>FHD_NUM_P_22</f>
        <v>2.9</v>
      </c>
      <c r="F58" s="673" t="str">
        <f>FHD_P_22</f>
        <v xml:space="preserve">Расходы на аренду имущества, используемого для осуществления регулируемого вида деятельности</v>
      </c>
      <c r="G58" s="157" t="s">
        <v>547</v>
      </c>
      <c r="H58" s="727"/>
      <c r="I58" s="727"/>
      <c r="J58" s="485" t="str">
        <f>FHD_NOTE_P_22</f>
        <v/>
      </c>
      <c r="K58" s="57" t="str">
        <f t="shared" si="47"/>
        <v>p</v>
      </c>
      <c r="L58" s="57"/>
      <c r="M58" s="57"/>
      <c r="R58" s="57"/>
      <c r="U58" s="706"/>
      <c r="AA58" s="56"/>
      <c r="AB58" s="56"/>
      <c r="AC58" s="56"/>
      <c r="AD58" s="56"/>
      <c r="AE58" s="56"/>
      <c r="AF58" s="53">
        <v>11</v>
      </c>
    </row>
    <row r="59" s="53" customFormat="1" ht="11.5" customHeight="1">
      <c r="A59" s="705"/>
      <c r="C59" s="57"/>
      <c r="D59" s="746"/>
      <c r="E59" s="707" t="str">
        <f>FHD_NUM_P_23</f>
        <v>2.10</v>
      </c>
      <c r="F59" s="673" t="str">
        <f>FHD_P_23</f>
        <v xml:space="preserve">Общепроизводственные расходы, в том числе:</v>
      </c>
      <c r="G59" s="157" t="s">
        <v>547</v>
      </c>
      <c r="H59" s="727"/>
      <c r="I59" s="727"/>
      <c r="J59" s="485" t="str">
        <f>FHD_NOTE_P_23</f>
        <v xml:space="preserve">Указывается общая сумма общепроизводственных расходов.</v>
      </c>
      <c r="K59" s="57" t="str">
        <f t="shared" si="47"/>
        <v>p</v>
      </c>
      <c r="L59" s="57"/>
      <c r="M59" s="57"/>
      <c r="R59" s="57"/>
      <c r="U59" s="706"/>
      <c r="AA59" s="56"/>
      <c r="AB59" s="56"/>
      <c r="AC59" s="56"/>
      <c r="AD59" s="56"/>
      <c r="AE59" s="56"/>
      <c r="AF59" s="53">
        <v>11</v>
      </c>
    </row>
    <row r="60" s="53" customFormat="1" ht="11.5" customHeight="1">
      <c r="A60" s="705"/>
      <c r="C60" s="57"/>
      <c r="D60" s="746"/>
      <c r="E60" s="707" t="str">
        <f>FHD_NUM_P_24</f>
        <v>2.10.1</v>
      </c>
      <c r="F60" s="743" t="str">
        <f>FHD_P_24</f>
        <v xml:space="preserve">Расходы на текущий ремонт</v>
      </c>
      <c r="G60" s="157" t="s">
        <v>547</v>
      </c>
      <c r="H60" s="727"/>
      <c r="I60" s="727"/>
      <c r="J60" s="485" t="str">
        <f>FHD_NOTE_P_24</f>
        <v xml:space="preserve">Указываются расходы на текущий ремонт, отнесенные к общепроизводственным расходам.</v>
      </c>
      <c r="K60" s="57" t="str">
        <f t="shared" si="47"/>
        <v/>
      </c>
      <c r="L60" s="57"/>
      <c r="M60" s="57"/>
      <c r="R60" s="57"/>
      <c r="U60" s="706"/>
      <c r="AA60" s="56"/>
      <c r="AB60" s="56"/>
      <c r="AC60" s="56"/>
      <c r="AD60" s="56"/>
      <c r="AE60" s="56"/>
      <c r="AF60" s="53">
        <v>11</v>
      </c>
    </row>
    <row r="61" s="53" customFormat="1" ht="11.5" customHeight="1">
      <c r="A61" s="705"/>
      <c r="C61" s="57"/>
      <c r="D61" s="746"/>
      <c r="E61" s="707" t="str">
        <f>FHD_NUM_P_25</f>
        <v>2.10.2</v>
      </c>
      <c r="F61" s="743" t="str">
        <f>FHD_P_25</f>
        <v xml:space="preserve">Расходы на капитальный ремонт</v>
      </c>
      <c r="G61" s="157" t="s">
        <v>547</v>
      </c>
      <c r="H61" s="727"/>
      <c r="I61" s="727"/>
      <c r="J61" s="485"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06"/>
      <c r="AA61" s="56"/>
      <c r="AB61" s="56"/>
      <c r="AC61" s="56"/>
      <c r="AD61" s="56"/>
      <c r="AE61" s="56"/>
      <c r="AF61" s="53">
        <v>11</v>
      </c>
    </row>
    <row r="62" s="53" customFormat="1" ht="11.5" customHeight="1">
      <c r="A62" s="705"/>
      <c r="C62" s="57"/>
      <c r="D62" s="125"/>
      <c r="E62" s="707" t="str">
        <f>FHD_NUM_P_26</f>
        <v>2.11</v>
      </c>
      <c r="F62" s="673" t="str">
        <f>FHD_P_26</f>
        <v xml:space="preserve">Общехозяйственные расходы, в том числе:</v>
      </c>
      <c r="G62" s="157" t="s">
        <v>547</v>
      </c>
      <c r="H62" s="727"/>
      <c r="I62" s="727"/>
      <c r="J62" s="485" t="str">
        <f>FHD_NOTE_P_26</f>
        <v xml:space="preserve">Указывается общая сумма общехозяйственных расходов.</v>
      </c>
      <c r="K62" s="57" t="str">
        <f t="shared" si="47"/>
        <v>p</v>
      </c>
      <c r="L62" s="57"/>
      <c r="M62" s="57"/>
      <c r="R62" s="57"/>
      <c r="U62" s="706"/>
      <c r="AA62" s="56"/>
      <c r="AB62" s="56"/>
      <c r="AC62" s="56"/>
      <c r="AD62" s="56"/>
      <c r="AE62" s="56"/>
      <c r="AF62" s="53">
        <v>11</v>
      </c>
    </row>
    <row r="63" s="53" customFormat="1" ht="11.5" customHeight="1">
      <c r="A63" s="705"/>
      <c r="C63" s="57"/>
      <c r="D63" s="125"/>
      <c r="E63" s="707" t="str">
        <f>FHD_NUM_P_27</f>
        <v>2.11.1</v>
      </c>
      <c r="F63" s="743" t="str">
        <f>FHD_P_27</f>
        <v xml:space="preserve">Расходы на текущий ремонт</v>
      </c>
      <c r="G63" s="157" t="s">
        <v>547</v>
      </c>
      <c r="H63" s="727"/>
      <c r="I63" s="727"/>
      <c r="J63" s="485" t="str">
        <f>FHD_NOTE_P_27</f>
        <v xml:space="preserve">Указываются расходы на текущий ремонт, отнесенные к общехозяйственным расходам.</v>
      </c>
      <c r="K63" s="57" t="str">
        <f t="shared" si="47"/>
        <v/>
      </c>
      <c r="L63" s="57"/>
      <c r="M63" s="57"/>
      <c r="R63" s="57"/>
      <c r="U63" s="706"/>
      <c r="AA63" s="56"/>
      <c r="AB63" s="56"/>
      <c r="AC63" s="56"/>
      <c r="AD63" s="56"/>
      <c r="AE63" s="56"/>
      <c r="AF63" s="53">
        <v>11</v>
      </c>
    </row>
    <row r="64" s="53" customFormat="1" ht="11.5" customHeight="1">
      <c r="A64" s="705"/>
      <c r="C64" s="57"/>
      <c r="D64" s="125"/>
      <c r="E64" s="707" t="str">
        <f>FHD_NUM_P_28</f>
        <v>2.11.2</v>
      </c>
      <c r="F64" s="743" t="str">
        <f>FHD_P_28</f>
        <v xml:space="preserve">Расходы на капитальный ремонт</v>
      </c>
      <c r="G64" s="157" t="s">
        <v>547</v>
      </c>
      <c r="H64" s="727"/>
      <c r="I64" s="727"/>
      <c r="J64" s="485" t="str">
        <f>FHD_NOTE_P_28</f>
        <v xml:space="preserve">Указываются расходы на капитальный ремонт, отнесенные к общехозяйственным расходам.</v>
      </c>
      <c r="K64" s="57" t="str">
        <f t="shared" si="47"/>
        <v/>
      </c>
      <c r="L64" s="57"/>
      <c r="M64" s="57"/>
      <c r="R64" s="57"/>
      <c r="U64" s="706"/>
      <c r="AA64" s="56"/>
      <c r="AB64" s="56"/>
      <c r="AC64" s="56"/>
      <c r="AD64" s="56"/>
      <c r="AE64" s="56"/>
      <c r="AF64" s="53">
        <v>11</v>
      </c>
    </row>
    <row r="65" s="53" customFormat="1" ht="11.5" customHeight="1">
      <c r="A65" s="705"/>
      <c r="C65" s="57"/>
      <c r="D65" s="125"/>
      <c r="E65" s="707" t="str">
        <f>FHD_NUM_P_29</f>
        <v>2.12</v>
      </c>
      <c r="F65" s="673" t="str">
        <f>FHD_P_29</f>
        <v xml:space="preserve">Расходы на капитальный и текущий ремонт основных средств</v>
      </c>
      <c r="G65" s="157" t="s">
        <v>547</v>
      </c>
      <c r="H65" s="727"/>
      <c r="I65" s="727"/>
      <c r="J65" s="485"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06"/>
      <c r="AA65" s="56"/>
      <c r="AB65" s="56"/>
      <c r="AC65" s="56"/>
      <c r="AD65" s="56"/>
      <c r="AE65" s="56"/>
      <c r="AF65" s="53">
        <v>11</v>
      </c>
    </row>
    <row r="66" s="53" customFormat="1" ht="11.5" customHeight="1">
      <c r="A66" s="705"/>
      <c r="C66" s="57"/>
      <c r="D66" s="125"/>
      <c r="E66" s="707" t="str">
        <f>FHD_NUM_P_30</f>
        <v>2.12.1</v>
      </c>
      <c r="F66" s="74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 t="s">
        <v>301</v>
      </c>
      <c r="H66" s="388" t="s">
        <v>570</v>
      </c>
      <c r="I66" s="388" t="s">
        <v>570</v>
      </c>
      <c r="J66" s="485" t="str">
        <f>FHD_NOTE_P_30</f>
        <v/>
      </c>
      <c r="K66" s="57" t="str">
        <f t="shared" si="47"/>
        <v/>
      </c>
      <c r="L66" s="57">
        <f>_xlfn.IFERROR(MATCH("есть",B_FHD_FLAG_INDEX_1,0),0)</f>
        <v>0</v>
      </c>
      <c r="M66" s="57"/>
      <c r="R66" s="57"/>
      <c r="U66" s="706"/>
      <c r="AA66" s="56"/>
      <c r="AB66" s="56"/>
      <c r="AC66" s="56"/>
      <c r="AD66" s="56"/>
      <c r="AE66" s="56"/>
      <c r="AF66" s="53">
        <v>11</v>
      </c>
    </row>
    <row r="67" s="53" customFormat="1" ht="23.25" hidden="1" customHeight="1">
      <c r="A67" s="729" t="s">
        <v>571</v>
      </c>
      <c r="C67" s="57"/>
      <c r="D67" s="125"/>
      <c r="E67" s="707" t="str">
        <f>FHD_NUM_P_31</f>
        <v/>
      </c>
      <c r="F67" s="673" t="str">
        <f>FHD_P_31</f>
        <v/>
      </c>
      <c r="G67" s="157" t="s">
        <v>547</v>
      </c>
      <c r="H67" s="727"/>
      <c r="I67" s="727"/>
      <c r="J67" s="485" t="str">
        <f>FHD_NOTE_P_31</f>
        <v/>
      </c>
      <c r="K67" s="57" t="str">
        <f t="shared" si="47"/>
        <v/>
      </c>
      <c r="L67" s="57"/>
      <c r="M67" s="57"/>
      <c r="R67" s="57"/>
      <c r="U67" s="706"/>
      <c r="AA67" s="56"/>
      <c r="AB67" s="56"/>
      <c r="AC67" s="56"/>
      <c r="AD67" s="56"/>
      <c r="AE67" s="56"/>
      <c r="AF67" s="53">
        <v>22</v>
      </c>
    </row>
    <row r="68" s="53" customFormat="1" ht="47.25" hidden="1" customHeight="1">
      <c r="A68" s="729"/>
      <c r="C68" s="57"/>
      <c r="D68" s="125"/>
      <c r="E68" s="707" t="str">
        <f>FHD_NUM_P_32</f>
        <v/>
      </c>
      <c r="F68" s="743" t="str">
        <f>FHD_P_32</f>
        <v/>
      </c>
      <c r="G68" s="157" t="s">
        <v>301</v>
      </c>
      <c r="H68" s="388" t="s">
        <v>570</v>
      </c>
      <c r="I68" s="388" t="s">
        <v>570</v>
      </c>
      <c r="J68" s="485" t="str">
        <f>FHD_NOTE_P_32</f>
        <v/>
      </c>
      <c r="K68" s="57" t="str">
        <f t="shared" si="47"/>
        <v/>
      </c>
      <c r="L68" s="57">
        <f>_xlfn.IFERROR(MATCH("есть",B_FHD_FLAG_INDEX_2,0),0)</f>
        <v>0</v>
      </c>
      <c r="M68" s="57"/>
      <c r="R68" s="57"/>
      <c r="U68" s="706"/>
      <c r="AA68" s="56"/>
      <c r="AB68" s="56"/>
      <c r="AC68" s="56"/>
      <c r="AD68" s="56"/>
      <c r="AE68" s="56"/>
      <c r="AF68" s="53">
        <v>45</v>
      </c>
    </row>
    <row r="69" s="53" customFormat="1" ht="11.5" customHeight="1">
      <c r="A69" s="705"/>
      <c r="C69" s="57"/>
      <c r="D69" s="125"/>
      <c r="E69" s="707" t="str">
        <f>FHD_NUM_P_33</f>
        <v>2.13</v>
      </c>
      <c r="F69" s="673"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07" t="s">
        <v>547</v>
      </c>
      <c r="H69" s="750">
        <f>SUM(H70:H71)</f>
        <v>0</v>
      </c>
      <c r="I69" s="750">
        <f>SUM(I70:I71)</f>
        <v>0</v>
      </c>
      <c r="J69" s="485"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06"/>
      <c r="AA69" s="56"/>
      <c r="AB69" s="56"/>
      <c r="AC69" s="56"/>
      <c r="AD69" s="56"/>
      <c r="AE69" s="56"/>
      <c r="AF69" s="53">
        <v>11</v>
      </c>
    </row>
    <row r="70" s="57" customFormat="1" ht="1.05" customHeight="1">
      <c r="A70" s="531"/>
      <c r="D70" s="531"/>
      <c r="E70" s="158" t="str">
        <f>E69&amp;".0"</f>
        <v>2.13.0</v>
      </c>
      <c r="F70" s="751"/>
      <c r="G70" s="158"/>
      <c r="H70" s="752"/>
      <c r="I70" s="752"/>
      <c r="J70" s="753"/>
      <c r="K70" s="57" t="str">
        <f t="shared" si="47"/>
        <v/>
      </c>
      <c r="AF70" s="57">
        <v>1</v>
      </c>
    </row>
    <row r="71" s="53" customFormat="1" ht="14.65" customHeight="1">
      <c r="A71" s="705"/>
      <c r="C71" s="57"/>
      <c r="D71" s="128"/>
      <c r="E71" s="740"/>
      <c r="F71" s="235" t="s">
        <v>572</v>
      </c>
      <c r="G71" s="741"/>
      <c r="H71" s="742"/>
      <c r="I71" s="742"/>
      <c r="J71" s="549"/>
      <c r="K71" s="57"/>
      <c r="L71" s="57"/>
      <c r="M71" s="57"/>
      <c r="R71" s="57"/>
      <c r="U71" s="706"/>
      <c r="AA71" s="56"/>
      <c r="AB71" s="56"/>
      <c r="AC71" s="56"/>
      <c r="AD71" s="56"/>
      <c r="AE71" s="56"/>
      <c r="AF71" s="53">
        <v>14</v>
      </c>
    </row>
    <row r="72" s="53" customFormat="1" ht="18.75" customHeight="1">
      <c r="A72" s="745" t="s">
        <v>573</v>
      </c>
      <c r="C72" s="57"/>
      <c r="D72" s="125"/>
      <c r="E72" s="707" t="str">
        <f>FHD_NUM_P_34</f>
        <v>3</v>
      </c>
      <c r="F72" s="313" t="str">
        <f>FHD_P_34</f>
        <v xml:space="preserve">Валовая прибыль (убытки) от реализации товаров и оказания услуг по регулируемому виду деятельности</v>
      </c>
      <c r="G72" s="157" t="s">
        <v>547</v>
      </c>
      <c r="H72" s="727"/>
      <c r="I72" s="727"/>
      <c r="J72" s="485" t="str">
        <f>FHD_NOTE_P_34</f>
        <v/>
      </c>
      <c r="K72" s="709"/>
      <c r="L72" s="57"/>
      <c r="M72" s="57"/>
      <c r="R72" s="57"/>
      <c r="U72" s="706"/>
      <c r="AA72" s="56"/>
      <c r="AB72" s="56"/>
      <c r="AC72" s="56"/>
      <c r="AD72" s="56"/>
      <c r="AE72" s="56"/>
      <c r="AF72" s="53">
        <v>0</v>
      </c>
    </row>
    <row r="73" s="53" customFormat="1" ht="19.949999999999999" customHeight="1">
      <c r="A73" s="705"/>
      <c r="C73" s="57"/>
      <c r="D73" s="746"/>
      <c r="E73" s="707" t="str">
        <f>FHD_NUM_P_35</f>
        <v>4</v>
      </c>
      <c r="F73" s="313" t="str">
        <f>FHD_P_35</f>
        <v xml:space="preserve">Чистая прибыль, полученная от регулируемого вида деятельности, в том числе:</v>
      </c>
      <c r="G73" s="157" t="s">
        <v>547</v>
      </c>
      <c r="H73" s="727"/>
      <c r="I73" s="727"/>
      <c r="J73" s="485" t="str">
        <f>FHD_NOTE_P_35</f>
        <v xml:space="preserve">Указывается общая сумма чистой прибыли, полученной от регулируемого вида деятельности.</v>
      </c>
      <c r="K73" s="709"/>
      <c r="L73" s="57"/>
      <c r="M73" s="57"/>
      <c r="R73" s="57"/>
      <c r="U73" s="706"/>
      <c r="AA73" s="56"/>
      <c r="AB73" s="56"/>
      <c r="AC73" s="56"/>
      <c r="AD73" s="56"/>
      <c r="AE73" s="56"/>
      <c r="AF73" s="53">
        <v>19</v>
      </c>
    </row>
    <row r="74" s="53" customFormat="1" ht="19.949999999999999" customHeight="1">
      <c r="A74" s="705"/>
      <c r="C74" s="57"/>
      <c r="D74" s="125"/>
      <c r="E74" s="707" t="str">
        <f>FHD_NUM_P_36</f>
        <v>4.1</v>
      </c>
      <c r="F74" s="673"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7" t="s">
        <v>547</v>
      </c>
      <c r="H74" s="727"/>
      <c r="I74" s="727"/>
      <c r="J74" s="485" t="str">
        <f>FHD_NOTE_P_36</f>
        <v/>
      </c>
      <c r="K74" s="709"/>
      <c r="L74" s="57"/>
      <c r="M74" s="57"/>
      <c r="R74" s="57"/>
      <c r="U74" s="706"/>
      <c r="AA74" s="56"/>
      <c r="AB74" s="56"/>
      <c r="AC74" s="56"/>
      <c r="AD74" s="56"/>
      <c r="AE74" s="56"/>
      <c r="AF74" s="53">
        <v>19</v>
      </c>
    </row>
    <row r="75" s="53" customFormat="1" ht="19.949999999999999" customHeight="1">
      <c r="A75" s="705"/>
      <c r="C75" s="57"/>
      <c r="D75" s="125"/>
      <c r="E75" s="707" t="str">
        <f>FHD_NUM_P_37</f>
        <v>5</v>
      </c>
      <c r="F75" s="313" t="str">
        <f>FHD_P_37</f>
        <v xml:space="preserve">Изменение стоимости основных фондов, в том числе:</v>
      </c>
      <c r="G75" s="157" t="s">
        <v>547</v>
      </c>
      <c r="H75" s="727"/>
      <c r="I75" s="727"/>
      <c r="J75" s="485" t="str">
        <f>FHD_NOTE_P_37</f>
        <v xml:space="preserve">Указывается общее изменение стоимости основных фондов.</v>
      </c>
      <c r="K75" s="709"/>
      <c r="L75" s="57"/>
      <c r="M75" s="57"/>
      <c r="R75" s="57"/>
      <c r="U75" s="706"/>
      <c r="AA75" s="56"/>
      <c r="AB75" s="56"/>
      <c r="AC75" s="56"/>
      <c r="AD75" s="56"/>
      <c r="AE75" s="56"/>
      <c r="AF75" s="53">
        <v>19</v>
      </c>
    </row>
    <row r="76" s="53" customFormat="1" ht="19.949999999999999" customHeight="1">
      <c r="A76" s="705"/>
      <c r="C76" s="57"/>
      <c r="D76" s="125"/>
      <c r="E76" s="707" t="str">
        <f>FHD_NUM_P_38</f>
        <v>5.1</v>
      </c>
      <c r="F76" s="673" t="str">
        <f>FHD_P_38</f>
        <v xml:space="preserve">Изменение стоимости основных фондов за счет:</v>
      </c>
      <c r="G76" s="157" t="s">
        <v>547</v>
      </c>
      <c r="H76" s="727"/>
      <c r="I76" s="727"/>
      <c r="J76" s="485" t="str">
        <f>FHD_NOTE_P_38</f>
        <v xml:space="preserve">Указываются общее изменение стоимости основных фондов за счет их ввода в эксплуатацию и вывода из эксплуатации.</v>
      </c>
      <c r="K76" s="709"/>
      <c r="L76" s="57"/>
      <c r="M76" s="57"/>
      <c r="R76" s="57"/>
      <c r="U76" s="706"/>
      <c r="AA76" s="56"/>
      <c r="AB76" s="56"/>
      <c r="AC76" s="56"/>
      <c r="AD76" s="56"/>
      <c r="AE76" s="56"/>
      <c r="AF76" s="53">
        <v>19</v>
      </c>
    </row>
    <row r="77" s="53" customFormat="1" ht="19.949999999999999" customHeight="1">
      <c r="A77" s="705"/>
      <c r="C77" s="57"/>
      <c r="D77" s="125"/>
      <c r="E77" s="707" t="str">
        <f>FHD_NUM_P_39</f>
        <v>5.1.1</v>
      </c>
      <c r="F77" s="743" t="str">
        <f>FHD_P_39</f>
        <v xml:space="preserve">Изменения стоимости основных фондов за счет их ввода в эксплуатацию</v>
      </c>
      <c r="G77" s="307" t="s">
        <v>547</v>
      </c>
      <c r="H77" s="727"/>
      <c r="I77" s="727"/>
      <c r="J77" s="485" t="str">
        <f>FHD_NOTE_P_39</f>
        <v xml:space="preserve">Указываются изменение стоимости основных фондов за счет их ввода в эксплуатацию.</v>
      </c>
      <c r="K77" s="709"/>
      <c r="L77" s="57"/>
      <c r="M77" s="57"/>
      <c r="R77" s="57"/>
      <c r="U77" s="706"/>
      <c r="AA77" s="56"/>
      <c r="AB77" s="56"/>
      <c r="AC77" s="56"/>
      <c r="AD77" s="56"/>
      <c r="AE77" s="56"/>
      <c r="AF77" s="53">
        <v>19</v>
      </c>
    </row>
    <row r="78" s="53" customFormat="1" ht="19.949999999999999" customHeight="1">
      <c r="A78" s="705"/>
      <c r="C78" s="57"/>
      <c r="D78" s="125"/>
      <c r="E78" s="707" t="str">
        <f>FHD_NUM_P_40</f>
        <v>5.1.2</v>
      </c>
      <c r="F78" s="754" t="str">
        <f>FHD_P_40</f>
        <v xml:space="preserve">Изменения стоимости основных фондов за счет их вывода в эксплуатацию</v>
      </c>
      <c r="G78" s="157" t="s">
        <v>547</v>
      </c>
      <c r="H78" s="755"/>
      <c r="I78" s="727"/>
      <c r="J78" s="485" t="str">
        <f>FHD_NOTE_P_40</f>
        <v xml:space="preserve">Указываются изменение стоимости основных фондов за счет их вывода из эксплуатации.</v>
      </c>
      <c r="K78" s="709"/>
      <c r="L78" s="57"/>
      <c r="M78" s="57"/>
      <c r="R78" s="57"/>
      <c r="U78" s="706"/>
      <c r="AA78" s="56"/>
      <c r="AB78" s="56"/>
      <c r="AC78" s="56"/>
      <c r="AD78" s="56"/>
      <c r="AE78" s="56"/>
      <c r="AF78" s="53">
        <v>19</v>
      </c>
    </row>
    <row r="79" s="53" customFormat="1" ht="19.949999999999999" customHeight="1">
      <c r="A79" s="705"/>
      <c r="C79" s="57"/>
      <c r="D79" s="125"/>
      <c r="E79" s="707" t="str">
        <f>FHD_NUM_P_41</f>
        <v>5.2</v>
      </c>
      <c r="F79" s="756" t="str">
        <f>FHD_P_41</f>
        <v xml:space="preserve">Изменение стоимости основных фондов за счет их переоценки</v>
      </c>
      <c r="G79" s="157" t="s">
        <v>547</v>
      </c>
      <c r="H79" s="755"/>
      <c r="I79" s="727"/>
      <c r="J79" s="485" t="str">
        <f>FHD_NOTE_P_41</f>
        <v/>
      </c>
      <c r="K79" s="709"/>
      <c r="L79" s="57"/>
      <c r="M79" s="57"/>
      <c r="R79" s="57"/>
      <c r="U79" s="706"/>
      <c r="AA79" s="56"/>
      <c r="AB79" s="56"/>
      <c r="AC79" s="56"/>
      <c r="AD79" s="56"/>
      <c r="AE79" s="56"/>
      <c r="AF79" s="53">
        <v>19</v>
      </c>
    </row>
    <row r="80" s="53" customFormat="1" ht="20.25" hidden="1" customHeight="1">
      <c r="A80" s="745" t="s">
        <v>574</v>
      </c>
      <c r="C80" s="57"/>
      <c r="D80" s="125"/>
      <c r="E80" s="707" t="str">
        <f>FHD_NUM_P_42</f>
        <v/>
      </c>
      <c r="F80" s="332" t="str">
        <f>FHD_P_42</f>
        <v/>
      </c>
      <c r="G80" s="157" t="s">
        <v>547</v>
      </c>
      <c r="H80" s="755"/>
      <c r="I80" s="727"/>
      <c r="J80" s="485" t="str">
        <f>FHD_NOTE_P_42</f>
        <v/>
      </c>
      <c r="K80" s="709"/>
      <c r="L80" s="57"/>
      <c r="M80" s="57"/>
      <c r="R80" s="57"/>
      <c r="U80" s="706"/>
      <c r="AA80" s="56"/>
      <c r="AB80" s="56"/>
      <c r="AC80" s="56"/>
      <c r="AD80" s="56"/>
      <c r="AE80" s="56"/>
      <c r="AF80" s="53">
        <v>19</v>
      </c>
    </row>
    <row r="81" s="53" customFormat="1" ht="19.949999999999999" customHeight="1">
      <c r="A81" s="705"/>
      <c r="C81" s="57"/>
      <c r="D81" s="125"/>
      <c r="E81" s="707" t="str">
        <f>FHD_NUM_P_43</f>
        <v>6</v>
      </c>
      <c r="F81" s="313" t="str">
        <f>FHD_P_43</f>
        <v xml:space="preserve">Годовая бухгалтерская (финансовая) отчетность, включая бухгалтерский баланс и приложения к нему</v>
      </c>
      <c r="G81" s="162" t="s">
        <v>301</v>
      </c>
      <c r="H81" s="757"/>
      <c r="I81" s="758"/>
      <c r="J81" s="485"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09"/>
      <c r="L81" s="57"/>
      <c r="M81" s="57"/>
      <c r="R81" s="57"/>
      <c r="U81" s="706"/>
      <c r="AA81" s="56"/>
      <c r="AB81" s="56"/>
      <c r="AC81" s="56"/>
      <c r="AD81" s="56"/>
      <c r="AE81" s="56"/>
      <c r="AF81" s="53">
        <v>19</v>
      </c>
    </row>
    <row r="82" s="53" customFormat="1" ht="18.75" hidden="1" customHeight="1">
      <c r="A82" s="729" t="s">
        <v>575</v>
      </c>
      <c r="C82" s="57"/>
      <c r="D82" s="125"/>
      <c r="E82" s="707" t="str">
        <f>FHD_NUM_P_44</f>
        <v/>
      </c>
      <c r="F82" s="313" t="str">
        <f>FHD_P_44</f>
        <v/>
      </c>
      <c r="G82" s="157" t="s">
        <v>576</v>
      </c>
      <c r="H82" s="759"/>
      <c r="I82" s="747"/>
      <c r="J82" s="485" t="str">
        <f>FHD_NOTE_P_44</f>
        <v/>
      </c>
      <c r="K82" s="709"/>
      <c r="L82" s="57"/>
      <c r="M82" s="57"/>
      <c r="R82" s="57"/>
      <c r="U82" s="706"/>
      <c r="AA82" s="56"/>
      <c r="AB82" s="56"/>
      <c r="AC82" s="56"/>
      <c r="AD82" s="56"/>
      <c r="AE82" s="56"/>
      <c r="AF82" s="53">
        <v>0</v>
      </c>
    </row>
    <row r="83" s="53" customFormat="1" ht="18.75" hidden="1" customHeight="1">
      <c r="A83" s="729"/>
      <c r="C83" s="57"/>
      <c r="D83" s="125"/>
      <c r="E83" s="707" t="str">
        <f>FHD_NUM_P_45</f>
        <v/>
      </c>
      <c r="F83" s="313" t="str">
        <f>FHD_P_45</f>
        <v/>
      </c>
      <c r="G83" s="157" t="s">
        <v>576</v>
      </c>
      <c r="H83" s="759"/>
      <c r="I83" s="747"/>
      <c r="J83" s="485" t="str">
        <f>FHD_NOTE_P_45</f>
        <v/>
      </c>
      <c r="K83" s="709"/>
      <c r="L83" s="57"/>
      <c r="M83" s="57"/>
      <c r="R83" s="57"/>
      <c r="U83" s="706"/>
      <c r="AA83" s="56"/>
      <c r="AB83" s="56"/>
      <c r="AC83" s="56"/>
      <c r="AD83" s="56"/>
      <c r="AE83" s="56"/>
      <c r="AF83" s="53">
        <v>0</v>
      </c>
    </row>
    <row r="84" s="53" customFormat="1" ht="18.75" hidden="1" customHeight="1">
      <c r="A84" s="729"/>
      <c r="C84" s="57"/>
      <c r="D84" s="746"/>
      <c r="E84" s="707" t="str">
        <f>FHD_NUM_P_46</f>
        <v/>
      </c>
      <c r="F84" s="313" t="str">
        <f>FHD_P_46</f>
        <v/>
      </c>
      <c r="G84" s="157" t="s">
        <v>576</v>
      </c>
      <c r="H84" s="759"/>
      <c r="I84" s="747"/>
      <c r="J84" s="485" t="str">
        <f>FHD_NOTE_P_46</f>
        <v/>
      </c>
      <c r="K84" s="709"/>
      <c r="L84" s="57"/>
      <c r="M84" s="57"/>
      <c r="R84" s="57"/>
      <c r="U84" s="706"/>
      <c r="AA84" s="56"/>
      <c r="AB84" s="56"/>
      <c r="AC84" s="56"/>
      <c r="AD84" s="56"/>
      <c r="AE84" s="56"/>
      <c r="AF84" s="53">
        <v>0</v>
      </c>
    </row>
    <row r="85" s="53" customFormat="1" ht="18.75" hidden="1" customHeight="1">
      <c r="A85" s="729"/>
      <c r="C85" s="57"/>
      <c r="D85" s="125"/>
      <c r="E85" s="707" t="str">
        <f>FHD_NUM_P_47</f>
        <v/>
      </c>
      <c r="F85" s="313" t="str">
        <f>FHD_P_47</f>
        <v/>
      </c>
      <c r="G85" s="157" t="s">
        <v>576</v>
      </c>
      <c r="H85" s="759"/>
      <c r="I85" s="747"/>
      <c r="J85" s="485" t="str">
        <f>FHD_NOTE_P_47</f>
        <v/>
      </c>
      <c r="K85" s="709"/>
      <c r="L85" s="57"/>
      <c r="M85" s="57"/>
      <c r="R85" s="57"/>
      <c r="U85" s="706"/>
      <c r="AA85" s="56"/>
      <c r="AB85" s="56"/>
      <c r="AC85" s="56"/>
      <c r="AD85" s="56"/>
      <c r="AE85" s="56"/>
      <c r="AF85" s="53">
        <v>0</v>
      </c>
    </row>
    <row r="86" s="50" customFormat="1" ht="18.75" hidden="1" customHeight="1">
      <c r="A86" s="729"/>
      <c r="B86" s="53"/>
      <c r="C86" s="57"/>
      <c r="D86" s="125"/>
      <c r="E86" s="707" t="str">
        <f>FHD_NUM_P_48</f>
        <v/>
      </c>
      <c r="F86" s="313" t="str">
        <f>FHD_P_48</f>
        <v/>
      </c>
      <c r="G86" s="157" t="s">
        <v>576</v>
      </c>
      <c r="H86" s="759"/>
      <c r="I86" s="747"/>
      <c r="J86" s="485" t="str">
        <f>FHD_NOTE_P_48</f>
        <v/>
      </c>
      <c r="K86" s="709"/>
      <c r="L86" s="57"/>
      <c r="M86" s="57"/>
      <c r="N86" s="53"/>
      <c r="O86" s="53"/>
      <c r="P86" s="53"/>
      <c r="Q86" s="53"/>
      <c r="R86" s="57"/>
      <c r="S86" s="53"/>
      <c r="T86" s="53"/>
      <c r="U86" s="706"/>
      <c r="V86" s="53"/>
      <c r="W86" s="53"/>
      <c r="X86" s="53"/>
      <c r="Y86" s="53"/>
      <c r="Z86" s="53"/>
      <c r="AA86" s="56"/>
      <c r="AB86" s="56"/>
      <c r="AC86" s="56"/>
      <c r="AD86" s="56"/>
      <c r="AE86" s="56"/>
      <c r="AF86" s="50">
        <v>0</v>
      </c>
    </row>
    <row r="87" s="50" customFormat="1" ht="18.75" hidden="1" customHeight="1">
      <c r="A87" s="729"/>
      <c r="B87" s="53"/>
      <c r="C87" s="57"/>
      <c r="D87" s="125"/>
      <c r="E87" s="707" t="str">
        <f>FHD_NUM_P_49</f>
        <v/>
      </c>
      <c r="F87" s="313" t="str">
        <f>FHD_P_49</f>
        <v/>
      </c>
      <c r="G87" s="157" t="s">
        <v>576</v>
      </c>
      <c r="H87" s="760">
        <f>SUM(H88:H89)</f>
        <v>0</v>
      </c>
      <c r="I87" s="761">
        <f>SUM(I88:I89)</f>
        <v>0</v>
      </c>
      <c r="J87" s="485" t="str">
        <f>FHD_NOTE_P_49</f>
        <v/>
      </c>
      <c r="K87" s="709"/>
      <c r="L87" s="57"/>
      <c r="M87" s="57"/>
      <c r="N87" s="53"/>
      <c r="O87" s="53"/>
      <c r="P87" s="53"/>
      <c r="Q87" s="53"/>
      <c r="R87" s="57"/>
      <c r="S87" s="53"/>
      <c r="T87" s="53"/>
      <c r="U87" s="706"/>
      <c r="V87" s="53"/>
      <c r="W87" s="53"/>
      <c r="X87" s="53"/>
      <c r="Y87" s="53"/>
      <c r="Z87" s="53"/>
      <c r="AA87" s="56"/>
      <c r="AB87" s="56"/>
      <c r="AC87" s="56"/>
      <c r="AD87" s="56"/>
      <c r="AE87" s="56"/>
      <c r="AF87" s="50">
        <v>0</v>
      </c>
    </row>
    <row r="88" s="50" customFormat="1" ht="18.75" hidden="1" customHeight="1">
      <c r="A88" s="729"/>
      <c r="B88" s="53"/>
      <c r="C88" s="57"/>
      <c r="D88" s="125"/>
      <c r="E88" s="707" t="str">
        <f>FHD_NUM_P_50</f>
        <v/>
      </c>
      <c r="F88" s="313" t="str">
        <f>FHD_P_50</f>
        <v/>
      </c>
      <c r="G88" s="157" t="s">
        <v>576</v>
      </c>
      <c r="H88" s="759"/>
      <c r="I88" s="747"/>
      <c r="J88" s="485" t="str">
        <f>FHD_NOTE_P_50</f>
        <v/>
      </c>
      <c r="K88" s="709"/>
      <c r="L88" s="57"/>
      <c r="M88" s="57"/>
      <c r="N88" s="53"/>
      <c r="O88" s="53"/>
      <c r="P88" s="53"/>
      <c r="Q88" s="53"/>
      <c r="R88" s="57"/>
      <c r="S88" s="53"/>
      <c r="T88" s="53"/>
      <c r="U88" s="706"/>
      <c r="V88" s="53"/>
      <c r="W88" s="53"/>
      <c r="X88" s="53"/>
      <c r="Y88" s="53"/>
      <c r="Z88" s="53"/>
      <c r="AA88" s="56"/>
      <c r="AB88" s="56"/>
      <c r="AC88" s="56"/>
      <c r="AD88" s="56"/>
      <c r="AE88" s="56"/>
      <c r="AF88" s="50">
        <v>0</v>
      </c>
    </row>
    <row r="89" s="50" customFormat="1" ht="18.75" hidden="1" customHeight="1">
      <c r="A89" s="729"/>
      <c r="B89" s="53"/>
      <c r="C89" s="57"/>
      <c r="D89" s="125"/>
      <c r="E89" s="707" t="str">
        <f>FHD_NUM_P_51</f>
        <v/>
      </c>
      <c r="F89" s="313" t="str">
        <f>FHD_P_51</f>
        <v/>
      </c>
      <c r="G89" s="157" t="s">
        <v>576</v>
      </c>
      <c r="H89" s="759"/>
      <c r="I89" s="747"/>
      <c r="J89" s="485" t="str">
        <f>FHD_NOTE_P_51</f>
        <v/>
      </c>
      <c r="K89" s="709"/>
      <c r="L89" s="57"/>
      <c r="M89" s="57"/>
      <c r="N89" s="53"/>
      <c r="O89" s="53"/>
      <c r="P89" s="53"/>
      <c r="Q89" s="53"/>
      <c r="R89" s="57"/>
      <c r="S89" s="53"/>
      <c r="T89" s="53"/>
      <c r="U89" s="706"/>
      <c r="V89" s="53"/>
      <c r="W89" s="53"/>
      <c r="X89" s="53"/>
      <c r="Y89" s="53"/>
      <c r="Z89" s="53"/>
      <c r="AA89" s="56"/>
      <c r="AB89" s="56"/>
      <c r="AC89" s="56"/>
      <c r="AD89" s="56"/>
      <c r="AE89" s="56"/>
      <c r="AF89" s="50">
        <v>0</v>
      </c>
    </row>
    <row r="90" s="50" customFormat="1" ht="18.75" hidden="1" customHeight="1">
      <c r="A90" s="729"/>
      <c r="B90" s="53"/>
      <c r="C90" s="57"/>
      <c r="D90" s="125"/>
      <c r="E90" s="707" t="str">
        <f>FHD_NUM_P_52</f>
        <v/>
      </c>
      <c r="F90" s="313" t="str">
        <f>FHD_P_52</f>
        <v/>
      </c>
      <c r="G90" s="157" t="s">
        <v>553</v>
      </c>
      <c r="H90" s="755"/>
      <c r="I90" s="727"/>
      <c r="J90" s="485" t="str">
        <f>FHD_NOTE_P_52</f>
        <v/>
      </c>
      <c r="K90" s="709"/>
      <c r="L90" s="57"/>
      <c r="M90" s="57"/>
      <c r="N90" s="53"/>
      <c r="O90" s="53"/>
      <c r="P90" s="53"/>
      <c r="Q90" s="53"/>
      <c r="R90" s="57"/>
      <c r="S90" s="53"/>
      <c r="T90" s="53"/>
      <c r="U90" s="706"/>
      <c r="V90" s="53"/>
      <c r="W90" s="53"/>
      <c r="X90" s="53"/>
      <c r="Y90" s="53"/>
      <c r="Z90" s="53"/>
      <c r="AA90" s="56"/>
      <c r="AB90" s="56"/>
      <c r="AC90" s="56"/>
      <c r="AD90" s="56"/>
      <c r="AE90" s="56"/>
      <c r="AF90" s="50">
        <v>0</v>
      </c>
    </row>
    <row r="91" s="53" customFormat="1" ht="18.75" hidden="1" customHeight="1">
      <c r="A91" s="729" t="s">
        <v>577</v>
      </c>
      <c r="C91" s="57"/>
      <c r="D91" s="125"/>
      <c r="E91" s="707" t="str">
        <f>FHD_NUM_P_53</f>
        <v/>
      </c>
      <c r="F91" s="313" t="str">
        <f>FHD_P_53</f>
        <v/>
      </c>
      <c r="G91" s="157" t="s">
        <v>576</v>
      </c>
      <c r="H91" s="759"/>
      <c r="I91" s="747"/>
      <c r="J91" s="485" t="str">
        <f>FHD_NOTE_P_53</f>
        <v/>
      </c>
      <c r="K91" s="709"/>
      <c r="L91" s="57"/>
      <c r="M91" s="57"/>
      <c r="R91" s="57"/>
      <c r="U91" s="706"/>
      <c r="AA91" s="56"/>
      <c r="AB91" s="56"/>
      <c r="AC91" s="56"/>
      <c r="AD91" s="56"/>
      <c r="AE91" s="56"/>
      <c r="AF91" s="53">
        <v>0</v>
      </c>
    </row>
    <row r="92" s="53" customFormat="1" ht="18.75" hidden="1" customHeight="1">
      <c r="A92" s="729"/>
      <c r="C92" s="57"/>
      <c r="D92" s="125"/>
      <c r="E92" s="707" t="str">
        <f>FHD_NUM_P_54</f>
        <v/>
      </c>
      <c r="F92" s="313" t="str">
        <f>FHD_P_54</f>
        <v/>
      </c>
      <c r="G92" s="157" t="s">
        <v>576</v>
      </c>
      <c r="H92" s="759"/>
      <c r="I92" s="747"/>
      <c r="J92" s="485" t="str">
        <f>FHD_NOTE_P_54</f>
        <v/>
      </c>
      <c r="K92" s="709"/>
      <c r="L92" s="57"/>
      <c r="M92" s="57"/>
      <c r="R92" s="57"/>
      <c r="U92" s="706"/>
      <c r="AA92" s="56"/>
      <c r="AB92" s="56"/>
      <c r="AC92" s="56"/>
      <c r="AD92" s="56"/>
      <c r="AE92" s="56"/>
      <c r="AF92" s="53">
        <v>0</v>
      </c>
    </row>
    <row r="93" s="53" customFormat="1" ht="18.75" hidden="1" customHeight="1">
      <c r="A93" s="729"/>
      <c r="C93" s="57"/>
      <c r="D93" s="746"/>
      <c r="E93" s="707" t="str">
        <f>FHD_NUM_P_55</f>
        <v/>
      </c>
      <c r="F93" s="313" t="str">
        <f>FHD_P_55</f>
        <v/>
      </c>
      <c r="G93" s="668"/>
      <c r="H93" s="759"/>
      <c r="I93" s="747"/>
      <c r="J93" s="485" t="str">
        <f>FHD_NOTE_P_55</f>
        <v/>
      </c>
      <c r="K93" s="709"/>
      <c r="L93" s="57"/>
      <c r="M93" s="57"/>
      <c r="R93" s="57"/>
      <c r="U93" s="706"/>
      <c r="AA93" s="56"/>
      <c r="AB93" s="56"/>
      <c r="AC93" s="56"/>
      <c r="AD93" s="56"/>
      <c r="AE93" s="56"/>
      <c r="AF93" s="53">
        <v>0</v>
      </c>
    </row>
    <row r="94" s="53" customFormat="1" ht="18.75" hidden="1" customHeight="1">
      <c r="A94" s="729"/>
      <c r="C94" s="57"/>
      <c r="D94" s="125"/>
      <c r="E94" s="707" t="str">
        <f>FHD_NUM_P_56</f>
        <v/>
      </c>
      <c r="F94" s="313" t="str">
        <f>FHD_P_56</f>
        <v/>
      </c>
      <c r="G94" s="157" t="s">
        <v>578</v>
      </c>
      <c r="H94" s="759"/>
      <c r="I94" s="747"/>
      <c r="J94" s="485" t="str">
        <f>FHD_NOTE_P_56</f>
        <v/>
      </c>
      <c r="K94" s="709"/>
      <c r="L94" s="57"/>
      <c r="M94" s="57"/>
      <c r="R94" s="57"/>
      <c r="U94" s="706"/>
      <c r="AA94" s="56"/>
      <c r="AB94" s="56"/>
      <c r="AC94" s="56"/>
      <c r="AD94" s="56"/>
      <c r="AE94" s="56"/>
      <c r="AF94" s="53">
        <v>0</v>
      </c>
    </row>
    <row r="95" s="50" customFormat="1" ht="18.75" hidden="1" customHeight="1">
      <c r="A95" s="729"/>
      <c r="B95" s="53"/>
      <c r="C95" s="57"/>
      <c r="D95" s="125"/>
      <c r="E95" s="707" t="str">
        <f>FHD_NUM_P_57</f>
        <v/>
      </c>
      <c r="F95" s="313" t="str">
        <f>FHD_P_57</f>
        <v/>
      </c>
      <c r="G95" s="157" t="s">
        <v>553</v>
      </c>
      <c r="H95" s="755"/>
      <c r="I95" s="727"/>
      <c r="J95" s="485" t="str">
        <f>FHD_NOTE_P_57</f>
        <v/>
      </c>
      <c r="K95" s="709"/>
      <c r="L95" s="57"/>
      <c r="M95" s="57"/>
      <c r="N95" s="53"/>
      <c r="O95" s="53"/>
      <c r="P95" s="53"/>
      <c r="Q95" s="53"/>
      <c r="R95" s="57"/>
      <c r="S95" s="53"/>
      <c r="T95" s="53"/>
      <c r="U95" s="706"/>
      <c r="V95" s="53"/>
      <c r="W95" s="53"/>
      <c r="X95" s="53"/>
      <c r="Y95" s="53"/>
      <c r="Z95" s="53"/>
      <c r="AA95" s="56"/>
      <c r="AB95" s="56"/>
      <c r="AC95" s="56"/>
      <c r="AD95" s="56"/>
      <c r="AE95" s="56"/>
      <c r="AF95" s="50">
        <v>0</v>
      </c>
    </row>
    <row r="96" ht="18.75" hidden="1" customHeight="1">
      <c r="A96" s="729" t="s">
        <v>579</v>
      </c>
      <c r="D96" s="125"/>
      <c r="E96" s="707" t="str">
        <f>FHD_NUM_P_58</f>
        <v/>
      </c>
      <c r="F96" s="313" t="str">
        <f>FHD_P_58</f>
        <v/>
      </c>
      <c r="G96" s="157" t="s">
        <v>576</v>
      </c>
      <c r="H96" s="759"/>
      <c r="I96" s="747"/>
      <c r="J96" s="485" t="str">
        <f>FHD_NOTE_P_58</f>
        <v/>
      </c>
      <c r="K96" s="709"/>
      <c r="AF96" s="50">
        <v>0</v>
      </c>
    </row>
    <row r="97" ht="18.75" hidden="1" customHeight="1">
      <c r="A97" s="729"/>
      <c r="D97" s="125"/>
      <c r="E97" s="707" t="str">
        <f>FHD_NUM_P_59</f>
        <v/>
      </c>
      <c r="F97" s="313" t="str">
        <f>FHD_P_59</f>
        <v/>
      </c>
      <c r="G97" s="157" t="s">
        <v>576</v>
      </c>
      <c r="H97" s="759"/>
      <c r="I97" s="747"/>
      <c r="J97" s="485" t="str">
        <f>FHD_NOTE_P_59</f>
        <v/>
      </c>
      <c r="K97" s="709"/>
      <c r="AF97" s="50">
        <v>0</v>
      </c>
    </row>
    <row r="98" ht="18.75" hidden="1" customHeight="1">
      <c r="A98" s="729"/>
      <c r="D98" s="125"/>
      <c r="E98" s="707" t="str">
        <f>FHD_NUM_P_60</f>
        <v/>
      </c>
      <c r="F98" s="313" t="str">
        <f>FHD_P_60</f>
        <v/>
      </c>
      <c r="G98" s="157" t="s">
        <v>576</v>
      </c>
      <c r="H98" s="759"/>
      <c r="I98" s="747"/>
      <c r="J98" s="485" t="str">
        <f>FHD_NOTE_P_60</f>
        <v/>
      </c>
      <c r="K98" s="709"/>
      <c r="AF98" s="50">
        <v>0</v>
      </c>
    </row>
    <row r="99" s="53" customFormat="1" ht="18.75" customHeight="1">
      <c r="A99" s="729" t="s">
        <v>580</v>
      </c>
      <c r="C99" s="57"/>
      <c r="D99" s="125"/>
      <c r="E99" s="707" t="str">
        <f>FHD_NUM_P_61</f>
        <v>7</v>
      </c>
      <c r="F99" s="313"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7" t="s">
        <v>551</v>
      </c>
      <c r="H99" s="762"/>
      <c r="I99" s="763"/>
      <c r="J99" s="485"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09"/>
      <c r="L99" s="57"/>
      <c r="M99" s="57"/>
      <c r="R99" s="57"/>
      <c r="U99" s="706"/>
      <c r="AA99" s="56"/>
      <c r="AB99" s="56"/>
      <c r="AC99" s="56"/>
      <c r="AD99" s="56"/>
      <c r="AE99" s="56"/>
      <c r="AF99" s="53">
        <v>0</v>
      </c>
    </row>
    <row r="100" s="57" customFormat="1" ht="0.75" customHeight="1">
      <c r="A100" s="729"/>
      <c r="D100" s="531"/>
      <c r="E100" s="158" t="str">
        <f>E99&amp;".0"</f>
        <v>7.0</v>
      </c>
      <c r="F100" s="764"/>
      <c r="G100" s="765"/>
      <c r="H100" s="752"/>
      <c r="I100" s="752"/>
      <c r="J100" s="766"/>
      <c r="AF100" s="57">
        <v>0</v>
      </c>
    </row>
    <row r="101" ht="15" customHeight="1">
      <c r="A101" s="729"/>
      <c r="D101" s="128"/>
      <c r="E101" s="767"/>
      <c r="F101" s="768" t="s">
        <v>581</v>
      </c>
      <c r="G101" s="741"/>
      <c r="H101" s="742"/>
      <c r="I101" s="742"/>
      <c r="J101" s="769" t="s">
        <v>582</v>
      </c>
      <c r="K101" s="709"/>
      <c r="AF101" s="50">
        <v>0</v>
      </c>
    </row>
    <row r="102" s="53" customFormat="1" ht="18.75" customHeight="1">
      <c r="A102" s="729"/>
      <c r="C102" s="57"/>
      <c r="D102" s="125"/>
      <c r="E102" s="707" t="str">
        <f>FHD_NUM_P_62</f>
        <v>8</v>
      </c>
      <c r="F102" s="313" t="str">
        <f>FHD_P_62</f>
        <v xml:space="preserve">Тепловая нагрузка по договорам, заключенным в рамках осуществления регулируемых видов деятельности</v>
      </c>
      <c r="G102" s="72" t="s">
        <v>551</v>
      </c>
      <c r="H102" s="727"/>
      <c r="I102" s="727"/>
      <c r="J102" s="485"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09"/>
      <c r="L102" s="57"/>
      <c r="M102" s="57"/>
      <c r="R102" s="57"/>
      <c r="U102" s="706"/>
      <c r="AA102" s="56"/>
      <c r="AB102" s="56"/>
      <c r="AC102" s="56"/>
      <c r="AD102" s="56"/>
      <c r="AE102" s="56"/>
      <c r="AF102" s="53">
        <v>0</v>
      </c>
    </row>
    <row r="103" s="53" customFormat="1" ht="18.75" customHeight="1">
      <c r="A103" s="729"/>
      <c r="C103" s="57"/>
      <c r="D103" s="125"/>
      <c r="E103" s="707" t="str">
        <f>FHD_NUM_P_63</f>
        <v>9</v>
      </c>
      <c r="F103" s="313"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578</v>
      </c>
      <c r="H103" s="747"/>
      <c r="I103" s="747"/>
      <c r="J103" s="485"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09"/>
      <c r="L103" s="57"/>
      <c r="M103" s="57"/>
      <c r="R103" s="57"/>
      <c r="U103" s="706"/>
      <c r="AA103" s="56"/>
      <c r="AB103" s="56"/>
      <c r="AC103" s="56"/>
      <c r="AD103" s="56"/>
      <c r="AE103" s="56"/>
      <c r="AF103" s="53">
        <v>0</v>
      </c>
    </row>
    <row r="104" s="53" customFormat="1" ht="18.75" customHeight="1">
      <c r="A104" s="729"/>
      <c r="C104" s="57" t="s">
        <v>583</v>
      </c>
      <c r="D104" s="125"/>
      <c r="E104" s="707" t="str">
        <f>FHD_NUM_P_64</f>
        <v>9.1</v>
      </c>
      <c r="F104" s="313" t="str">
        <f>FHD_P_64</f>
        <v xml:space="preserve">Объем приобретаемой регулируемой организацией тепловой энергии в рамках осуществления регулируемых видов деятельности</v>
      </c>
      <c r="G104" s="72" t="s">
        <v>578</v>
      </c>
      <c r="H104" s="717"/>
      <c r="I104" s="717"/>
      <c r="J104" s="485" t="str">
        <f>FHD_NOTE_P_64</f>
        <v xml:space="preserve">Информация указывается только едиными теплоснабжающими организациями.</v>
      </c>
      <c r="K104" s="709"/>
      <c r="L104" s="57"/>
      <c r="M104" s="57"/>
      <c r="R104" s="57"/>
      <c r="U104" s="706"/>
      <c r="AA104" s="56"/>
      <c r="AB104" s="56"/>
      <c r="AC104" s="56"/>
      <c r="AD104" s="56"/>
      <c r="AE104" s="56"/>
      <c r="AF104" s="53">
        <v>0</v>
      </c>
    </row>
    <row r="105" s="53" customFormat="1" ht="18.75" customHeight="1">
      <c r="A105" s="729"/>
      <c r="C105" s="57"/>
      <c r="D105" s="125"/>
      <c r="E105" s="707" t="str">
        <f>FHD_NUM_P_65</f>
        <v>10</v>
      </c>
      <c r="F105" s="313"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578</v>
      </c>
      <c r="H105" s="747"/>
      <c r="I105" s="747"/>
      <c r="J105" s="485"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09"/>
      <c r="L105" s="57"/>
      <c r="M105" s="57"/>
      <c r="R105" s="57"/>
      <c r="U105" s="706"/>
      <c r="AA105" s="56"/>
      <c r="AB105" s="56"/>
      <c r="AC105" s="56"/>
      <c r="AD105" s="56"/>
      <c r="AE105" s="56"/>
      <c r="AF105" s="53">
        <v>0</v>
      </c>
    </row>
    <row r="106" s="53" customFormat="1" ht="18.75" customHeight="1">
      <c r="A106" s="729"/>
      <c r="C106" s="57"/>
      <c r="D106" s="125"/>
      <c r="E106" s="707" t="str">
        <f>FHD_NUM_P_66</f>
        <v>10.1</v>
      </c>
      <c r="F106" s="673" t="str">
        <f>FHD_P_66</f>
        <v xml:space="preserve">По приборам учёта </v>
      </c>
      <c r="G106" s="72" t="s">
        <v>578</v>
      </c>
      <c r="H106" s="747"/>
      <c r="I106" s="747"/>
      <c r="J106" s="485" t="str">
        <f>FHD_NOTE_P_66</f>
        <v/>
      </c>
      <c r="K106" s="709"/>
      <c r="L106" s="57"/>
      <c r="M106" s="57"/>
      <c r="R106" s="57"/>
      <c r="U106" s="706"/>
      <c r="AA106" s="56"/>
      <c r="AB106" s="56"/>
      <c r="AC106" s="56"/>
      <c r="AD106" s="56"/>
      <c r="AE106" s="56"/>
      <c r="AF106" s="53">
        <v>0</v>
      </c>
    </row>
    <row r="107" s="53" customFormat="1" ht="18.75" customHeight="1">
      <c r="A107" s="729"/>
      <c r="C107" s="57"/>
      <c r="D107" s="125"/>
      <c r="E107" s="707" t="str">
        <f>FHD_NUM_P_67</f>
        <v>10.1.1</v>
      </c>
      <c r="F107" s="743"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578</v>
      </c>
      <c r="H107" s="747"/>
      <c r="I107" s="747"/>
      <c r="J107" s="485" t="str">
        <f>FHD_NOTE_P_67</f>
        <v/>
      </c>
      <c r="K107" s="709"/>
      <c r="L107" s="57"/>
      <c r="M107" s="57"/>
      <c r="R107" s="57"/>
      <c r="U107" s="706"/>
      <c r="AA107" s="56"/>
      <c r="AB107" s="56"/>
      <c r="AC107" s="56"/>
      <c r="AD107" s="56"/>
      <c r="AE107" s="56"/>
      <c r="AF107" s="53">
        <v>0</v>
      </c>
    </row>
    <row r="108" s="53" customFormat="1" ht="18.75" customHeight="1">
      <c r="A108" s="729"/>
      <c r="C108" s="57"/>
      <c r="D108" s="125"/>
      <c r="E108" s="707" t="str">
        <f>FHD_NUM_P_68</f>
        <v>10.2</v>
      </c>
      <c r="F108" s="673" t="str">
        <f>FHD_P_68</f>
        <v xml:space="preserve">Расчётным путём</v>
      </c>
      <c r="G108" s="72" t="s">
        <v>578</v>
      </c>
      <c r="H108" s="747"/>
      <c r="I108" s="747"/>
      <c r="J108" s="485" t="str">
        <f>FHD_NOTE_P_68</f>
        <v/>
      </c>
      <c r="K108" s="709"/>
      <c r="L108" s="57"/>
      <c r="M108" s="57"/>
      <c r="R108" s="57"/>
      <c r="U108" s="706"/>
      <c r="AA108" s="56"/>
      <c r="AB108" s="56"/>
      <c r="AC108" s="56"/>
      <c r="AD108" s="56"/>
      <c r="AE108" s="56"/>
      <c r="AF108" s="53">
        <v>0</v>
      </c>
    </row>
    <row r="109" s="53" customFormat="1" ht="18.75" customHeight="1">
      <c r="A109" s="729"/>
      <c r="C109" s="57"/>
      <c r="D109" s="125"/>
      <c r="E109" s="707" t="str">
        <f>FHD_NUM_P_69</f>
        <v>10.3</v>
      </c>
      <c r="F109" s="673" t="str">
        <f>FHD_P_69</f>
        <v xml:space="preserve">По нормативам потребления коммунальных услуг и нормативам потребления коммунальных ресурсов</v>
      </c>
      <c r="G109" s="72" t="s">
        <v>578</v>
      </c>
      <c r="H109" s="747"/>
      <c r="I109" s="747"/>
      <c r="J109" s="485" t="str">
        <f>FHD_NOTE_P_69</f>
        <v/>
      </c>
      <c r="K109" s="709"/>
      <c r="L109" s="57"/>
      <c r="M109" s="57"/>
      <c r="R109" s="57"/>
      <c r="U109" s="706"/>
      <c r="AA109" s="56"/>
      <c r="AB109" s="56"/>
      <c r="AC109" s="56"/>
      <c r="AD109" s="56"/>
      <c r="AE109" s="56"/>
      <c r="AF109" s="53">
        <v>0</v>
      </c>
    </row>
    <row r="110" s="53" customFormat="1" ht="22.5" customHeight="1">
      <c r="A110" s="729"/>
      <c r="C110" s="57"/>
      <c r="D110" s="125"/>
      <c r="E110" s="707" t="str">
        <f>FHD_NUM_P_70</f>
        <v>11</v>
      </c>
      <c r="F110" s="313"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584</v>
      </c>
      <c r="H110" s="727"/>
      <c r="I110" s="727"/>
      <c r="J110" s="485" t="str">
        <f>FHD_NOTE_P_70</f>
        <v/>
      </c>
      <c r="K110" s="709"/>
      <c r="L110" s="57"/>
      <c r="M110" s="57"/>
      <c r="R110" s="57"/>
      <c r="U110" s="706"/>
      <c r="AA110" s="56"/>
      <c r="AB110" s="56"/>
      <c r="AC110" s="56"/>
      <c r="AD110" s="56"/>
      <c r="AE110" s="56"/>
      <c r="AF110" s="53">
        <v>0</v>
      </c>
    </row>
    <row r="111" s="53" customFormat="1" ht="22.5" customHeight="1">
      <c r="A111" s="729"/>
      <c r="C111" s="57"/>
      <c r="D111" s="125"/>
      <c r="E111" s="707" t="str">
        <f>FHD_NUM_P_71</f>
        <v>12</v>
      </c>
      <c r="F111" s="313" t="str">
        <f>FHD_P_71</f>
        <v xml:space="preserve">Фактический объем потерь при передаче тепловой энергии</v>
      </c>
      <c r="G111" s="72" t="s">
        <v>584</v>
      </c>
      <c r="H111" s="727"/>
      <c r="I111" s="727"/>
      <c r="J111" s="485" t="str">
        <f>FHD_NOTE_P_71</f>
        <v/>
      </c>
      <c r="K111" s="709"/>
      <c r="L111" s="57"/>
      <c r="M111" s="57"/>
      <c r="R111" s="57"/>
      <c r="U111" s="706"/>
      <c r="AA111" s="56"/>
      <c r="AB111" s="56"/>
      <c r="AC111" s="56"/>
      <c r="AD111" s="56"/>
      <c r="AE111" s="56"/>
      <c r="AF111" s="53">
        <v>0</v>
      </c>
    </row>
    <row r="112" ht="19.949999999999999" customHeight="1">
      <c r="D112" s="125"/>
      <c r="E112" s="707" t="str">
        <f>FHD_NUM_P_72</f>
        <v>13</v>
      </c>
      <c r="F112" s="313" t="str">
        <f>FHD_P_72</f>
        <v xml:space="preserve">Среднесписочная численность основного производственного персонала</v>
      </c>
      <c r="G112" s="72" t="s">
        <v>585</v>
      </c>
      <c r="H112" s="747"/>
      <c r="I112" s="747"/>
      <c r="J112" s="485" t="str">
        <f>FHD_NOTE_P_72</f>
        <v/>
      </c>
      <c r="K112" s="709"/>
      <c r="AF112" s="50">
        <v>19</v>
      </c>
    </row>
    <row r="113" ht="18.75" customHeight="1">
      <c r="A113" s="745" t="s">
        <v>586</v>
      </c>
      <c r="D113" s="125"/>
      <c r="E113" s="707" t="str">
        <f>FHD_NUM_P_73</f>
        <v>14</v>
      </c>
      <c r="F113" s="313" t="str">
        <f>FHD_P_73</f>
        <v xml:space="preserve">Среднесписочная численность административно-управленческого персонала</v>
      </c>
      <c r="G113" s="305" t="s">
        <v>585</v>
      </c>
      <c r="H113" s="770"/>
      <c r="I113" s="770"/>
      <c r="J113" s="485" t="str">
        <f>FHD_NOTE_P_73</f>
        <v/>
      </c>
      <c r="K113" s="709"/>
      <c r="AF113" s="50">
        <v>0</v>
      </c>
    </row>
    <row r="114" ht="33.75" hidden="1" customHeight="1">
      <c r="A114" s="745" t="s">
        <v>587</v>
      </c>
      <c r="D114" s="125"/>
      <c r="E114" s="707" t="str">
        <f>FHD_NUM_P_74</f>
        <v/>
      </c>
      <c r="F114" s="313" t="str">
        <f>FHD_P_74</f>
        <v/>
      </c>
      <c r="G114" s="72" t="s">
        <v>588</v>
      </c>
      <c r="H114" s="747"/>
      <c r="I114" s="747"/>
      <c r="J114" s="485" t="str">
        <f>FHD_NOTE_P_74</f>
        <v/>
      </c>
      <c r="K114" s="709"/>
      <c r="AF114" s="50">
        <v>0</v>
      </c>
    </row>
    <row r="115" s="50" customFormat="1" ht="18.75" hidden="1" customHeight="1">
      <c r="A115" s="729" t="s">
        <v>589</v>
      </c>
      <c r="B115" s="53"/>
      <c r="C115" s="57"/>
      <c r="D115" s="125"/>
      <c r="E115" s="707" t="str">
        <f>FHD_NUM_P_75</f>
        <v/>
      </c>
      <c r="F115" s="313" t="str">
        <f>FHD_P_75</f>
        <v/>
      </c>
      <c r="G115" s="72" t="s">
        <v>553</v>
      </c>
      <c r="H115" s="727"/>
      <c r="I115" s="727"/>
      <c r="J115" s="485" t="str">
        <f>FHD_NOTE_P_75</f>
        <v/>
      </c>
      <c r="K115" s="709"/>
      <c r="L115" s="57"/>
      <c r="M115" s="57"/>
      <c r="N115" s="53"/>
      <c r="O115" s="53"/>
      <c r="P115" s="53"/>
      <c r="Q115" s="53"/>
      <c r="R115" s="57"/>
      <c r="S115" s="53"/>
      <c r="T115" s="53"/>
      <c r="U115" s="706"/>
      <c r="V115" s="53"/>
      <c r="W115" s="53"/>
      <c r="X115" s="53"/>
      <c r="Y115" s="53"/>
      <c r="Z115" s="53"/>
      <c r="AA115" s="56"/>
      <c r="AB115" s="56"/>
      <c r="AC115" s="56"/>
      <c r="AD115" s="56"/>
      <c r="AE115" s="56"/>
      <c r="AF115" s="50">
        <v>0</v>
      </c>
    </row>
    <row r="116" s="50" customFormat="1" ht="18.75" hidden="1" customHeight="1">
      <c r="A116" s="729"/>
      <c r="B116" s="53"/>
      <c r="C116" s="57"/>
      <c r="D116" s="125"/>
      <c r="E116" s="707" t="str">
        <f>FHD_NUM_P_76</f>
        <v/>
      </c>
      <c r="F116" s="313" t="str">
        <f>FHD_P_76</f>
        <v/>
      </c>
      <c r="G116" s="72" t="s">
        <v>553</v>
      </c>
      <c r="H116" s="727"/>
      <c r="I116" s="727"/>
      <c r="J116" s="485" t="str">
        <f>FHD_NOTE_P_76</f>
        <v/>
      </c>
      <c r="K116" s="709"/>
      <c r="L116" s="57"/>
      <c r="M116" s="57"/>
      <c r="N116" s="53"/>
      <c r="O116" s="53"/>
      <c r="P116" s="53"/>
      <c r="Q116" s="53"/>
      <c r="R116" s="57"/>
      <c r="S116" s="53"/>
      <c r="T116" s="53"/>
      <c r="U116" s="706"/>
      <c r="V116" s="53"/>
      <c r="W116" s="53"/>
      <c r="X116" s="53"/>
      <c r="Y116" s="53"/>
      <c r="Z116" s="53"/>
      <c r="AA116" s="56"/>
      <c r="AB116" s="56"/>
      <c r="AC116" s="56"/>
      <c r="AD116" s="56"/>
      <c r="AE116" s="56"/>
      <c r="AF116" s="50">
        <v>0</v>
      </c>
    </row>
    <row r="117" s="50" customFormat="1" ht="18.75" hidden="1" customHeight="1">
      <c r="A117" s="729"/>
      <c r="B117" s="53"/>
      <c r="C117" s="57"/>
      <c r="D117" s="125"/>
      <c r="E117" s="707" t="str">
        <f>FHD_NUM_P_77</f>
        <v/>
      </c>
      <c r="F117" s="313" t="str">
        <f>FHD_P_77</f>
        <v/>
      </c>
      <c r="G117" s="72" t="s">
        <v>553</v>
      </c>
      <c r="H117" s="727"/>
      <c r="I117" s="727"/>
      <c r="J117" s="485" t="str">
        <f>FHD_NOTE_P_77</f>
        <v/>
      </c>
      <c r="K117" s="709"/>
      <c r="L117" s="57"/>
      <c r="M117" s="57"/>
      <c r="N117" s="53"/>
      <c r="O117" s="53"/>
      <c r="P117" s="53"/>
      <c r="Q117" s="53"/>
      <c r="R117" s="57"/>
      <c r="S117" s="53"/>
      <c r="T117" s="53"/>
      <c r="U117" s="706"/>
      <c r="V117" s="53"/>
      <c r="W117" s="53"/>
      <c r="X117" s="53"/>
      <c r="Y117" s="53"/>
      <c r="Z117" s="53"/>
      <c r="AA117" s="56"/>
      <c r="AB117" s="56"/>
      <c r="AC117" s="56"/>
      <c r="AD117" s="56"/>
      <c r="AE117" s="56"/>
      <c r="AF117" s="50">
        <v>0</v>
      </c>
    </row>
    <row r="118" s="57" customFormat="1" ht="0.75" hidden="1" customHeight="1">
      <c r="A118" s="729"/>
      <c r="D118" s="531"/>
      <c r="E118" s="158" t="str">
        <f>E117&amp;".0"</f>
        <v>.0</v>
      </c>
      <c r="F118" s="771"/>
      <c r="G118" s="585"/>
      <c r="H118" s="752"/>
      <c r="I118" s="752"/>
      <c r="J118" s="766"/>
      <c r="AF118" s="57">
        <v>0</v>
      </c>
    </row>
    <row r="119" s="50" customFormat="1" ht="15" hidden="1" customHeight="1">
      <c r="A119" s="729"/>
      <c r="B119" s="53"/>
      <c r="C119" s="57"/>
      <c r="D119" s="128"/>
      <c r="E119" s="767"/>
      <c r="F119" s="768" t="s">
        <v>590</v>
      </c>
      <c r="G119" s="741"/>
      <c r="H119" s="742"/>
      <c r="I119" s="742"/>
      <c r="J119" s="769" t="s">
        <v>591</v>
      </c>
      <c r="K119" s="709"/>
      <c r="L119" s="57"/>
      <c r="M119" s="57"/>
      <c r="N119" s="53"/>
      <c r="O119" s="53"/>
      <c r="P119" s="53"/>
      <c r="Q119" s="53"/>
      <c r="R119" s="57"/>
      <c r="S119" s="53"/>
      <c r="T119" s="53"/>
      <c r="U119" s="706"/>
      <c r="V119" s="53"/>
      <c r="W119" s="53"/>
      <c r="X119" s="53"/>
      <c r="Y119" s="53"/>
      <c r="Z119" s="53"/>
      <c r="AA119" s="56"/>
      <c r="AB119" s="56"/>
      <c r="AC119" s="56"/>
      <c r="AD119" s="56"/>
      <c r="AE119" s="56"/>
      <c r="AF119" s="50">
        <v>0</v>
      </c>
    </row>
    <row r="120" ht="22.5" customHeight="1">
      <c r="A120" s="729" t="s">
        <v>592</v>
      </c>
      <c r="D120" s="125"/>
      <c r="E120" s="707" t="str">
        <f>FHD_NUM_P_78</f>
        <v>15</v>
      </c>
      <c r="F120" s="313"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555</v>
      </c>
      <c r="H120" s="747"/>
      <c r="I120" s="747"/>
      <c r="J120" s="485" t="str">
        <f>FHD_NOTE_P_78</f>
        <v/>
      </c>
      <c r="K120" s="709"/>
      <c r="AF120" s="50">
        <v>0</v>
      </c>
    </row>
    <row r="121" s="57" customFormat="1" ht="0.75" customHeight="1">
      <c r="A121" s="729"/>
      <c r="D121" s="531"/>
      <c r="E121" s="158" t="str">
        <f>E120&amp;".0"</f>
        <v>15.0</v>
      </c>
      <c r="F121" s="771"/>
      <c r="G121" s="585"/>
      <c r="H121" s="752"/>
      <c r="I121" s="752"/>
      <c r="J121" s="766"/>
      <c r="AF121" s="57">
        <v>0</v>
      </c>
    </row>
    <row r="122" ht="15" customHeight="1">
      <c r="A122" s="729"/>
      <c r="D122" s="128"/>
      <c r="E122" s="740"/>
      <c r="F122" s="172" t="s">
        <v>581</v>
      </c>
      <c r="G122" s="741"/>
      <c r="H122" s="742"/>
      <c r="I122" s="742"/>
      <c r="J122" s="769" t="s">
        <v>593</v>
      </c>
      <c r="K122" s="709"/>
      <c r="AF122" s="50">
        <v>0</v>
      </c>
    </row>
    <row r="123" ht="22.5" customHeight="1">
      <c r="A123" s="729"/>
      <c r="D123" s="125"/>
      <c r="E123" s="707" t="str">
        <f>FHD_NUM_P_79</f>
        <v>16</v>
      </c>
      <c r="F123" s="313"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 t="s">
        <v>557</v>
      </c>
      <c r="H123" s="747"/>
      <c r="I123" s="747"/>
      <c r="J123" s="485"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09"/>
      <c r="AF123" s="50">
        <v>0</v>
      </c>
    </row>
    <row r="124" s="57" customFormat="1" ht="0.75" customHeight="1">
      <c r="A124" s="729"/>
      <c r="D124" s="531"/>
      <c r="E124" s="158" t="str">
        <f>E123&amp;".0"</f>
        <v>16.0</v>
      </c>
      <c r="F124" s="772"/>
      <c r="G124" s="585"/>
      <c r="H124" s="752"/>
      <c r="I124" s="752"/>
      <c r="J124" s="766"/>
      <c r="AF124" s="57">
        <v>0</v>
      </c>
    </row>
    <row r="125" ht="15" customHeight="1">
      <c r="A125" s="729"/>
      <c r="D125" s="128"/>
      <c r="E125" s="740"/>
      <c r="F125" s="172" t="s">
        <v>581</v>
      </c>
      <c r="G125" s="741"/>
      <c r="H125" s="742"/>
      <c r="I125" s="742"/>
      <c r="J125" s="769" t="s">
        <v>594</v>
      </c>
      <c r="K125" s="709"/>
      <c r="AF125" s="50">
        <v>0</v>
      </c>
    </row>
    <row r="126" ht="22.5" customHeight="1">
      <c r="A126" s="729"/>
      <c r="D126" s="125"/>
      <c r="E126" s="707" t="str">
        <f>FHD_NUM_P_80</f>
        <v>17</v>
      </c>
      <c r="F126" s="313"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 t="s">
        <v>595</v>
      </c>
      <c r="H126" s="727"/>
      <c r="I126" s="727"/>
      <c r="J126" s="485"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09"/>
      <c r="AF126" s="50">
        <v>0</v>
      </c>
    </row>
    <row r="127" ht="18.75" customHeight="1">
      <c r="A127" s="729"/>
      <c r="D127" s="125"/>
      <c r="E127" s="707" t="str">
        <f>FHD_NUM_P_81</f>
        <v>18</v>
      </c>
      <c r="F127" s="313"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 t="s">
        <v>596</v>
      </c>
      <c r="H127" s="727"/>
      <c r="I127" s="727"/>
      <c r="J127" s="485"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09"/>
      <c r="AF127" s="50">
        <v>0</v>
      </c>
    </row>
    <row r="128" ht="18.75" customHeight="1">
      <c r="A128" s="729"/>
      <c r="C128" s="57" t="s">
        <v>583</v>
      </c>
      <c r="D128" s="125"/>
      <c r="E128" s="707" t="str">
        <f>FHD_NUM_P_82</f>
        <v>19</v>
      </c>
      <c r="F128" s="313"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 t="s">
        <v>301</v>
      </c>
      <c r="H128" s="758"/>
      <c r="I128" s="758"/>
      <c r="J128" s="485" t="str">
        <f>FHD_NOTE_P_82</f>
        <v xml:space="preserve">Указывается ссылка на документ, предварительно загруженный в хранилище файлов ФГИС ЕИАС.</v>
      </c>
      <c r="K128" s="709"/>
      <c r="AF128" s="50">
        <v>0</v>
      </c>
    </row>
    <row r="129" ht="18.75" customHeight="1">
      <c r="A129" s="729"/>
      <c r="C129" s="57" t="s">
        <v>583</v>
      </c>
      <c r="D129" s="125"/>
      <c r="E129" s="707" t="str">
        <f>FHD_NUM_P_83</f>
        <v>19.1</v>
      </c>
      <c r="F129" s="673" t="str">
        <f>FHD_P_83</f>
        <v xml:space="preserve">Информация о показателях физического износа объектов теплоснабжения</v>
      </c>
      <c r="G129" s="157" t="s">
        <v>301</v>
      </c>
      <c r="H129" s="758"/>
      <c r="I129" s="758"/>
      <c r="J129" s="485" t="str">
        <f>FHD_NOTE_P_83</f>
        <v xml:space="preserve">Указывается ссылка на документ, предварительно загруженный в хранилище файлов ФГИС ЕИАС.</v>
      </c>
      <c r="K129" s="709"/>
      <c r="AF129" s="50">
        <v>0</v>
      </c>
    </row>
    <row r="130" ht="18.75" customHeight="1">
      <c r="A130" s="729"/>
      <c r="C130" s="57" t="s">
        <v>583</v>
      </c>
      <c r="D130" s="125"/>
      <c r="E130" s="707" t="str">
        <f>FHD_NUM_P_84</f>
        <v>19.2</v>
      </c>
      <c r="F130" s="673" t="str">
        <f>FHD_P_84</f>
        <v xml:space="preserve">Информация о показателях энергетической эффективности объектов теплоснабжения</v>
      </c>
      <c r="G130" s="157" t="s">
        <v>301</v>
      </c>
      <c r="H130" s="758"/>
      <c r="I130" s="758"/>
      <c r="J130" s="485" t="str">
        <f>FHD_NOTE_P_84</f>
        <v xml:space="preserve">Указывается ссылка на документ, предварительно загруженный в хранилище файлов ФГИС ЕИАС.</v>
      </c>
      <c r="K130" s="709"/>
      <c r="AF130" s="50">
        <v>0</v>
      </c>
    </row>
    <row r="131" ht="11.5" customHeight="1">
      <c r="D131" s="125"/>
      <c r="AF131" s="50">
        <v>11</v>
      </c>
    </row>
    <row r="132" ht="13.5" customHeight="1">
      <c r="D132" s="125"/>
      <c r="E132" s="476"/>
      <c r="F132" s="395"/>
      <c r="G132" s="395"/>
      <c r="H132" s="395"/>
      <c r="I132" s="574"/>
      <c r="J132" s="86"/>
      <c r="AF132" s="50">
        <v>13</v>
      </c>
    </row>
    <row r="133" s="131" customFormat="1" ht="11.5" customHeight="1">
      <c r="A133" s="705"/>
      <c r="B133" s="57"/>
      <c r="C133" s="57"/>
      <c r="D133" s="131"/>
      <c r="F133" s="152"/>
      <c r="G133" s="50"/>
      <c r="H133" s="50"/>
      <c r="I133" s="50"/>
      <c r="K133" s="53"/>
      <c r="L133" s="57"/>
      <c r="M133" s="57"/>
      <c r="N133" s="53"/>
      <c r="O133" s="53"/>
      <c r="P133" s="53"/>
      <c r="Q133" s="53"/>
      <c r="R133" s="57"/>
      <c r="S133" s="53"/>
      <c r="T133" s="53"/>
      <c r="U133" s="706"/>
      <c r="V133" s="53"/>
      <c r="W133" s="53"/>
      <c r="X133" s="53"/>
      <c r="Y133" s="53"/>
      <c r="Z133" s="53"/>
      <c r="AA133" s="56"/>
      <c r="AB133" s="54"/>
      <c r="AC133" s="54"/>
      <c r="AD133" s="54"/>
      <c r="AE133" s="54"/>
      <c r="AF133" s="131">
        <v>11</v>
      </c>
    </row>
    <row r="134" s="131" customFormat="1" ht="11.5" customHeight="1">
      <c r="A134" s="705"/>
      <c r="B134" s="57"/>
      <c r="C134" s="57"/>
      <c r="D134" s="131"/>
      <c r="K134" s="53"/>
      <c r="L134" s="57"/>
      <c r="M134" s="57"/>
      <c r="N134" s="53"/>
      <c r="O134" s="53"/>
      <c r="P134" s="53"/>
      <c r="Q134" s="53"/>
      <c r="R134" s="57"/>
      <c r="S134" s="53"/>
      <c r="T134" s="53"/>
      <c r="U134" s="706"/>
      <c r="V134" s="53"/>
      <c r="W134" s="53"/>
      <c r="X134" s="53"/>
      <c r="Y134" s="53"/>
      <c r="Z134" s="53"/>
      <c r="AA134" s="56"/>
      <c r="AB134" s="54"/>
      <c r="AC134" s="54"/>
      <c r="AD134" s="54"/>
      <c r="AE134" s="54"/>
      <c r="AF134" s="131">
        <v>11</v>
      </c>
    </row>
    <row r="135" s="131" customFormat="1" ht="11.5" customHeight="1">
      <c r="A135" s="705"/>
      <c r="B135" s="57"/>
      <c r="C135" s="57"/>
      <c r="D135" s="131"/>
      <c r="K135" s="53"/>
      <c r="L135" s="57"/>
      <c r="M135" s="57"/>
      <c r="N135" s="53"/>
      <c r="O135" s="53"/>
      <c r="P135" s="53"/>
      <c r="Q135" s="53"/>
      <c r="R135" s="57"/>
      <c r="S135" s="53"/>
      <c r="T135" s="53"/>
      <c r="U135" s="706"/>
      <c r="V135" s="53"/>
      <c r="W135" s="53"/>
      <c r="X135" s="53"/>
      <c r="Y135" s="53"/>
      <c r="Z135" s="53"/>
      <c r="AA135" s="56"/>
      <c r="AB135" s="54"/>
      <c r="AC135" s="54"/>
      <c r="AD135" s="54"/>
      <c r="AE135" s="54"/>
      <c r="AF135" s="131">
        <v>11</v>
      </c>
    </row>
    <row r="136" s="131" customFormat="1" ht="11.5" customHeight="1">
      <c r="A136" s="705"/>
      <c r="B136" s="57"/>
      <c r="C136" s="57"/>
      <c r="D136" s="131"/>
      <c r="H136" s="54" t="str">
        <f>IF(H30-H31&lt;&gt;H72,"WARNING","")</f>
        <v/>
      </c>
      <c r="I136" s="54" t="str">
        <f>IF(I30-I31&lt;&gt;I72,"WARNING","")</f>
        <v/>
      </c>
      <c r="K136" s="53"/>
      <c r="L136" s="57"/>
      <c r="M136" s="57"/>
      <c r="N136" s="53"/>
      <c r="O136" s="53"/>
      <c r="P136" s="53"/>
      <c r="Q136" s="53"/>
      <c r="R136" s="57"/>
      <c r="S136" s="53"/>
      <c r="T136" s="53"/>
      <c r="U136" s="706"/>
      <c r="V136" s="53"/>
      <c r="W136" s="53"/>
      <c r="X136" s="53"/>
      <c r="Y136" s="53"/>
      <c r="Z136" s="53"/>
      <c r="AA136" s="56"/>
      <c r="AB136" s="54"/>
      <c r="AC136" s="54"/>
      <c r="AD136" s="54"/>
      <c r="AE136" s="54"/>
      <c r="AF136" s="131">
        <v>11</v>
      </c>
    </row>
    <row r="137" s="131" customFormat="1" ht="11.5" customHeight="1">
      <c r="A137" s="705"/>
      <c r="B137" s="57"/>
      <c r="C137" s="57"/>
      <c r="D137" s="131"/>
      <c r="K137" s="53"/>
      <c r="L137" s="57"/>
      <c r="M137" s="57"/>
      <c r="N137" s="53"/>
      <c r="O137" s="53"/>
      <c r="P137" s="53"/>
      <c r="Q137" s="53"/>
      <c r="R137" s="57"/>
      <c r="S137" s="53"/>
      <c r="T137" s="53"/>
      <c r="U137" s="706"/>
      <c r="V137" s="53"/>
      <c r="W137" s="53"/>
      <c r="X137" s="53"/>
      <c r="Y137" s="53"/>
      <c r="Z137" s="53"/>
      <c r="AA137" s="56"/>
      <c r="AB137" s="54"/>
      <c r="AC137" s="54"/>
      <c r="AD137" s="54"/>
      <c r="AE137" s="54"/>
      <c r="AF137" s="131">
        <v>11</v>
      </c>
    </row>
    <row r="138" s="131" customFormat="1" ht="11.5" customHeight="1">
      <c r="A138" s="705"/>
      <c r="B138" s="57"/>
      <c r="C138" s="57"/>
      <c r="D138" s="131"/>
      <c r="K138" s="53"/>
      <c r="L138" s="57"/>
      <c r="M138" s="57"/>
      <c r="N138" s="53"/>
      <c r="O138" s="53"/>
      <c r="P138" s="53"/>
      <c r="Q138" s="53"/>
      <c r="R138" s="57"/>
      <c r="S138" s="53"/>
      <c r="T138" s="53"/>
      <c r="U138" s="706"/>
      <c r="V138" s="53"/>
      <c r="W138" s="53"/>
      <c r="X138" s="53"/>
      <c r="Y138" s="53"/>
      <c r="Z138" s="53"/>
      <c r="AA138" s="56"/>
      <c r="AB138" s="54"/>
      <c r="AC138" s="54"/>
      <c r="AD138" s="54"/>
      <c r="AE138" s="54"/>
      <c r="AF138" s="131">
        <v>11</v>
      </c>
    </row>
    <row r="139" s="131" customFormat="1" ht="11.5" customHeight="1">
      <c r="A139" s="705"/>
      <c r="B139" s="57"/>
      <c r="C139" s="57"/>
      <c r="D139" s="131"/>
      <c r="K139" s="53"/>
      <c r="L139" s="57"/>
      <c r="M139" s="57"/>
      <c r="N139" s="53"/>
      <c r="O139" s="53"/>
      <c r="P139" s="53"/>
      <c r="Q139" s="53"/>
      <c r="R139" s="57"/>
      <c r="S139" s="53"/>
      <c r="T139" s="53"/>
      <c r="U139" s="706"/>
      <c r="V139" s="53"/>
      <c r="W139" s="53"/>
      <c r="X139" s="53"/>
      <c r="Y139" s="53"/>
      <c r="Z139" s="53"/>
      <c r="AA139" s="56"/>
      <c r="AB139" s="54"/>
      <c r="AC139" s="54"/>
      <c r="AD139" s="54"/>
      <c r="AE139" s="54"/>
      <c r="AF139" s="131">
        <v>11</v>
      </c>
    </row>
    <row r="140" s="131" customFormat="1" ht="11.5" customHeight="1">
      <c r="A140" s="705"/>
      <c r="B140" s="57"/>
      <c r="C140" s="57"/>
      <c r="D140" s="131"/>
      <c r="K140" s="53"/>
      <c r="L140" s="57"/>
      <c r="M140" s="57"/>
      <c r="N140" s="53"/>
      <c r="O140" s="53"/>
      <c r="P140" s="53"/>
      <c r="Q140" s="53"/>
      <c r="R140" s="57"/>
      <c r="S140" s="53"/>
      <c r="T140" s="53"/>
      <c r="U140" s="706"/>
      <c r="V140" s="53"/>
      <c r="W140" s="53"/>
      <c r="X140" s="53"/>
      <c r="Y140" s="53"/>
      <c r="Z140" s="53"/>
      <c r="AA140" s="56"/>
      <c r="AB140" s="54"/>
      <c r="AC140" s="54"/>
      <c r="AD140" s="54"/>
      <c r="AE140" s="54"/>
      <c r="AF140" s="131">
        <v>11</v>
      </c>
    </row>
    <row r="141" s="131" customFormat="1" ht="11.5" customHeight="1">
      <c r="A141" s="705"/>
      <c r="B141" s="57"/>
      <c r="C141" s="57"/>
      <c r="D141" s="131"/>
      <c r="K141" s="53"/>
      <c r="L141" s="57"/>
      <c r="M141" s="57"/>
      <c r="N141" s="53"/>
      <c r="O141" s="53"/>
      <c r="P141" s="53"/>
      <c r="Q141" s="53"/>
      <c r="R141" s="57"/>
      <c r="S141" s="53"/>
      <c r="T141" s="53"/>
      <c r="U141" s="706"/>
      <c r="V141" s="53"/>
      <c r="W141" s="53"/>
      <c r="X141" s="53"/>
      <c r="Y141" s="53"/>
      <c r="Z141" s="53"/>
      <c r="AA141" s="56"/>
      <c r="AB141" s="54"/>
      <c r="AC141" s="54"/>
      <c r="AD141" s="54"/>
      <c r="AE141" s="54"/>
      <c r="AF141" s="131">
        <v>11</v>
      </c>
    </row>
    <row r="142" s="131" customFormat="1" ht="11.5" customHeight="1">
      <c r="A142" s="705"/>
      <c r="B142" s="57"/>
      <c r="C142" s="57"/>
      <c r="D142" s="131"/>
      <c r="K142" s="53"/>
      <c r="L142" s="57"/>
      <c r="M142" s="57"/>
      <c r="N142" s="53"/>
      <c r="O142" s="53"/>
      <c r="P142" s="53"/>
      <c r="Q142" s="53"/>
      <c r="R142" s="57"/>
      <c r="S142" s="53"/>
      <c r="T142" s="53"/>
      <c r="U142" s="706"/>
      <c r="V142" s="53"/>
      <c r="W142" s="53"/>
      <c r="X142" s="53"/>
      <c r="Y142" s="53"/>
      <c r="Z142" s="53"/>
      <c r="AA142" s="56"/>
      <c r="AB142" s="54"/>
      <c r="AC142" s="54"/>
      <c r="AD142" s="54"/>
      <c r="AE142" s="54"/>
      <c r="AF142" s="131">
        <v>11</v>
      </c>
    </row>
    <row r="143" s="131" customFormat="1" ht="11.5" customHeight="1">
      <c r="A143" s="705"/>
      <c r="B143" s="57"/>
      <c r="C143" s="57"/>
      <c r="D143" s="131"/>
      <c r="K143" s="53"/>
      <c r="L143" s="57"/>
      <c r="M143" s="57"/>
      <c r="N143" s="53"/>
      <c r="O143" s="53"/>
      <c r="P143" s="53"/>
      <c r="Q143" s="53"/>
      <c r="R143" s="57"/>
      <c r="S143" s="53"/>
      <c r="T143" s="53"/>
      <c r="U143" s="706"/>
      <c r="V143" s="53"/>
      <c r="W143" s="53"/>
      <c r="X143" s="53"/>
      <c r="Y143" s="53"/>
      <c r="Z143" s="53"/>
      <c r="AA143" s="56"/>
      <c r="AB143" s="54"/>
      <c r="AC143" s="54"/>
      <c r="AD143" s="54"/>
      <c r="AE143" s="54"/>
      <c r="AF143" s="131">
        <v>11</v>
      </c>
    </row>
    <row r="144" s="131" customFormat="1" ht="11.5" customHeight="1">
      <c r="A144" s="705"/>
      <c r="B144" s="57"/>
      <c r="C144" s="57"/>
      <c r="D144" s="131"/>
      <c r="K144" s="53"/>
      <c r="L144" s="57"/>
      <c r="M144" s="57"/>
      <c r="N144" s="53"/>
      <c r="O144" s="53"/>
      <c r="P144" s="53"/>
      <c r="Q144" s="53"/>
      <c r="R144" s="57"/>
      <c r="S144" s="53"/>
      <c r="T144" s="53"/>
      <c r="U144" s="706"/>
      <c r="V144" s="53"/>
      <c r="W144" s="53"/>
      <c r="X144" s="53"/>
      <c r="Y144" s="53"/>
      <c r="Z144" s="53"/>
      <c r="AA144" s="56"/>
      <c r="AB144" s="54"/>
      <c r="AC144" s="54"/>
      <c r="AD144" s="54"/>
      <c r="AE144" s="54"/>
      <c r="AF144" s="131">
        <v>11</v>
      </c>
    </row>
    <row r="145" s="131" customFormat="1" ht="11.5" customHeight="1">
      <c r="A145" s="705"/>
      <c r="B145" s="57"/>
      <c r="C145" s="57"/>
      <c r="D145" s="131"/>
      <c r="K145" s="53"/>
      <c r="L145" s="57"/>
      <c r="M145" s="57"/>
      <c r="N145" s="53"/>
      <c r="O145" s="53"/>
      <c r="P145" s="53"/>
      <c r="Q145" s="53"/>
      <c r="R145" s="57"/>
      <c r="S145" s="53"/>
      <c r="T145" s="53"/>
      <c r="U145" s="706"/>
      <c r="V145" s="53"/>
      <c r="W145" s="53"/>
      <c r="X145" s="53"/>
      <c r="Y145" s="53"/>
      <c r="Z145" s="53"/>
      <c r="AA145" s="56"/>
      <c r="AB145" s="54"/>
      <c r="AC145" s="54"/>
      <c r="AD145" s="54"/>
      <c r="AE145" s="54"/>
      <c r="AF145" s="131">
        <v>11</v>
      </c>
    </row>
    <row r="146" s="131" customFormat="1" ht="11.5" customHeight="1">
      <c r="A146" s="705"/>
      <c r="B146" s="57"/>
      <c r="C146" s="57"/>
      <c r="D146" s="131"/>
      <c r="K146" s="53"/>
      <c r="L146" s="57"/>
      <c r="M146" s="57"/>
      <c r="N146" s="53"/>
      <c r="O146" s="53"/>
      <c r="P146" s="53"/>
      <c r="Q146" s="53"/>
      <c r="R146" s="57"/>
      <c r="S146" s="53"/>
      <c r="T146" s="53"/>
      <c r="U146" s="706"/>
      <c r="V146" s="53"/>
      <c r="W146" s="53"/>
      <c r="X146" s="53"/>
      <c r="Y146" s="53"/>
      <c r="Z146" s="53"/>
      <c r="AA146" s="56"/>
      <c r="AB146" s="54"/>
      <c r="AC146" s="54"/>
      <c r="AD146" s="54"/>
      <c r="AE146" s="54"/>
      <c r="AF146" s="131">
        <v>11</v>
      </c>
    </row>
    <row r="147" s="131" customFormat="1" ht="11.5" customHeight="1">
      <c r="A147" s="705"/>
      <c r="B147" s="57"/>
      <c r="C147" s="57"/>
      <c r="D147" s="131"/>
      <c r="K147" s="53"/>
      <c r="L147" s="57"/>
      <c r="M147" s="57"/>
      <c r="N147" s="53"/>
      <c r="O147" s="53"/>
      <c r="P147" s="53"/>
      <c r="Q147" s="53"/>
      <c r="R147" s="57"/>
      <c r="S147" s="53"/>
      <c r="T147" s="53"/>
      <c r="U147" s="706"/>
      <c r="V147" s="53"/>
      <c r="W147" s="53"/>
      <c r="X147" s="53"/>
      <c r="Y147" s="53"/>
      <c r="Z147" s="53"/>
      <c r="AA147" s="56"/>
      <c r="AB147" s="54"/>
      <c r="AC147" s="54"/>
      <c r="AD147" s="54"/>
      <c r="AE147" s="54"/>
      <c r="AF147" s="131">
        <v>11</v>
      </c>
    </row>
    <row r="148" s="131" customFormat="1" ht="11.5" customHeight="1">
      <c r="A148" s="705"/>
      <c r="B148" s="57"/>
      <c r="C148" s="57"/>
      <c r="D148" s="131"/>
      <c r="K148" s="53"/>
      <c r="L148" s="57"/>
      <c r="M148" s="57"/>
      <c r="N148" s="53"/>
      <c r="O148" s="53"/>
      <c r="P148" s="53"/>
      <c r="Q148" s="53"/>
      <c r="R148" s="57"/>
      <c r="S148" s="53"/>
      <c r="T148" s="53"/>
      <c r="U148" s="706"/>
      <c r="V148" s="53"/>
      <c r="W148" s="53"/>
      <c r="X148" s="53"/>
      <c r="Y148" s="53"/>
      <c r="Z148" s="53"/>
      <c r="AA148" s="56"/>
      <c r="AB148" s="54"/>
      <c r="AC148" s="54"/>
      <c r="AD148" s="54"/>
      <c r="AE148" s="54"/>
      <c r="AF148" s="131">
        <v>11</v>
      </c>
    </row>
    <row r="149" s="131" customFormat="1" ht="11.5" customHeight="1">
      <c r="A149" s="705"/>
      <c r="B149" s="57"/>
      <c r="C149" s="57"/>
      <c r="D149" s="131"/>
      <c r="K149" s="53"/>
      <c r="L149" s="57"/>
      <c r="M149" s="57"/>
      <c r="N149" s="53"/>
      <c r="O149" s="53"/>
      <c r="P149" s="53"/>
      <c r="Q149" s="53"/>
      <c r="R149" s="57"/>
      <c r="S149" s="53"/>
      <c r="T149" s="53"/>
      <c r="U149" s="706"/>
      <c r="V149" s="53"/>
      <c r="W149" s="53"/>
      <c r="X149" s="53"/>
      <c r="Y149" s="53"/>
      <c r="Z149" s="53"/>
      <c r="AA149" s="56"/>
      <c r="AB149" s="54"/>
      <c r="AC149" s="54"/>
      <c r="AD149" s="54"/>
      <c r="AE149" s="54"/>
      <c r="AF149" s="131">
        <v>11</v>
      </c>
    </row>
    <row r="150" s="131" customFormat="1" ht="11.5" customHeight="1">
      <c r="A150" s="705"/>
      <c r="B150" s="57"/>
      <c r="C150" s="57"/>
      <c r="D150" s="131"/>
      <c r="K150" s="53"/>
      <c r="L150" s="57"/>
      <c r="M150" s="57"/>
      <c r="N150" s="53"/>
      <c r="O150" s="53"/>
      <c r="P150" s="53"/>
      <c r="Q150" s="53"/>
      <c r="R150" s="57"/>
      <c r="S150" s="53"/>
      <c r="T150" s="53"/>
      <c r="U150" s="706"/>
      <c r="V150" s="53"/>
      <c r="W150" s="53"/>
      <c r="X150" s="53"/>
      <c r="Y150" s="53"/>
      <c r="Z150" s="53"/>
      <c r="AA150" s="56"/>
      <c r="AB150" s="54"/>
      <c r="AC150" s="54"/>
      <c r="AD150" s="54"/>
      <c r="AE150" s="54"/>
      <c r="AF150" s="131">
        <v>11</v>
      </c>
    </row>
    <row r="151" s="131" customFormat="1" ht="11.5" customHeight="1">
      <c r="A151" s="705"/>
      <c r="B151" s="57"/>
      <c r="C151" s="57"/>
      <c r="D151" s="131"/>
      <c r="K151" s="53"/>
      <c r="L151" s="57"/>
      <c r="M151" s="57"/>
      <c r="N151" s="53"/>
      <c r="O151" s="53"/>
      <c r="P151" s="53"/>
      <c r="Q151" s="53"/>
      <c r="R151" s="57"/>
      <c r="S151" s="53"/>
      <c r="T151" s="53"/>
      <c r="U151" s="706"/>
      <c r="V151" s="53"/>
      <c r="W151" s="53"/>
      <c r="X151" s="53"/>
      <c r="Y151" s="53"/>
      <c r="Z151" s="53"/>
      <c r="AA151" s="56"/>
      <c r="AB151" s="54"/>
      <c r="AC151" s="54"/>
      <c r="AD151" s="54"/>
      <c r="AE151" s="54"/>
      <c r="AF151" s="131">
        <v>11</v>
      </c>
    </row>
    <row r="152" s="131" customFormat="1" ht="11.5" customHeight="1">
      <c r="A152" s="705"/>
      <c r="B152" s="57"/>
      <c r="C152" s="57"/>
      <c r="D152" s="131"/>
      <c r="K152" s="53"/>
      <c r="L152" s="57"/>
      <c r="M152" s="57"/>
      <c r="N152" s="53"/>
      <c r="O152" s="53"/>
      <c r="P152" s="53"/>
      <c r="Q152" s="53"/>
      <c r="R152" s="57"/>
      <c r="S152" s="53"/>
      <c r="T152" s="53"/>
      <c r="U152" s="706"/>
      <c r="V152" s="53"/>
      <c r="W152" s="53"/>
      <c r="X152" s="53"/>
      <c r="Y152" s="53"/>
      <c r="Z152" s="53"/>
      <c r="AA152" s="56"/>
      <c r="AB152" s="54"/>
      <c r="AC152" s="54"/>
      <c r="AD152" s="54"/>
      <c r="AE152" s="54"/>
      <c r="AF152" s="131">
        <v>11</v>
      </c>
    </row>
    <row r="153" s="131" customFormat="1" ht="11.5" customHeight="1">
      <c r="A153" s="705"/>
      <c r="B153" s="57"/>
      <c r="C153" s="57"/>
      <c r="D153" s="131"/>
      <c r="K153" s="53"/>
      <c r="L153" s="57"/>
      <c r="M153" s="57"/>
      <c r="N153" s="53"/>
      <c r="O153" s="53"/>
      <c r="P153" s="53"/>
      <c r="Q153" s="53"/>
      <c r="R153" s="57"/>
      <c r="S153" s="53"/>
      <c r="T153" s="53"/>
      <c r="U153" s="706"/>
      <c r="V153" s="53"/>
      <c r="W153" s="53"/>
      <c r="X153" s="53"/>
      <c r="Y153" s="53"/>
      <c r="Z153" s="53"/>
      <c r="AA153" s="56"/>
      <c r="AB153" s="54"/>
      <c r="AC153" s="54"/>
      <c r="AD153" s="54"/>
      <c r="AE153" s="54"/>
      <c r="AF153" s="131">
        <v>11</v>
      </c>
    </row>
    <row r="154" s="131" customFormat="1" ht="11.5" customHeight="1">
      <c r="A154" s="705"/>
      <c r="B154" s="57"/>
      <c r="C154" s="57"/>
      <c r="D154" s="131"/>
      <c r="K154" s="53"/>
      <c r="L154" s="57"/>
      <c r="M154" s="57"/>
      <c r="N154" s="53"/>
      <c r="O154" s="53"/>
      <c r="P154" s="53"/>
      <c r="Q154" s="53"/>
      <c r="R154" s="57"/>
      <c r="S154" s="53"/>
      <c r="T154" s="53"/>
      <c r="U154" s="706"/>
      <c r="V154" s="53"/>
      <c r="W154" s="53"/>
      <c r="X154" s="53"/>
      <c r="Y154" s="53"/>
      <c r="Z154" s="53"/>
      <c r="AA154" s="56"/>
      <c r="AB154" s="54"/>
      <c r="AC154" s="54"/>
      <c r="AD154" s="54"/>
      <c r="AE154" s="54"/>
      <c r="AF154" s="131">
        <v>11</v>
      </c>
    </row>
    <row r="155" s="131" customFormat="1" ht="11.5" customHeight="1">
      <c r="A155" s="705"/>
      <c r="B155" s="57"/>
      <c r="C155" s="57"/>
      <c r="D155" s="131"/>
      <c r="K155" s="53"/>
      <c r="L155" s="57"/>
      <c r="M155" s="57"/>
      <c r="N155" s="53"/>
      <c r="O155" s="53"/>
      <c r="P155" s="53"/>
      <c r="Q155" s="53"/>
      <c r="R155" s="57"/>
      <c r="S155" s="53"/>
      <c r="T155" s="53"/>
      <c r="U155" s="706"/>
      <c r="V155" s="53"/>
      <c r="W155" s="53"/>
      <c r="X155" s="53"/>
      <c r="Y155" s="53"/>
      <c r="Z155" s="53"/>
      <c r="AA155" s="56"/>
      <c r="AB155" s="54"/>
      <c r="AC155" s="54"/>
      <c r="AD155" s="54"/>
      <c r="AE155" s="54"/>
      <c r="AF155" s="131">
        <v>11</v>
      </c>
    </row>
    <row r="156" s="131" customFormat="1" ht="11.5" customHeight="1">
      <c r="A156" s="705"/>
      <c r="B156" s="57"/>
      <c r="C156" s="57"/>
      <c r="D156" s="131"/>
      <c r="K156" s="53"/>
      <c r="L156" s="57"/>
      <c r="M156" s="57"/>
      <c r="N156" s="53"/>
      <c r="O156" s="53"/>
      <c r="P156" s="53"/>
      <c r="Q156" s="53"/>
      <c r="R156" s="57"/>
      <c r="S156" s="53"/>
      <c r="T156" s="53"/>
      <c r="U156" s="706"/>
      <c r="V156" s="53"/>
      <c r="W156" s="53"/>
      <c r="X156" s="53"/>
      <c r="Y156" s="53"/>
      <c r="Z156" s="53"/>
      <c r="AA156" s="56"/>
      <c r="AB156" s="54"/>
      <c r="AC156" s="54"/>
      <c r="AD156" s="54"/>
      <c r="AE156" s="54"/>
      <c r="AF156" s="131">
        <v>11</v>
      </c>
    </row>
    <row r="157" s="131" customFormat="1" ht="11.5" customHeight="1">
      <c r="A157" s="705"/>
      <c r="B157" s="57"/>
      <c r="C157" s="57"/>
      <c r="D157" s="131"/>
      <c r="K157" s="53"/>
      <c r="L157" s="57"/>
      <c r="M157" s="57"/>
      <c r="N157" s="53"/>
      <c r="O157" s="53"/>
      <c r="P157" s="53"/>
      <c r="Q157" s="53"/>
      <c r="R157" s="57"/>
      <c r="S157" s="53"/>
      <c r="T157" s="53"/>
      <c r="U157" s="706"/>
      <c r="V157" s="53"/>
      <c r="W157" s="53"/>
      <c r="X157" s="53"/>
      <c r="Y157" s="53"/>
      <c r="Z157" s="53"/>
      <c r="AA157" s="56"/>
      <c r="AB157" s="54"/>
      <c r="AC157" s="54"/>
      <c r="AD157" s="54"/>
      <c r="AE157" s="54"/>
      <c r="AF157" s="131">
        <v>11</v>
      </c>
    </row>
    <row r="158" s="131" customFormat="1" ht="11.5" customHeight="1">
      <c r="A158" s="705"/>
      <c r="B158" s="57"/>
      <c r="C158" s="57"/>
      <c r="D158" s="131"/>
      <c r="K158" s="53"/>
      <c r="L158" s="57"/>
      <c r="M158" s="57"/>
      <c r="N158" s="53"/>
      <c r="O158" s="53"/>
      <c r="P158" s="53"/>
      <c r="Q158" s="53"/>
      <c r="R158" s="57"/>
      <c r="S158" s="53"/>
      <c r="T158" s="53"/>
      <c r="U158" s="706"/>
      <c r="V158" s="53"/>
      <c r="W158" s="53"/>
      <c r="X158" s="53"/>
      <c r="Y158" s="53"/>
      <c r="Z158" s="53"/>
      <c r="AA158" s="56"/>
      <c r="AB158" s="54"/>
      <c r="AC158" s="54"/>
      <c r="AD158" s="54"/>
      <c r="AE158" s="54"/>
      <c r="AF158" s="131">
        <v>11</v>
      </c>
    </row>
    <row r="159" s="131" customFormat="1" ht="11.5" customHeight="1">
      <c r="A159" s="705"/>
      <c r="B159" s="57"/>
      <c r="C159" s="57"/>
      <c r="D159" s="131"/>
      <c r="K159" s="53"/>
      <c r="L159" s="57"/>
      <c r="M159" s="57"/>
      <c r="N159" s="53"/>
      <c r="O159" s="53"/>
      <c r="P159" s="53"/>
      <c r="Q159" s="53"/>
      <c r="R159" s="57"/>
      <c r="S159" s="53"/>
      <c r="T159" s="53"/>
      <c r="U159" s="706"/>
      <c r="V159" s="53"/>
      <c r="W159" s="53"/>
      <c r="X159" s="53"/>
      <c r="Y159" s="53"/>
      <c r="Z159" s="53"/>
      <c r="AA159" s="56"/>
      <c r="AB159" s="54"/>
      <c r="AC159" s="54"/>
      <c r="AD159" s="54"/>
      <c r="AE159" s="54"/>
      <c r="AF159" s="131">
        <v>11</v>
      </c>
    </row>
    <row r="160" s="131" customFormat="1" ht="11.5" customHeight="1">
      <c r="A160" s="705"/>
      <c r="B160" s="57"/>
      <c r="C160" s="57"/>
      <c r="D160" s="131"/>
      <c r="K160" s="53"/>
      <c r="L160" s="57"/>
      <c r="M160" s="57"/>
      <c r="N160" s="53"/>
      <c r="O160" s="53"/>
      <c r="P160" s="53"/>
      <c r="Q160" s="53"/>
      <c r="R160" s="57"/>
      <c r="S160" s="53"/>
      <c r="T160" s="53"/>
      <c r="U160" s="706"/>
      <c r="V160" s="53"/>
      <c r="W160" s="53"/>
      <c r="X160" s="53"/>
      <c r="Y160" s="53"/>
      <c r="Z160" s="53"/>
      <c r="AA160" s="56"/>
      <c r="AB160" s="54"/>
      <c r="AC160" s="54"/>
      <c r="AD160" s="54"/>
      <c r="AE160" s="54"/>
      <c r="AF160" s="131">
        <v>11</v>
      </c>
    </row>
    <row r="161" s="131" customFormat="1" ht="11.5" customHeight="1">
      <c r="A161" s="705"/>
      <c r="B161" s="57"/>
      <c r="C161" s="57"/>
      <c r="D161" s="131"/>
      <c r="K161" s="53"/>
      <c r="L161" s="57"/>
      <c r="M161" s="57"/>
      <c r="N161" s="53"/>
      <c r="O161" s="53"/>
      <c r="P161" s="53"/>
      <c r="Q161" s="53"/>
      <c r="R161" s="57"/>
      <c r="S161" s="53"/>
      <c r="T161" s="53"/>
      <c r="U161" s="706"/>
      <c r="V161" s="53"/>
      <c r="W161" s="53"/>
      <c r="X161" s="53"/>
      <c r="Y161" s="53"/>
      <c r="Z161" s="53"/>
      <c r="AA161" s="56"/>
      <c r="AB161" s="54"/>
      <c r="AC161" s="54"/>
      <c r="AD161" s="54"/>
      <c r="AE161" s="54"/>
      <c r="AF161" s="131">
        <v>11</v>
      </c>
    </row>
    <row r="162" s="131" customFormat="1" ht="11.5" customHeight="1">
      <c r="A162" s="705"/>
      <c r="B162" s="57"/>
      <c r="C162" s="57"/>
      <c r="D162" s="131"/>
      <c r="K162" s="53"/>
      <c r="L162" s="57"/>
      <c r="M162" s="57"/>
      <c r="N162" s="53"/>
      <c r="O162" s="53"/>
      <c r="P162" s="53"/>
      <c r="Q162" s="53"/>
      <c r="R162" s="57"/>
      <c r="S162" s="53"/>
      <c r="T162" s="53"/>
      <c r="U162" s="706"/>
      <c r="V162" s="53"/>
      <c r="W162" s="53"/>
      <c r="X162" s="53"/>
      <c r="Y162" s="53"/>
      <c r="Z162" s="53"/>
      <c r="AA162" s="56"/>
      <c r="AB162" s="54"/>
      <c r="AC162" s="54"/>
      <c r="AD162" s="54"/>
      <c r="AE162" s="54"/>
      <c r="AF162" s="131">
        <v>11</v>
      </c>
    </row>
    <row r="163" s="131" customFormat="1" ht="11.5" customHeight="1">
      <c r="A163" s="705"/>
      <c r="B163" s="57"/>
      <c r="C163" s="57"/>
      <c r="D163" s="131"/>
      <c r="K163" s="53"/>
      <c r="L163" s="57"/>
      <c r="M163" s="57"/>
      <c r="N163" s="53"/>
      <c r="O163" s="53"/>
      <c r="P163" s="53"/>
      <c r="Q163" s="53"/>
      <c r="R163" s="57"/>
      <c r="S163" s="53"/>
      <c r="T163" s="53"/>
      <c r="U163" s="706"/>
      <c r="V163" s="53"/>
      <c r="W163" s="53"/>
      <c r="X163" s="53"/>
      <c r="Y163" s="53"/>
      <c r="Z163" s="53"/>
      <c r="AA163" s="56"/>
      <c r="AB163" s="54"/>
      <c r="AC163" s="54"/>
      <c r="AD163" s="54"/>
      <c r="AE163" s="54"/>
      <c r="AF163" s="131">
        <v>11</v>
      </c>
    </row>
    <row r="164" s="131" customFormat="1" ht="11.5" customHeight="1">
      <c r="A164" s="705"/>
      <c r="B164" s="57"/>
      <c r="C164" s="57"/>
      <c r="D164" s="131"/>
      <c r="K164" s="53"/>
      <c r="L164" s="57"/>
      <c r="M164" s="57"/>
      <c r="N164" s="53"/>
      <c r="O164" s="53"/>
      <c r="P164" s="53"/>
      <c r="Q164" s="53"/>
      <c r="R164" s="57"/>
      <c r="S164" s="53"/>
      <c r="T164" s="53"/>
      <c r="U164" s="706"/>
      <c r="V164" s="53"/>
      <c r="W164" s="53"/>
      <c r="X164" s="53"/>
      <c r="Y164" s="53"/>
      <c r="Z164" s="53"/>
      <c r="AA164" s="56"/>
      <c r="AB164" s="54"/>
      <c r="AC164" s="54"/>
      <c r="AD164" s="54"/>
      <c r="AE164" s="54"/>
      <c r="AF164" s="131">
        <v>11</v>
      </c>
    </row>
    <row r="165" s="131" customFormat="1" ht="11.5" customHeight="1">
      <c r="A165" s="705"/>
      <c r="B165" s="57"/>
      <c r="C165" s="57"/>
      <c r="D165" s="131"/>
      <c r="K165" s="53"/>
      <c r="L165" s="57"/>
      <c r="M165" s="57"/>
      <c r="N165" s="53"/>
      <c r="O165" s="53"/>
      <c r="P165" s="53"/>
      <c r="Q165" s="53"/>
      <c r="R165" s="57"/>
      <c r="S165" s="53"/>
      <c r="T165" s="53"/>
      <c r="U165" s="706"/>
      <c r="V165" s="53"/>
      <c r="W165" s="53"/>
      <c r="X165" s="53"/>
      <c r="Y165" s="53"/>
      <c r="Z165" s="53"/>
      <c r="AA165" s="56"/>
      <c r="AB165" s="54"/>
      <c r="AC165" s="54"/>
      <c r="AD165" s="54"/>
      <c r="AE165" s="54"/>
      <c r="AF165" s="131">
        <v>11</v>
      </c>
    </row>
    <row r="166" s="131" customFormat="1" ht="11.5" customHeight="1">
      <c r="A166" s="705"/>
      <c r="B166" s="57"/>
      <c r="C166" s="57"/>
      <c r="D166" s="131"/>
      <c r="K166" s="53"/>
      <c r="L166" s="57"/>
      <c r="M166" s="57"/>
      <c r="N166" s="53"/>
      <c r="O166" s="53"/>
      <c r="P166" s="53"/>
      <c r="Q166" s="53"/>
      <c r="R166" s="57"/>
      <c r="S166" s="53"/>
      <c r="T166" s="53"/>
      <c r="U166" s="706"/>
      <c r="V166" s="53"/>
      <c r="W166" s="53"/>
      <c r="X166" s="53"/>
      <c r="Y166" s="53"/>
      <c r="Z166" s="53"/>
      <c r="AA166" s="56"/>
      <c r="AB166" s="54"/>
      <c r="AC166" s="54"/>
      <c r="AD166" s="54"/>
      <c r="AE166" s="54"/>
      <c r="AF166" s="131">
        <v>11</v>
      </c>
    </row>
    <row r="167" s="131" customFormat="1" ht="11.5" customHeight="1">
      <c r="A167" s="705"/>
      <c r="B167" s="57"/>
      <c r="C167" s="57"/>
      <c r="D167" s="131"/>
      <c r="K167" s="53"/>
      <c r="L167" s="57"/>
      <c r="M167" s="57"/>
      <c r="N167" s="53"/>
      <c r="O167" s="53"/>
      <c r="P167" s="53"/>
      <c r="Q167" s="53"/>
      <c r="R167" s="57"/>
      <c r="S167" s="53"/>
      <c r="T167" s="53"/>
      <c r="U167" s="706"/>
      <c r="V167" s="53"/>
      <c r="W167" s="53"/>
      <c r="X167" s="53"/>
      <c r="Y167" s="53"/>
      <c r="Z167" s="53"/>
      <c r="AA167" s="56"/>
      <c r="AB167" s="54"/>
      <c r="AC167" s="54"/>
      <c r="AD167" s="54"/>
      <c r="AE167" s="54"/>
      <c r="AF167" s="131">
        <v>11</v>
      </c>
    </row>
    <row r="168" s="131" customFormat="1" ht="11.5" customHeight="1">
      <c r="A168" s="705"/>
      <c r="B168" s="57"/>
      <c r="C168" s="57"/>
      <c r="D168" s="131"/>
      <c r="K168" s="53"/>
      <c r="L168" s="57"/>
      <c r="M168" s="57"/>
      <c r="N168" s="53"/>
      <c r="O168" s="53"/>
      <c r="P168" s="53"/>
      <c r="Q168" s="53"/>
      <c r="R168" s="57"/>
      <c r="S168" s="53"/>
      <c r="T168" s="53"/>
      <c r="U168" s="706"/>
      <c r="V168" s="53"/>
      <c r="W168" s="53"/>
      <c r="X168" s="53"/>
      <c r="Y168" s="53"/>
      <c r="Z168" s="53"/>
      <c r="AA168" s="56"/>
      <c r="AB168" s="54"/>
      <c r="AC168" s="54"/>
      <c r="AD168" s="54"/>
      <c r="AE168" s="54"/>
      <c r="AF168" s="131">
        <v>11</v>
      </c>
    </row>
    <row r="169" s="131" customFormat="1" ht="11.5" customHeight="1">
      <c r="A169" s="705"/>
      <c r="B169" s="57"/>
      <c r="C169" s="57"/>
      <c r="D169" s="131"/>
      <c r="K169" s="53"/>
      <c r="L169" s="57"/>
      <c r="M169" s="57"/>
      <c r="N169" s="53"/>
      <c r="O169" s="53"/>
      <c r="P169" s="53"/>
      <c r="Q169" s="53"/>
      <c r="R169" s="57"/>
      <c r="S169" s="53"/>
      <c r="T169" s="53"/>
      <c r="U169" s="706"/>
      <c r="V169" s="53"/>
      <c r="W169" s="53"/>
      <c r="X169" s="53"/>
      <c r="Y169" s="53"/>
      <c r="Z169" s="53"/>
      <c r="AA169" s="56"/>
      <c r="AB169" s="54"/>
      <c r="AC169" s="54"/>
      <c r="AD169" s="54"/>
      <c r="AE169" s="54"/>
      <c r="AF169" s="131">
        <v>11</v>
      </c>
    </row>
    <row r="170" s="131" customFormat="1" ht="11.5" customHeight="1">
      <c r="A170" s="705"/>
      <c r="B170" s="57"/>
      <c r="C170" s="57"/>
      <c r="D170" s="131"/>
      <c r="K170" s="53"/>
      <c r="L170" s="57"/>
      <c r="M170" s="57"/>
      <c r="N170" s="53"/>
      <c r="O170" s="53"/>
      <c r="P170" s="53"/>
      <c r="Q170" s="53"/>
      <c r="R170" s="57"/>
      <c r="S170" s="53"/>
      <c r="T170" s="53"/>
      <c r="U170" s="706"/>
      <c r="V170" s="53"/>
      <c r="W170" s="53"/>
      <c r="X170" s="53"/>
      <c r="Y170" s="53"/>
      <c r="Z170" s="53"/>
      <c r="AA170" s="56"/>
      <c r="AB170" s="54"/>
      <c r="AC170" s="54"/>
      <c r="AD170" s="54"/>
      <c r="AE170" s="54"/>
      <c r="AF170" s="131">
        <v>11</v>
      </c>
    </row>
    <row r="171" s="131" customFormat="1" ht="11.5" customHeight="1">
      <c r="A171" s="705"/>
      <c r="B171" s="57"/>
      <c r="C171" s="57"/>
      <c r="D171" s="131"/>
      <c r="K171" s="53"/>
      <c r="L171" s="57"/>
      <c r="M171" s="57"/>
      <c r="N171" s="53"/>
      <c r="O171" s="53"/>
      <c r="P171" s="53"/>
      <c r="Q171" s="53"/>
      <c r="R171" s="57"/>
      <c r="S171" s="53"/>
      <c r="T171" s="53"/>
      <c r="U171" s="706"/>
      <c r="V171" s="53"/>
      <c r="W171" s="53"/>
      <c r="X171" s="53"/>
      <c r="Y171" s="53"/>
      <c r="Z171" s="53"/>
      <c r="AA171" s="56"/>
      <c r="AB171" s="54"/>
      <c r="AC171" s="54"/>
      <c r="AD171" s="54"/>
      <c r="AE171" s="54"/>
      <c r="AF171" s="131">
        <v>11</v>
      </c>
    </row>
    <row r="172" s="131" customFormat="1" ht="11.5" customHeight="1">
      <c r="A172" s="705"/>
      <c r="B172" s="57"/>
      <c r="C172" s="57"/>
      <c r="D172" s="131"/>
      <c r="K172" s="53"/>
      <c r="L172" s="57"/>
      <c r="M172" s="57"/>
      <c r="N172" s="53"/>
      <c r="O172" s="53"/>
      <c r="P172" s="53"/>
      <c r="Q172" s="53"/>
      <c r="R172" s="57"/>
      <c r="S172" s="53"/>
      <c r="T172" s="53"/>
      <c r="U172" s="706"/>
      <c r="V172" s="53"/>
      <c r="W172" s="53"/>
      <c r="X172" s="53"/>
      <c r="Y172" s="53"/>
      <c r="Z172" s="53"/>
      <c r="AA172" s="56"/>
      <c r="AB172" s="54"/>
      <c r="AC172" s="54"/>
      <c r="AD172" s="54"/>
      <c r="AE172" s="54"/>
      <c r="AF172" s="131">
        <v>11</v>
      </c>
    </row>
    <row r="173" s="131" customFormat="1" ht="11.5" customHeight="1">
      <c r="A173" s="705"/>
      <c r="B173" s="57"/>
      <c r="C173" s="57"/>
      <c r="D173" s="131"/>
      <c r="K173" s="53"/>
      <c r="L173" s="57"/>
      <c r="M173" s="57"/>
      <c r="N173" s="53"/>
      <c r="O173" s="53"/>
      <c r="P173" s="53"/>
      <c r="Q173" s="53"/>
      <c r="R173" s="57"/>
      <c r="S173" s="53"/>
      <c r="T173" s="53"/>
      <c r="U173" s="706"/>
      <c r="V173" s="53"/>
      <c r="W173" s="53"/>
      <c r="X173" s="53"/>
      <c r="Y173" s="53"/>
      <c r="Z173" s="53"/>
      <c r="AA173" s="56"/>
      <c r="AB173" s="54"/>
      <c r="AC173" s="54"/>
      <c r="AD173" s="54"/>
      <c r="AE173" s="54"/>
      <c r="AF173" s="131">
        <v>11</v>
      </c>
    </row>
    <row r="174" s="131" customFormat="1" ht="11.5" customHeight="1">
      <c r="A174" s="705"/>
      <c r="B174" s="57"/>
      <c r="C174" s="57"/>
      <c r="D174" s="131"/>
      <c r="K174" s="53"/>
      <c r="L174" s="57"/>
      <c r="M174" s="57"/>
      <c r="N174" s="53"/>
      <c r="O174" s="53"/>
      <c r="P174" s="53"/>
      <c r="Q174" s="53"/>
      <c r="R174" s="57"/>
      <c r="S174" s="53"/>
      <c r="T174" s="53"/>
      <c r="U174" s="706"/>
      <c r="V174" s="53"/>
      <c r="W174" s="53"/>
      <c r="X174" s="53"/>
      <c r="Y174" s="53"/>
      <c r="Z174" s="53"/>
      <c r="AA174" s="56"/>
      <c r="AB174" s="54"/>
      <c r="AC174" s="54"/>
      <c r="AD174" s="54"/>
      <c r="AE174" s="54"/>
      <c r="AF174" s="131">
        <v>11</v>
      </c>
    </row>
    <row r="175" s="131" customFormat="1" ht="11.5" customHeight="1">
      <c r="A175" s="705"/>
      <c r="B175" s="57"/>
      <c r="C175" s="57"/>
      <c r="D175" s="131"/>
      <c r="K175" s="53"/>
      <c r="L175" s="57"/>
      <c r="M175" s="57"/>
      <c r="N175" s="53"/>
      <c r="O175" s="53"/>
      <c r="P175" s="53"/>
      <c r="Q175" s="53"/>
      <c r="R175" s="57"/>
      <c r="S175" s="53"/>
      <c r="T175" s="53"/>
      <c r="U175" s="706"/>
      <c r="V175" s="53"/>
      <c r="W175" s="53"/>
      <c r="X175" s="53"/>
      <c r="Y175" s="53"/>
      <c r="Z175" s="53"/>
      <c r="AA175" s="56"/>
      <c r="AB175" s="54"/>
      <c r="AC175" s="54"/>
      <c r="AD175" s="54"/>
      <c r="AE175" s="54"/>
      <c r="AF175" s="131">
        <v>11</v>
      </c>
    </row>
    <row r="176" s="131" customFormat="1" ht="11.5" customHeight="1">
      <c r="A176" s="705"/>
      <c r="B176" s="57"/>
      <c r="C176" s="57"/>
      <c r="D176" s="131"/>
      <c r="K176" s="53"/>
      <c r="L176" s="57"/>
      <c r="M176" s="57"/>
      <c r="N176" s="53"/>
      <c r="O176" s="53"/>
      <c r="P176" s="53"/>
      <c r="Q176" s="53"/>
      <c r="R176" s="57"/>
      <c r="S176" s="53"/>
      <c r="T176" s="53"/>
      <c r="U176" s="706"/>
      <c r="V176" s="53"/>
      <c r="W176" s="53"/>
      <c r="X176" s="53"/>
      <c r="Y176" s="53"/>
      <c r="Z176" s="53"/>
      <c r="AA176" s="56"/>
      <c r="AB176" s="54"/>
      <c r="AC176" s="54"/>
      <c r="AD176" s="54"/>
      <c r="AE176" s="54"/>
      <c r="AF176" s="131">
        <v>11</v>
      </c>
    </row>
    <row r="177" s="131" customFormat="1" ht="11.5" customHeight="1">
      <c r="A177" s="705"/>
      <c r="B177" s="57"/>
      <c r="C177" s="57"/>
      <c r="D177" s="131"/>
      <c r="K177" s="53"/>
      <c r="L177" s="57"/>
      <c r="M177" s="57"/>
      <c r="N177" s="53"/>
      <c r="O177" s="53"/>
      <c r="P177" s="53"/>
      <c r="Q177" s="53"/>
      <c r="R177" s="57"/>
      <c r="S177" s="53"/>
      <c r="T177" s="53"/>
      <c r="U177" s="706"/>
      <c r="V177" s="53"/>
      <c r="W177" s="53"/>
      <c r="X177" s="53"/>
      <c r="Y177" s="53"/>
      <c r="Z177" s="53"/>
      <c r="AA177" s="56"/>
      <c r="AB177" s="54"/>
      <c r="AC177" s="54"/>
      <c r="AD177" s="54"/>
      <c r="AE177" s="54"/>
      <c r="AF177" s="131">
        <v>11</v>
      </c>
    </row>
    <row r="178" s="131" customFormat="1" ht="11.5" customHeight="1">
      <c r="A178" s="705"/>
      <c r="B178" s="57"/>
      <c r="C178" s="57"/>
      <c r="D178" s="131"/>
      <c r="K178" s="53"/>
      <c r="L178" s="57"/>
      <c r="M178" s="57"/>
      <c r="N178" s="53"/>
      <c r="O178" s="53"/>
      <c r="P178" s="53"/>
      <c r="Q178" s="53"/>
      <c r="R178" s="57"/>
      <c r="S178" s="53"/>
      <c r="T178" s="53"/>
      <c r="U178" s="706"/>
      <c r="V178" s="53"/>
      <c r="W178" s="53"/>
      <c r="X178" s="53"/>
      <c r="Y178" s="53"/>
      <c r="Z178" s="53"/>
      <c r="AA178" s="56"/>
      <c r="AB178" s="54"/>
      <c r="AC178" s="54"/>
      <c r="AD178" s="54"/>
      <c r="AE178" s="54"/>
      <c r="AF178" s="131">
        <v>11</v>
      </c>
    </row>
    <row r="179" s="131" customFormat="1" ht="11.5" customHeight="1">
      <c r="A179" s="705"/>
      <c r="B179" s="57"/>
      <c r="C179" s="57"/>
      <c r="D179" s="131"/>
      <c r="K179" s="53"/>
      <c r="L179" s="57"/>
      <c r="M179" s="57"/>
      <c r="N179" s="53"/>
      <c r="O179" s="53"/>
      <c r="P179" s="53"/>
      <c r="Q179" s="53"/>
      <c r="R179" s="57"/>
      <c r="S179" s="53"/>
      <c r="T179" s="53"/>
      <c r="U179" s="706"/>
      <c r="V179" s="53"/>
      <c r="W179" s="53"/>
      <c r="X179" s="53"/>
      <c r="Y179" s="53"/>
      <c r="Z179" s="53"/>
      <c r="AA179" s="56"/>
      <c r="AB179" s="54"/>
      <c r="AC179" s="54"/>
      <c r="AD179" s="54"/>
      <c r="AE179" s="54"/>
      <c r="AF179" s="131">
        <v>11</v>
      </c>
    </row>
    <row r="180" s="131" customFormat="1" ht="11.5" customHeight="1">
      <c r="A180" s="705"/>
      <c r="B180" s="57"/>
      <c r="C180" s="57"/>
      <c r="D180" s="131"/>
      <c r="K180" s="53"/>
      <c r="L180" s="57"/>
      <c r="M180" s="57"/>
      <c r="N180" s="53"/>
      <c r="O180" s="53"/>
      <c r="P180" s="53"/>
      <c r="Q180" s="53"/>
      <c r="R180" s="57"/>
      <c r="S180" s="53"/>
      <c r="T180" s="53"/>
      <c r="U180" s="706"/>
      <c r="V180" s="53"/>
      <c r="W180" s="53"/>
      <c r="X180" s="53"/>
      <c r="Y180" s="53"/>
      <c r="Z180" s="53"/>
      <c r="AA180" s="56"/>
      <c r="AB180" s="54"/>
      <c r="AC180" s="54"/>
      <c r="AD180" s="54"/>
      <c r="AE180" s="54"/>
      <c r="AF180" s="131">
        <v>11</v>
      </c>
    </row>
    <row r="181" s="131" customFormat="1" ht="11.5" customHeight="1">
      <c r="A181" s="705"/>
      <c r="B181" s="57"/>
      <c r="C181" s="57"/>
      <c r="D181" s="131"/>
      <c r="K181" s="53"/>
      <c r="L181" s="57"/>
      <c r="M181" s="57"/>
      <c r="N181" s="53"/>
      <c r="O181" s="53"/>
      <c r="P181" s="53"/>
      <c r="Q181" s="53"/>
      <c r="R181" s="57"/>
      <c r="S181" s="53"/>
      <c r="T181" s="53"/>
      <c r="U181" s="706"/>
      <c r="V181" s="53"/>
      <c r="W181" s="53"/>
      <c r="X181" s="53"/>
      <c r="Y181" s="53"/>
      <c r="Z181" s="53"/>
      <c r="AA181" s="56"/>
      <c r="AB181" s="54"/>
      <c r="AC181" s="54"/>
      <c r="AD181" s="54"/>
      <c r="AE181" s="54"/>
      <c r="AF181" s="131">
        <v>11</v>
      </c>
    </row>
    <row r="182" s="131" customFormat="1" ht="11.5" customHeight="1">
      <c r="A182" s="705"/>
      <c r="B182" s="57"/>
      <c r="C182" s="57"/>
      <c r="D182" s="131"/>
      <c r="K182" s="53"/>
      <c r="L182" s="57"/>
      <c r="M182" s="57"/>
      <c r="N182" s="53"/>
      <c r="O182" s="53"/>
      <c r="P182" s="53"/>
      <c r="Q182" s="53"/>
      <c r="R182" s="57"/>
      <c r="S182" s="53"/>
      <c r="T182" s="53"/>
      <c r="U182" s="706"/>
      <c r="V182" s="53"/>
      <c r="W182" s="53"/>
      <c r="X182" s="53"/>
      <c r="Y182" s="53"/>
      <c r="Z182" s="53"/>
      <c r="AA182" s="56"/>
      <c r="AB182" s="54"/>
      <c r="AC182" s="54"/>
      <c r="AD182" s="54"/>
      <c r="AE182" s="54"/>
      <c r="AF182" s="131">
        <v>11</v>
      </c>
    </row>
    <row r="183" s="131" customFormat="1" ht="11.5" customHeight="1">
      <c r="A183" s="705"/>
      <c r="B183" s="57"/>
      <c r="C183" s="57"/>
      <c r="D183" s="131"/>
      <c r="K183" s="53"/>
      <c r="L183" s="57"/>
      <c r="M183" s="57"/>
      <c r="N183" s="53"/>
      <c r="O183" s="53"/>
      <c r="P183" s="53"/>
      <c r="Q183" s="53"/>
      <c r="R183" s="57"/>
      <c r="S183" s="53"/>
      <c r="T183" s="53"/>
      <c r="U183" s="706"/>
      <c r="V183" s="53"/>
      <c r="W183" s="53"/>
      <c r="X183" s="53"/>
      <c r="Y183" s="53"/>
      <c r="Z183" s="53"/>
      <c r="AA183" s="56"/>
      <c r="AB183" s="54"/>
      <c r="AC183" s="54"/>
      <c r="AD183" s="54"/>
      <c r="AE183" s="54"/>
      <c r="AF183" s="131">
        <v>11</v>
      </c>
    </row>
    <row r="184" s="131" customFormat="1" ht="11.5" customHeight="1">
      <c r="A184" s="705"/>
      <c r="B184" s="57"/>
      <c r="C184" s="57"/>
      <c r="D184" s="131"/>
      <c r="K184" s="53"/>
      <c r="L184" s="57"/>
      <c r="M184" s="57"/>
      <c r="N184" s="53"/>
      <c r="O184" s="53"/>
      <c r="P184" s="53"/>
      <c r="Q184" s="53"/>
      <c r="R184" s="57"/>
      <c r="S184" s="53"/>
      <c r="T184" s="53"/>
      <c r="U184" s="706"/>
      <c r="V184" s="53"/>
      <c r="W184" s="53"/>
      <c r="X184" s="53"/>
      <c r="Y184" s="53"/>
      <c r="Z184" s="53"/>
      <c r="AA184" s="56"/>
      <c r="AB184" s="54"/>
      <c r="AC184" s="54"/>
      <c r="AD184" s="54"/>
      <c r="AE184" s="54"/>
      <c r="AF184" s="131">
        <v>11</v>
      </c>
    </row>
    <row r="185" s="131" customFormat="1" ht="11.5" customHeight="1">
      <c r="A185" s="705"/>
      <c r="B185" s="57"/>
      <c r="C185" s="57"/>
      <c r="D185" s="131"/>
      <c r="K185" s="53"/>
      <c r="L185" s="57"/>
      <c r="M185" s="57"/>
      <c r="N185" s="53"/>
      <c r="O185" s="53"/>
      <c r="P185" s="53"/>
      <c r="Q185" s="53"/>
      <c r="R185" s="57"/>
      <c r="S185" s="53"/>
      <c r="T185" s="53"/>
      <c r="U185" s="706"/>
      <c r="V185" s="53"/>
      <c r="W185" s="53"/>
      <c r="X185" s="53"/>
      <c r="Y185" s="53"/>
      <c r="Z185" s="53"/>
      <c r="AA185" s="56"/>
      <c r="AB185" s="54"/>
      <c r="AC185" s="54"/>
      <c r="AD185" s="54"/>
      <c r="AE185" s="54"/>
      <c r="AF185" s="131">
        <v>11</v>
      </c>
    </row>
    <row r="186" s="131" customFormat="1" ht="11.5" customHeight="1">
      <c r="A186" s="705"/>
      <c r="B186" s="57"/>
      <c r="C186" s="57"/>
      <c r="D186" s="131"/>
      <c r="K186" s="53"/>
      <c r="L186" s="57"/>
      <c r="M186" s="57"/>
      <c r="N186" s="53"/>
      <c r="O186" s="53"/>
      <c r="P186" s="53"/>
      <c r="Q186" s="53"/>
      <c r="R186" s="57"/>
      <c r="S186" s="53"/>
      <c r="T186" s="53"/>
      <c r="U186" s="706"/>
      <c r="V186" s="53"/>
      <c r="W186" s="53"/>
      <c r="X186" s="53"/>
      <c r="Y186" s="53"/>
      <c r="Z186" s="53"/>
      <c r="AA186" s="56"/>
      <c r="AB186" s="54"/>
      <c r="AC186" s="54"/>
      <c r="AD186" s="54"/>
      <c r="AE186" s="54"/>
      <c r="AF186" s="131">
        <v>11</v>
      </c>
    </row>
    <row r="187" s="131" customFormat="1" ht="11.5" customHeight="1">
      <c r="A187" s="705"/>
      <c r="B187" s="57"/>
      <c r="C187" s="57"/>
      <c r="D187" s="131"/>
      <c r="K187" s="53"/>
      <c r="L187" s="57"/>
      <c r="M187" s="57"/>
      <c r="N187" s="53"/>
      <c r="O187" s="53"/>
      <c r="P187" s="53"/>
      <c r="Q187" s="53"/>
      <c r="R187" s="57"/>
      <c r="S187" s="53"/>
      <c r="T187" s="53"/>
      <c r="U187" s="706"/>
      <c r="V187" s="53"/>
      <c r="W187" s="53"/>
      <c r="X187" s="53"/>
      <c r="Y187" s="53"/>
      <c r="Z187" s="53"/>
      <c r="AA187" s="56"/>
      <c r="AB187" s="54"/>
      <c r="AC187" s="54"/>
      <c r="AD187" s="54"/>
      <c r="AE187" s="54"/>
      <c r="AF187" s="131">
        <v>11</v>
      </c>
    </row>
    <row r="188" s="131" customFormat="1" ht="11.5" customHeight="1">
      <c r="A188" s="705"/>
      <c r="B188" s="57"/>
      <c r="C188" s="57"/>
      <c r="D188" s="131"/>
      <c r="K188" s="53"/>
      <c r="L188" s="57"/>
      <c r="M188" s="57"/>
      <c r="N188" s="53"/>
      <c r="O188" s="53"/>
      <c r="P188" s="53"/>
      <c r="Q188" s="53"/>
      <c r="R188" s="57"/>
      <c r="S188" s="53"/>
      <c r="T188" s="53"/>
      <c r="U188" s="706"/>
      <c r="V188" s="53"/>
      <c r="W188" s="53"/>
      <c r="X188" s="53"/>
      <c r="Y188" s="53"/>
      <c r="Z188" s="53"/>
      <c r="AA188" s="56"/>
      <c r="AB188" s="54"/>
      <c r="AC188" s="54"/>
      <c r="AD188" s="54"/>
      <c r="AE188" s="54"/>
      <c r="AF188" s="131">
        <v>11</v>
      </c>
    </row>
    <row r="189" s="131" customFormat="1" ht="11.5" customHeight="1">
      <c r="A189" s="705"/>
      <c r="B189" s="57"/>
      <c r="C189" s="57"/>
      <c r="D189" s="131"/>
      <c r="K189" s="53"/>
      <c r="L189" s="57"/>
      <c r="M189" s="57"/>
      <c r="N189" s="53"/>
      <c r="O189" s="53"/>
      <c r="P189" s="53"/>
      <c r="Q189" s="53"/>
      <c r="R189" s="57"/>
      <c r="S189" s="53"/>
      <c r="T189" s="53"/>
      <c r="U189" s="706"/>
      <c r="V189" s="53"/>
      <c r="W189" s="53"/>
      <c r="X189" s="53"/>
      <c r="Y189" s="53"/>
      <c r="Z189" s="53"/>
      <c r="AA189" s="56"/>
      <c r="AB189" s="54"/>
      <c r="AC189" s="54"/>
      <c r="AD189" s="54"/>
      <c r="AE189" s="54"/>
      <c r="AF189" s="131">
        <v>11</v>
      </c>
    </row>
    <row r="190" s="131" customFormat="1" ht="11.5" customHeight="1">
      <c r="A190" s="705"/>
      <c r="B190" s="57"/>
      <c r="C190" s="57"/>
      <c r="D190" s="131"/>
      <c r="K190" s="53"/>
      <c r="L190" s="57"/>
      <c r="M190" s="57"/>
      <c r="N190" s="53"/>
      <c r="O190" s="53"/>
      <c r="P190" s="53"/>
      <c r="Q190" s="53"/>
      <c r="R190" s="57"/>
      <c r="S190" s="53"/>
      <c r="T190" s="53"/>
      <c r="U190" s="706"/>
      <c r="V190" s="53"/>
      <c r="W190" s="53"/>
      <c r="X190" s="53"/>
      <c r="Y190" s="53"/>
      <c r="Z190" s="53"/>
      <c r="AA190" s="56"/>
      <c r="AB190" s="54"/>
      <c r="AC190" s="54"/>
      <c r="AD190" s="54"/>
      <c r="AE190" s="54"/>
      <c r="AF190" s="131">
        <v>11</v>
      </c>
    </row>
    <row r="191" s="131" customFormat="1" ht="11.5" customHeight="1">
      <c r="A191" s="705"/>
      <c r="B191" s="57"/>
      <c r="C191" s="57"/>
      <c r="D191" s="131"/>
      <c r="K191" s="53"/>
      <c r="L191" s="57"/>
      <c r="M191" s="57"/>
      <c r="N191" s="53"/>
      <c r="O191" s="53"/>
      <c r="P191" s="53"/>
      <c r="Q191" s="53"/>
      <c r="R191" s="57"/>
      <c r="S191" s="53"/>
      <c r="T191" s="53"/>
      <c r="U191" s="706"/>
      <c r="V191" s="53"/>
      <c r="W191" s="53"/>
      <c r="X191" s="53"/>
      <c r="Y191" s="53"/>
      <c r="Z191" s="53"/>
      <c r="AA191" s="56"/>
      <c r="AB191" s="54"/>
      <c r="AC191" s="54"/>
      <c r="AD191" s="54"/>
      <c r="AE191" s="54"/>
      <c r="AF191" s="131">
        <v>11</v>
      </c>
    </row>
    <row r="192" s="131" customFormat="1" ht="11.5" customHeight="1">
      <c r="A192" s="705"/>
      <c r="B192" s="57"/>
      <c r="C192" s="57"/>
      <c r="D192" s="131"/>
      <c r="K192" s="53"/>
      <c r="L192" s="57"/>
      <c r="M192" s="57"/>
      <c r="N192" s="53"/>
      <c r="O192" s="53"/>
      <c r="P192" s="53"/>
      <c r="Q192" s="53"/>
      <c r="R192" s="57"/>
      <c r="S192" s="53"/>
      <c r="T192" s="53"/>
      <c r="U192" s="706"/>
      <c r="V192" s="53"/>
      <c r="W192" s="53"/>
      <c r="X192" s="53"/>
      <c r="Y192" s="53"/>
      <c r="Z192" s="53"/>
      <c r="AA192" s="56"/>
      <c r="AB192" s="54"/>
      <c r="AC192" s="54"/>
      <c r="AD192" s="54"/>
      <c r="AE192" s="54"/>
      <c r="AF192" s="131">
        <v>11</v>
      </c>
    </row>
    <row r="193" s="131" customFormat="1" ht="11.5" customHeight="1">
      <c r="A193" s="705"/>
      <c r="B193" s="57"/>
      <c r="C193" s="57"/>
      <c r="D193" s="131"/>
      <c r="K193" s="53"/>
      <c r="L193" s="57"/>
      <c r="M193" s="57"/>
      <c r="N193" s="53"/>
      <c r="O193" s="53"/>
      <c r="P193" s="53"/>
      <c r="Q193" s="53"/>
      <c r="R193" s="57"/>
      <c r="S193" s="53"/>
      <c r="T193" s="53"/>
      <c r="U193" s="706"/>
      <c r="V193" s="53"/>
      <c r="W193" s="53"/>
      <c r="X193" s="53"/>
      <c r="Y193" s="53"/>
      <c r="Z193" s="53"/>
      <c r="AA193" s="56"/>
      <c r="AB193" s="54"/>
      <c r="AC193" s="54"/>
      <c r="AD193" s="54"/>
      <c r="AE193" s="54"/>
      <c r="AF193" s="131">
        <v>11</v>
      </c>
    </row>
    <row r="194" s="131" customFormat="1" ht="11.5" customHeight="1">
      <c r="A194" s="705"/>
      <c r="B194" s="57"/>
      <c r="C194" s="57"/>
      <c r="D194" s="131"/>
      <c r="K194" s="53"/>
      <c r="L194" s="57"/>
      <c r="M194" s="57"/>
      <c r="N194" s="53"/>
      <c r="O194" s="53"/>
      <c r="P194" s="53"/>
      <c r="Q194" s="53"/>
      <c r="R194" s="57"/>
      <c r="S194" s="53"/>
      <c r="T194" s="53"/>
      <c r="U194" s="706"/>
      <c r="V194" s="53"/>
      <c r="W194" s="53"/>
      <c r="X194" s="53"/>
      <c r="Y194" s="53"/>
      <c r="Z194" s="53"/>
      <c r="AA194" s="56"/>
      <c r="AB194" s="54"/>
      <c r="AC194" s="54"/>
      <c r="AD194" s="54"/>
      <c r="AE194" s="54"/>
      <c r="AF194" s="131">
        <v>11</v>
      </c>
    </row>
    <row r="195" s="131" customFormat="1" ht="11.5" customHeight="1">
      <c r="A195" s="705"/>
      <c r="B195" s="57"/>
      <c r="C195" s="57"/>
      <c r="D195" s="131"/>
      <c r="K195" s="53"/>
      <c r="L195" s="57"/>
      <c r="M195" s="57"/>
      <c r="N195" s="53"/>
      <c r="O195" s="53"/>
      <c r="P195" s="53"/>
      <c r="Q195" s="53"/>
      <c r="R195" s="57"/>
      <c r="S195" s="53"/>
      <c r="T195" s="53"/>
      <c r="U195" s="706"/>
      <c r="V195" s="53"/>
      <c r="W195" s="53"/>
      <c r="X195" s="53"/>
      <c r="Y195" s="53"/>
      <c r="Z195" s="53"/>
      <c r="AA195" s="56"/>
      <c r="AB195" s="54"/>
      <c r="AC195" s="54"/>
      <c r="AD195" s="54"/>
      <c r="AE195" s="54"/>
      <c r="AF195" s="131">
        <v>11</v>
      </c>
    </row>
    <row r="196" s="131" customFormat="1" ht="11.5" customHeight="1">
      <c r="A196" s="705"/>
      <c r="B196" s="57"/>
      <c r="C196" s="57"/>
      <c r="D196" s="131"/>
      <c r="K196" s="53"/>
      <c r="L196" s="57"/>
      <c r="M196" s="57"/>
      <c r="N196" s="53"/>
      <c r="O196" s="53"/>
      <c r="P196" s="53"/>
      <c r="Q196" s="53"/>
      <c r="R196" s="57"/>
      <c r="S196" s="53"/>
      <c r="T196" s="53"/>
      <c r="U196" s="706"/>
      <c r="V196" s="53"/>
      <c r="W196" s="53"/>
      <c r="X196" s="53"/>
      <c r="Y196" s="53"/>
      <c r="Z196" s="53"/>
      <c r="AA196" s="56"/>
      <c r="AB196" s="54"/>
      <c r="AC196" s="54"/>
      <c r="AD196" s="54"/>
      <c r="AE196" s="54"/>
      <c r="AF196" s="131">
        <v>11</v>
      </c>
    </row>
    <row r="197" s="131" customFormat="1" ht="11.5" customHeight="1">
      <c r="A197" s="705"/>
      <c r="B197" s="57"/>
      <c r="C197" s="57"/>
      <c r="D197" s="131"/>
      <c r="K197" s="53"/>
      <c r="L197" s="57"/>
      <c r="M197" s="57"/>
      <c r="N197" s="53"/>
      <c r="O197" s="53"/>
      <c r="P197" s="53"/>
      <c r="Q197" s="53"/>
      <c r="R197" s="57"/>
      <c r="S197" s="53"/>
      <c r="T197" s="53"/>
      <c r="U197" s="706"/>
      <c r="V197" s="53"/>
      <c r="W197" s="53"/>
      <c r="X197" s="53"/>
      <c r="Y197" s="53"/>
      <c r="Z197" s="53"/>
      <c r="AA197" s="56"/>
      <c r="AB197" s="54"/>
      <c r="AC197" s="54"/>
      <c r="AD197" s="54"/>
      <c r="AE197" s="54"/>
      <c r="AF197" s="131">
        <v>11</v>
      </c>
    </row>
    <row r="198" s="131" customFormat="1" ht="11.5" customHeight="1">
      <c r="A198" s="705"/>
      <c r="B198" s="57"/>
      <c r="C198" s="57"/>
      <c r="D198" s="131"/>
      <c r="K198" s="53"/>
      <c r="L198" s="57"/>
      <c r="M198" s="57"/>
      <c r="N198" s="53"/>
      <c r="O198" s="53"/>
      <c r="P198" s="53"/>
      <c r="Q198" s="53"/>
      <c r="R198" s="57"/>
      <c r="S198" s="53"/>
      <c r="T198" s="53"/>
      <c r="U198" s="706"/>
      <c r="V198" s="53"/>
      <c r="W198" s="53"/>
      <c r="X198" s="53"/>
      <c r="Y198" s="53"/>
      <c r="Z198" s="53"/>
      <c r="AA198" s="56"/>
      <c r="AB198" s="54"/>
      <c r="AC198" s="54"/>
      <c r="AD198" s="54"/>
      <c r="AE198" s="54"/>
      <c r="AF198" s="131">
        <v>11</v>
      </c>
    </row>
    <row r="199" s="131" customFormat="1" ht="11.5" customHeight="1">
      <c r="A199" s="705"/>
      <c r="B199" s="57"/>
      <c r="C199" s="57"/>
      <c r="D199" s="131"/>
      <c r="K199" s="53"/>
      <c r="L199" s="57"/>
      <c r="M199" s="57"/>
      <c r="N199" s="53"/>
      <c r="O199" s="53"/>
      <c r="P199" s="53"/>
      <c r="Q199" s="53"/>
      <c r="R199" s="57"/>
      <c r="S199" s="53"/>
      <c r="T199" s="53"/>
      <c r="U199" s="706"/>
      <c r="V199" s="53"/>
      <c r="W199" s="53"/>
      <c r="X199" s="53"/>
      <c r="Y199" s="53"/>
      <c r="Z199" s="53"/>
      <c r="AA199" s="56"/>
      <c r="AB199" s="54"/>
      <c r="AC199" s="54"/>
      <c r="AD199" s="54"/>
      <c r="AE199" s="54"/>
      <c r="AF199" s="131">
        <v>11</v>
      </c>
    </row>
    <row r="200" s="131" customFormat="1" ht="11.5" customHeight="1">
      <c r="A200" s="705"/>
      <c r="B200" s="57"/>
      <c r="C200" s="57"/>
      <c r="D200" s="131"/>
      <c r="K200" s="53"/>
      <c r="L200" s="57"/>
      <c r="M200" s="57"/>
      <c r="N200" s="53"/>
      <c r="O200" s="53"/>
      <c r="P200" s="53"/>
      <c r="Q200" s="53"/>
      <c r="R200" s="57"/>
      <c r="S200" s="53"/>
      <c r="T200" s="53"/>
      <c r="U200" s="706"/>
      <c r="V200" s="53"/>
      <c r="W200" s="53"/>
      <c r="X200" s="53"/>
      <c r="Y200" s="53"/>
      <c r="Z200" s="53"/>
      <c r="AA200" s="56"/>
      <c r="AB200" s="54"/>
      <c r="AC200" s="54"/>
      <c r="AD200" s="54"/>
      <c r="AE200" s="54"/>
      <c r="AF200" s="131">
        <v>11</v>
      </c>
    </row>
    <row r="201" s="131" customFormat="1" ht="11.5" customHeight="1">
      <c r="A201" s="705"/>
      <c r="B201" s="57"/>
      <c r="C201" s="57"/>
      <c r="D201" s="131"/>
      <c r="K201" s="53"/>
      <c r="L201" s="57"/>
      <c r="M201" s="57"/>
      <c r="N201" s="53"/>
      <c r="O201" s="53"/>
      <c r="P201" s="53"/>
      <c r="Q201" s="53"/>
      <c r="R201" s="57"/>
      <c r="S201" s="53"/>
      <c r="T201" s="53"/>
      <c r="U201" s="706"/>
      <c r="V201" s="53"/>
      <c r="W201" s="53"/>
      <c r="X201" s="53"/>
      <c r="Y201" s="53"/>
      <c r="Z201" s="53"/>
      <c r="AA201" s="56"/>
      <c r="AB201" s="54"/>
      <c r="AC201" s="54"/>
      <c r="AD201" s="54"/>
      <c r="AE201" s="54"/>
      <c r="AF201" s="131">
        <v>11</v>
      </c>
    </row>
    <row r="202" s="131" customFormat="1" ht="11.5" customHeight="1">
      <c r="A202" s="705"/>
      <c r="B202" s="57"/>
      <c r="C202" s="57"/>
      <c r="D202" s="131"/>
      <c r="K202" s="53"/>
      <c r="L202" s="57"/>
      <c r="M202" s="57"/>
      <c r="N202" s="53"/>
      <c r="O202" s="53"/>
      <c r="P202" s="53"/>
      <c r="Q202" s="53"/>
      <c r="R202" s="57"/>
      <c r="S202" s="53"/>
      <c r="T202" s="53"/>
      <c r="U202" s="706"/>
      <c r="V202" s="53"/>
      <c r="W202" s="53"/>
      <c r="X202" s="53"/>
      <c r="Y202" s="53"/>
      <c r="Z202" s="53"/>
      <c r="AA202" s="56"/>
      <c r="AB202" s="54"/>
      <c r="AC202" s="54"/>
      <c r="AD202" s="54"/>
      <c r="AE202" s="54"/>
      <c r="AF202" s="131">
        <v>11</v>
      </c>
    </row>
    <row r="203" s="131" customFormat="1" ht="11.5" customHeight="1">
      <c r="A203" s="705"/>
      <c r="B203" s="57"/>
      <c r="C203" s="57"/>
      <c r="D203" s="131"/>
      <c r="K203" s="53"/>
      <c r="L203" s="57"/>
      <c r="M203" s="57"/>
      <c r="N203" s="53"/>
      <c r="O203" s="53"/>
      <c r="P203" s="53"/>
      <c r="Q203" s="53"/>
      <c r="R203" s="57"/>
      <c r="S203" s="53"/>
      <c r="T203" s="53"/>
      <c r="U203" s="706"/>
      <c r="V203" s="53"/>
      <c r="W203" s="53"/>
      <c r="X203" s="53"/>
      <c r="Y203" s="53"/>
      <c r="Z203" s="53"/>
      <c r="AA203" s="56"/>
      <c r="AB203" s="54"/>
      <c r="AC203" s="54"/>
      <c r="AD203" s="54"/>
      <c r="AE203" s="54"/>
      <c r="AF203" s="131">
        <v>11</v>
      </c>
    </row>
    <row r="204" s="131" customFormat="1" ht="11.5" customHeight="1">
      <c r="A204" s="705"/>
      <c r="B204" s="57"/>
      <c r="C204" s="57"/>
      <c r="D204" s="131"/>
      <c r="K204" s="53"/>
      <c r="L204" s="57"/>
      <c r="M204" s="57"/>
      <c r="N204" s="53"/>
      <c r="O204" s="53"/>
      <c r="P204" s="53"/>
      <c r="Q204" s="53"/>
      <c r="R204" s="57"/>
      <c r="S204" s="53"/>
      <c r="T204" s="53"/>
      <c r="U204" s="706"/>
      <c r="V204" s="53"/>
      <c r="W204" s="53"/>
      <c r="X204" s="53"/>
      <c r="Y204" s="53"/>
      <c r="Z204" s="53"/>
      <c r="AA204" s="56"/>
      <c r="AB204" s="54"/>
      <c r="AC204" s="54"/>
      <c r="AD204" s="54"/>
      <c r="AE204" s="54"/>
      <c r="AF204" s="131">
        <v>11</v>
      </c>
    </row>
    <row r="205" s="131" customFormat="1" ht="11.5" customHeight="1">
      <c r="A205" s="705"/>
      <c r="B205" s="57"/>
      <c r="C205" s="57"/>
      <c r="D205" s="131"/>
      <c r="K205" s="53"/>
      <c r="L205" s="57"/>
      <c r="M205" s="57"/>
      <c r="N205" s="53"/>
      <c r="O205" s="53"/>
      <c r="P205" s="53"/>
      <c r="Q205" s="53"/>
      <c r="R205" s="57"/>
      <c r="S205" s="53"/>
      <c r="T205" s="53"/>
      <c r="U205" s="706"/>
      <c r="V205" s="53"/>
      <c r="W205" s="53"/>
      <c r="X205" s="53"/>
      <c r="Y205" s="53"/>
      <c r="Z205" s="53"/>
      <c r="AA205" s="56"/>
      <c r="AB205" s="54"/>
      <c r="AC205" s="54"/>
      <c r="AD205" s="54"/>
      <c r="AE205" s="54"/>
      <c r="AF205" s="131">
        <v>11</v>
      </c>
    </row>
    <row r="206" s="131" customFormat="1" ht="11.5" customHeight="1">
      <c r="A206" s="705"/>
      <c r="B206" s="57"/>
      <c r="C206" s="57"/>
      <c r="D206" s="131"/>
      <c r="K206" s="53"/>
      <c r="L206" s="57"/>
      <c r="M206" s="57"/>
      <c r="N206" s="53"/>
      <c r="O206" s="53"/>
      <c r="P206" s="53"/>
      <c r="Q206" s="53"/>
      <c r="R206" s="57"/>
      <c r="S206" s="53"/>
      <c r="T206" s="53"/>
      <c r="U206" s="706"/>
      <c r="V206" s="53"/>
      <c r="W206" s="53"/>
      <c r="X206" s="53"/>
      <c r="Y206" s="53"/>
      <c r="Z206" s="53"/>
      <c r="AA206" s="56"/>
      <c r="AB206" s="54"/>
      <c r="AC206" s="54"/>
      <c r="AD206" s="54"/>
      <c r="AE206" s="54"/>
      <c r="AF206" s="131">
        <v>11</v>
      </c>
    </row>
    <row r="207" s="131" customFormat="1" ht="11.5" customHeight="1">
      <c r="A207" s="705"/>
      <c r="B207" s="57"/>
      <c r="C207" s="57"/>
      <c r="D207" s="131"/>
      <c r="K207" s="53"/>
      <c r="L207" s="57"/>
      <c r="M207" s="57"/>
      <c r="N207" s="53"/>
      <c r="O207" s="53"/>
      <c r="P207" s="53"/>
      <c r="Q207" s="53"/>
      <c r="R207" s="57"/>
      <c r="S207" s="53"/>
      <c r="T207" s="53"/>
      <c r="U207" s="706"/>
      <c r="V207" s="53"/>
      <c r="W207" s="53"/>
      <c r="X207" s="53"/>
      <c r="Y207" s="53"/>
      <c r="Z207" s="53"/>
      <c r="AA207" s="56"/>
      <c r="AB207" s="54"/>
      <c r="AC207" s="54"/>
      <c r="AD207" s="54"/>
      <c r="AE207" s="54"/>
      <c r="AF207" s="131">
        <v>11</v>
      </c>
    </row>
    <row r="208" s="131" customFormat="1" ht="11.5" customHeight="1">
      <c r="A208" s="705"/>
      <c r="B208" s="57"/>
      <c r="C208" s="57"/>
      <c r="D208" s="131"/>
      <c r="K208" s="53"/>
      <c r="L208" s="57"/>
      <c r="M208" s="57"/>
      <c r="N208" s="53"/>
      <c r="O208" s="53"/>
      <c r="P208" s="53"/>
      <c r="Q208" s="53"/>
      <c r="R208" s="57"/>
      <c r="S208" s="53"/>
      <c r="T208" s="53"/>
      <c r="U208" s="706"/>
      <c r="V208" s="53"/>
      <c r="W208" s="53"/>
      <c r="X208" s="53"/>
      <c r="Y208" s="53"/>
      <c r="Z208" s="53"/>
      <c r="AA208" s="56"/>
      <c r="AB208" s="54"/>
      <c r="AC208" s="54"/>
      <c r="AD208" s="54"/>
      <c r="AE208" s="54"/>
      <c r="AF208" s="131">
        <v>11</v>
      </c>
    </row>
    <row r="209" s="131" customFormat="1" ht="11.5" customHeight="1">
      <c r="A209" s="705"/>
      <c r="B209" s="57"/>
      <c r="C209" s="57"/>
      <c r="D209" s="131"/>
      <c r="K209" s="53"/>
      <c r="L209" s="57"/>
      <c r="M209" s="57"/>
      <c r="N209" s="53"/>
      <c r="O209" s="53"/>
      <c r="P209" s="53"/>
      <c r="Q209" s="53"/>
      <c r="R209" s="57"/>
      <c r="S209" s="53"/>
      <c r="T209" s="53"/>
      <c r="U209" s="706"/>
      <c r="V209" s="53"/>
      <c r="W209" s="53"/>
      <c r="X209" s="53"/>
      <c r="Y209" s="53"/>
      <c r="Z209" s="53"/>
      <c r="AA209" s="56"/>
      <c r="AB209" s="54"/>
      <c r="AC209" s="54"/>
      <c r="AD209" s="54"/>
      <c r="AE209" s="54"/>
      <c r="AF209" s="131">
        <v>11</v>
      </c>
    </row>
    <row r="210" s="131" customFormat="1" ht="11.5" customHeight="1">
      <c r="A210" s="705"/>
      <c r="B210" s="57"/>
      <c r="C210" s="57"/>
      <c r="D210" s="131"/>
      <c r="K210" s="53"/>
      <c r="L210" s="57"/>
      <c r="M210" s="57"/>
      <c r="N210" s="53"/>
      <c r="O210" s="53"/>
      <c r="P210" s="53"/>
      <c r="Q210" s="53"/>
      <c r="R210" s="57"/>
      <c r="S210" s="53"/>
      <c r="T210" s="53"/>
      <c r="U210" s="706"/>
      <c r="V210" s="53"/>
      <c r="W210" s="53"/>
      <c r="X210" s="53"/>
      <c r="Y210" s="53"/>
      <c r="Z210" s="53"/>
      <c r="AA210" s="56"/>
      <c r="AB210" s="54"/>
      <c r="AC210" s="54"/>
      <c r="AD210" s="54"/>
      <c r="AE210" s="54"/>
      <c r="AF210" s="131">
        <v>11</v>
      </c>
    </row>
    <row r="211" s="131" customFormat="1" ht="11.5" customHeight="1">
      <c r="A211" s="705"/>
      <c r="B211" s="57"/>
      <c r="C211" s="57"/>
      <c r="D211" s="131"/>
      <c r="K211" s="53"/>
      <c r="L211" s="57"/>
      <c r="M211" s="57"/>
      <c r="N211" s="53"/>
      <c r="O211" s="53"/>
      <c r="P211" s="53"/>
      <c r="Q211" s="53"/>
      <c r="R211" s="57"/>
      <c r="S211" s="53"/>
      <c r="T211" s="53"/>
      <c r="U211" s="706"/>
      <c r="V211" s="53"/>
      <c r="W211" s="53"/>
      <c r="X211" s="53"/>
      <c r="Y211" s="53"/>
      <c r="Z211" s="53"/>
      <c r="AA211" s="56"/>
      <c r="AB211" s="54"/>
      <c r="AC211" s="54"/>
      <c r="AD211" s="54"/>
      <c r="AE211" s="54"/>
      <c r="AF211" s="131">
        <v>11</v>
      </c>
    </row>
    <row r="212" s="131" customFormat="1" ht="11.5" customHeight="1">
      <c r="A212" s="705"/>
      <c r="B212" s="57"/>
      <c r="C212" s="57"/>
      <c r="D212" s="131"/>
      <c r="K212" s="53"/>
      <c r="L212" s="57"/>
      <c r="M212" s="57"/>
      <c r="N212" s="53"/>
      <c r="O212" s="53"/>
      <c r="P212" s="53"/>
      <c r="Q212" s="53"/>
      <c r="R212" s="57"/>
      <c r="S212" s="53"/>
      <c r="T212" s="53"/>
      <c r="U212" s="706"/>
      <c r="V212" s="53"/>
      <c r="W212" s="53"/>
      <c r="X212" s="53"/>
      <c r="Y212" s="53"/>
      <c r="Z212" s="53"/>
      <c r="AA212" s="56"/>
      <c r="AB212" s="54"/>
      <c r="AC212" s="54"/>
      <c r="AD212" s="54"/>
      <c r="AE212" s="54"/>
      <c r="AF212" s="131">
        <v>11</v>
      </c>
    </row>
    <row r="213" s="131" customFormat="1" ht="11.5" customHeight="1">
      <c r="A213" s="705"/>
      <c r="B213" s="57"/>
      <c r="C213" s="57"/>
      <c r="D213" s="131"/>
      <c r="K213" s="53"/>
      <c r="L213" s="57"/>
      <c r="M213" s="57"/>
      <c r="N213" s="53"/>
      <c r="O213" s="53"/>
      <c r="P213" s="53"/>
      <c r="Q213" s="53"/>
      <c r="R213" s="57"/>
      <c r="S213" s="53"/>
      <c r="T213" s="53"/>
      <c r="U213" s="706"/>
      <c r="V213" s="53"/>
      <c r="W213" s="53"/>
      <c r="X213" s="53"/>
      <c r="Y213" s="53"/>
      <c r="Z213" s="53"/>
      <c r="AA213" s="56"/>
      <c r="AB213" s="54"/>
      <c r="AC213" s="54"/>
      <c r="AD213" s="54"/>
      <c r="AE213" s="54"/>
      <c r="AF213" s="131">
        <v>11</v>
      </c>
    </row>
    <row r="214" s="131" customFormat="1" ht="11.5" customHeight="1">
      <c r="A214" s="705"/>
      <c r="B214" s="57"/>
      <c r="C214" s="57"/>
      <c r="D214" s="131"/>
      <c r="K214" s="53"/>
      <c r="L214" s="57"/>
      <c r="M214" s="57"/>
      <c r="N214" s="53"/>
      <c r="O214" s="53"/>
      <c r="P214" s="53"/>
      <c r="Q214" s="53"/>
      <c r="R214" s="57"/>
      <c r="S214" s="53"/>
      <c r="T214" s="53"/>
      <c r="U214" s="706"/>
      <c r="V214" s="53"/>
      <c r="W214" s="53"/>
      <c r="X214" s="53"/>
      <c r="Y214" s="53"/>
      <c r="Z214" s="53"/>
      <c r="AA214" s="56"/>
      <c r="AB214" s="54"/>
      <c r="AC214" s="54"/>
      <c r="AD214" s="54"/>
      <c r="AE214" s="54"/>
      <c r="AF214" s="131">
        <v>11</v>
      </c>
    </row>
    <row r="215" s="131" customFormat="1" ht="11.5" customHeight="1">
      <c r="A215" s="705"/>
      <c r="B215" s="57"/>
      <c r="C215" s="57"/>
      <c r="D215" s="131"/>
      <c r="K215" s="53"/>
      <c r="L215" s="57"/>
      <c r="M215" s="57"/>
      <c r="N215" s="53"/>
      <c r="O215" s="53"/>
      <c r="P215" s="53"/>
      <c r="Q215" s="53"/>
      <c r="R215" s="57"/>
      <c r="S215" s="53"/>
      <c r="T215" s="53"/>
      <c r="U215" s="706"/>
      <c r="V215" s="53"/>
      <c r="W215" s="53"/>
      <c r="X215" s="53"/>
      <c r="Y215" s="53"/>
      <c r="Z215" s="53"/>
      <c r="AA215" s="56"/>
      <c r="AB215" s="54"/>
      <c r="AC215" s="54"/>
      <c r="AD215" s="54"/>
      <c r="AE215" s="54"/>
      <c r="AF215" s="131">
        <v>11</v>
      </c>
    </row>
    <row r="216" s="131" customFormat="1" ht="11.5" customHeight="1">
      <c r="A216" s="705"/>
      <c r="B216" s="57"/>
      <c r="C216" s="57"/>
      <c r="D216" s="131"/>
      <c r="K216" s="53"/>
      <c r="L216" s="57"/>
      <c r="M216" s="57"/>
      <c r="N216" s="53"/>
      <c r="O216" s="53"/>
      <c r="P216" s="53"/>
      <c r="Q216" s="53"/>
      <c r="R216" s="57"/>
      <c r="S216" s="53"/>
      <c r="T216" s="53"/>
      <c r="U216" s="706"/>
      <c r="V216" s="53"/>
      <c r="W216" s="53"/>
      <c r="X216" s="53"/>
      <c r="Y216" s="53"/>
      <c r="Z216" s="53"/>
      <c r="AA216" s="56"/>
      <c r="AB216" s="54"/>
      <c r="AC216" s="54"/>
      <c r="AD216" s="54"/>
      <c r="AE216" s="54"/>
      <c r="AF216" s="131">
        <v>11</v>
      </c>
    </row>
    <row r="217" s="131" customFormat="1" ht="11.5" customHeight="1">
      <c r="A217" s="705"/>
      <c r="B217" s="57"/>
      <c r="C217" s="57"/>
      <c r="D217" s="131"/>
      <c r="K217" s="53"/>
      <c r="L217" s="57"/>
      <c r="M217" s="57"/>
      <c r="N217" s="53"/>
      <c r="O217" s="53"/>
      <c r="P217" s="53"/>
      <c r="Q217" s="53"/>
      <c r="R217" s="57"/>
      <c r="S217" s="53"/>
      <c r="T217" s="53"/>
      <c r="U217" s="706"/>
      <c r="V217" s="53"/>
      <c r="W217" s="53"/>
      <c r="X217" s="53"/>
      <c r="Y217" s="53"/>
      <c r="Z217" s="53"/>
      <c r="AA217" s="56"/>
      <c r="AB217" s="54"/>
      <c r="AC217" s="54"/>
      <c r="AD217" s="54"/>
      <c r="AE217" s="54"/>
      <c r="AF217" s="131">
        <v>11</v>
      </c>
    </row>
    <row r="218" s="131" customFormat="1" ht="11.5" customHeight="1">
      <c r="A218" s="705"/>
      <c r="B218" s="57"/>
      <c r="C218" s="57"/>
      <c r="D218" s="131"/>
      <c r="K218" s="53"/>
      <c r="L218" s="57"/>
      <c r="M218" s="57"/>
      <c r="N218" s="53"/>
      <c r="O218" s="53"/>
      <c r="P218" s="53"/>
      <c r="Q218" s="53"/>
      <c r="R218" s="57"/>
      <c r="S218" s="53"/>
      <c r="T218" s="53"/>
      <c r="U218" s="706"/>
      <c r="V218" s="53"/>
      <c r="W218" s="53"/>
      <c r="X218" s="53"/>
      <c r="Y218" s="53"/>
      <c r="Z218" s="53"/>
      <c r="AA218" s="56"/>
      <c r="AB218" s="54"/>
      <c r="AC218" s="54"/>
      <c r="AD218" s="54"/>
      <c r="AE218" s="54"/>
      <c r="AF218" s="131">
        <v>11</v>
      </c>
    </row>
    <row r="219" s="131" customFormat="1" ht="11.5" customHeight="1">
      <c r="A219" s="705"/>
      <c r="B219" s="57"/>
      <c r="C219" s="57"/>
      <c r="D219" s="131"/>
      <c r="K219" s="53"/>
      <c r="L219" s="57"/>
      <c r="M219" s="57"/>
      <c r="N219" s="53"/>
      <c r="O219" s="53"/>
      <c r="P219" s="53"/>
      <c r="Q219" s="53"/>
      <c r="R219" s="57"/>
      <c r="S219" s="53"/>
      <c r="T219" s="53"/>
      <c r="U219" s="706"/>
      <c r="V219" s="53"/>
      <c r="W219" s="53"/>
      <c r="X219" s="53"/>
      <c r="Y219" s="53"/>
      <c r="Z219" s="53"/>
      <c r="AA219" s="56"/>
      <c r="AB219" s="54"/>
      <c r="AC219" s="54"/>
      <c r="AD219" s="54"/>
      <c r="AE219" s="54"/>
      <c r="AF219" s="131">
        <v>11</v>
      </c>
    </row>
    <row r="220" s="131" customFormat="1" ht="11.5" customHeight="1">
      <c r="A220" s="705"/>
      <c r="B220" s="57"/>
      <c r="C220" s="57"/>
      <c r="D220" s="131"/>
      <c r="K220" s="53"/>
      <c r="L220" s="57"/>
      <c r="M220" s="57"/>
      <c r="N220" s="53"/>
      <c r="O220" s="53"/>
      <c r="P220" s="53"/>
      <c r="Q220" s="53"/>
      <c r="R220" s="57"/>
      <c r="S220" s="53"/>
      <c r="T220" s="53"/>
      <c r="U220" s="706"/>
      <c r="V220" s="53"/>
      <c r="W220" s="53"/>
      <c r="X220" s="53"/>
      <c r="Y220" s="53"/>
      <c r="Z220" s="53"/>
      <c r="AA220" s="56"/>
      <c r="AB220" s="54"/>
      <c r="AC220" s="54"/>
      <c r="AD220" s="54"/>
      <c r="AE220" s="54"/>
      <c r="AF220" s="131">
        <v>11</v>
      </c>
    </row>
    <row r="221" s="131" customFormat="1" ht="11.5" customHeight="1">
      <c r="A221" s="705"/>
      <c r="B221" s="57"/>
      <c r="C221" s="57"/>
      <c r="D221" s="131"/>
      <c r="K221" s="53"/>
      <c r="L221" s="57"/>
      <c r="M221" s="57"/>
      <c r="N221" s="53"/>
      <c r="O221" s="53"/>
      <c r="P221" s="53"/>
      <c r="Q221" s="53"/>
      <c r="R221" s="57"/>
      <c r="S221" s="53"/>
      <c r="T221" s="53"/>
      <c r="U221" s="706"/>
      <c r="V221" s="53"/>
      <c r="W221" s="53"/>
      <c r="X221" s="53"/>
      <c r="Y221" s="53"/>
      <c r="Z221" s="53"/>
      <c r="AA221" s="56"/>
      <c r="AB221" s="54"/>
      <c r="AC221" s="54"/>
      <c r="AD221" s="54"/>
      <c r="AE221" s="54"/>
      <c r="AF221" s="131">
        <v>11</v>
      </c>
    </row>
    <row r="222" s="131" customFormat="1" ht="11.5" customHeight="1">
      <c r="A222" s="705"/>
      <c r="B222" s="57"/>
      <c r="C222" s="57"/>
      <c r="D222" s="131"/>
      <c r="K222" s="53"/>
      <c r="L222" s="57"/>
      <c r="M222" s="57"/>
      <c r="N222" s="53"/>
      <c r="O222" s="53"/>
      <c r="P222" s="53"/>
      <c r="Q222" s="53"/>
      <c r="R222" s="57"/>
      <c r="S222" s="53"/>
      <c r="T222" s="53"/>
      <c r="U222" s="706"/>
      <c r="V222" s="53"/>
      <c r="W222" s="53"/>
      <c r="X222" s="53"/>
      <c r="Y222" s="53"/>
      <c r="Z222" s="53"/>
      <c r="AA222" s="56"/>
      <c r="AB222" s="54"/>
      <c r="AC222" s="54"/>
      <c r="AD222" s="54"/>
      <c r="AE222" s="54"/>
      <c r="AF222" s="131">
        <v>11</v>
      </c>
    </row>
    <row r="223" s="131" customFormat="1" ht="11.5" customHeight="1">
      <c r="A223" s="705"/>
      <c r="B223" s="57"/>
      <c r="C223" s="57"/>
      <c r="D223" s="131"/>
      <c r="K223" s="53"/>
      <c r="L223" s="57"/>
      <c r="M223" s="57"/>
      <c r="N223" s="53"/>
      <c r="O223" s="53"/>
      <c r="P223" s="53"/>
      <c r="Q223" s="53"/>
      <c r="R223" s="57"/>
      <c r="S223" s="53"/>
      <c r="T223" s="53"/>
      <c r="U223" s="706"/>
      <c r="V223" s="53"/>
      <c r="W223" s="53"/>
      <c r="X223" s="53"/>
      <c r="Y223" s="53"/>
      <c r="Z223" s="53"/>
      <c r="AA223" s="56"/>
      <c r="AB223" s="54"/>
      <c r="AC223" s="54"/>
      <c r="AD223" s="54"/>
      <c r="AE223" s="54"/>
      <c r="AF223" s="131">
        <v>11</v>
      </c>
    </row>
    <row r="224" s="131" customFormat="1" ht="11.5" customHeight="1">
      <c r="A224" s="705"/>
      <c r="B224" s="57"/>
      <c r="C224" s="57"/>
      <c r="D224" s="131"/>
      <c r="K224" s="53"/>
      <c r="L224" s="57"/>
      <c r="M224" s="57"/>
      <c r="N224" s="53"/>
      <c r="O224" s="53"/>
      <c r="P224" s="53"/>
      <c r="Q224" s="53"/>
      <c r="R224" s="57"/>
      <c r="S224" s="53"/>
      <c r="T224" s="53"/>
      <c r="U224" s="706"/>
      <c r="V224" s="53"/>
      <c r="W224" s="53"/>
      <c r="X224" s="53"/>
      <c r="Y224" s="53"/>
      <c r="Z224" s="53"/>
      <c r="AA224" s="56"/>
      <c r="AB224" s="54"/>
      <c r="AC224" s="54"/>
      <c r="AD224" s="54"/>
      <c r="AE224" s="54"/>
      <c r="AF224" s="131">
        <v>11</v>
      </c>
    </row>
    <row r="225" s="131" customFormat="1" ht="11.5" customHeight="1">
      <c r="A225" s="705"/>
      <c r="B225" s="57"/>
      <c r="C225" s="57"/>
      <c r="D225" s="131"/>
      <c r="K225" s="53"/>
      <c r="L225" s="57"/>
      <c r="M225" s="57"/>
      <c r="N225" s="53"/>
      <c r="O225" s="53"/>
      <c r="P225" s="53"/>
      <c r="Q225" s="53"/>
      <c r="R225" s="57"/>
      <c r="S225" s="53"/>
      <c r="T225" s="53"/>
      <c r="U225" s="706"/>
      <c r="V225" s="53"/>
      <c r="W225" s="53"/>
      <c r="X225" s="53"/>
      <c r="Y225" s="53"/>
      <c r="Z225" s="53"/>
      <c r="AA225" s="56"/>
      <c r="AB225" s="54"/>
      <c r="AC225" s="54"/>
      <c r="AD225" s="54"/>
      <c r="AE225" s="54"/>
      <c r="AF225" s="131">
        <v>11</v>
      </c>
    </row>
    <row r="226" s="131" customFormat="1" ht="11.5" customHeight="1">
      <c r="A226" s="705"/>
      <c r="B226" s="57"/>
      <c r="C226" s="57"/>
      <c r="D226" s="131"/>
      <c r="K226" s="53"/>
      <c r="L226" s="57"/>
      <c r="M226" s="57"/>
      <c r="N226" s="53"/>
      <c r="O226" s="53"/>
      <c r="P226" s="53"/>
      <c r="Q226" s="53"/>
      <c r="R226" s="57"/>
      <c r="S226" s="53"/>
      <c r="T226" s="53"/>
      <c r="U226" s="706"/>
      <c r="V226" s="53"/>
      <c r="W226" s="53"/>
      <c r="X226" s="53"/>
      <c r="Y226" s="53"/>
      <c r="Z226" s="53"/>
      <c r="AA226" s="56"/>
      <c r="AB226" s="54"/>
      <c r="AC226" s="54"/>
      <c r="AD226" s="54"/>
      <c r="AE226" s="54"/>
      <c r="AF226" s="131">
        <v>11</v>
      </c>
    </row>
    <row r="227" s="131" customFormat="1" ht="11.5" customHeight="1">
      <c r="A227" s="705"/>
      <c r="B227" s="57"/>
      <c r="C227" s="57"/>
      <c r="D227" s="131"/>
      <c r="K227" s="53"/>
      <c r="L227" s="57"/>
      <c r="M227" s="57"/>
      <c r="N227" s="53"/>
      <c r="O227" s="53"/>
      <c r="P227" s="53"/>
      <c r="Q227" s="53"/>
      <c r="R227" s="57"/>
      <c r="S227" s="53"/>
      <c r="T227" s="53"/>
      <c r="U227" s="706"/>
      <c r="V227" s="53"/>
      <c r="W227" s="53"/>
      <c r="X227" s="53"/>
      <c r="Y227" s="53"/>
      <c r="Z227" s="53"/>
      <c r="AA227" s="56"/>
      <c r="AB227" s="54"/>
      <c r="AC227" s="54"/>
      <c r="AD227" s="54"/>
      <c r="AE227" s="54"/>
      <c r="AF227" s="131">
        <v>11</v>
      </c>
    </row>
    <row r="228" s="131" customFormat="1" ht="11.5" customHeight="1">
      <c r="A228" s="705"/>
      <c r="B228" s="57"/>
      <c r="C228" s="57"/>
      <c r="D228" s="131"/>
      <c r="K228" s="53"/>
      <c r="L228" s="57"/>
      <c r="M228" s="57"/>
      <c r="N228" s="53"/>
      <c r="O228" s="53"/>
      <c r="P228" s="53"/>
      <c r="Q228" s="53"/>
      <c r="R228" s="57"/>
      <c r="S228" s="53"/>
      <c r="T228" s="53"/>
      <c r="U228" s="706"/>
      <c r="V228" s="53"/>
      <c r="W228" s="53"/>
      <c r="X228" s="53"/>
      <c r="Y228" s="53"/>
      <c r="Z228" s="53"/>
      <c r="AA228" s="56"/>
      <c r="AB228" s="54"/>
      <c r="AC228" s="54"/>
      <c r="AD228" s="54"/>
      <c r="AE228" s="54"/>
      <c r="AF228" s="131">
        <v>11</v>
      </c>
    </row>
    <row r="229" s="131" customFormat="1" ht="11.5" customHeight="1">
      <c r="A229" s="705"/>
      <c r="B229" s="57"/>
      <c r="C229" s="57"/>
      <c r="D229" s="131"/>
      <c r="K229" s="53"/>
      <c r="L229" s="57"/>
      <c r="M229" s="57"/>
      <c r="N229" s="53"/>
      <c r="O229" s="53"/>
      <c r="P229" s="53"/>
      <c r="Q229" s="53"/>
      <c r="R229" s="57"/>
      <c r="S229" s="53"/>
      <c r="T229" s="53"/>
      <c r="U229" s="706"/>
      <c r="V229" s="53"/>
      <c r="W229" s="53"/>
      <c r="X229" s="53"/>
      <c r="Y229" s="53"/>
      <c r="Z229" s="53"/>
      <c r="AA229" s="56"/>
      <c r="AB229" s="54"/>
      <c r="AC229" s="54"/>
      <c r="AD229" s="54"/>
      <c r="AE229" s="54"/>
      <c r="AF229" s="131">
        <v>11</v>
      </c>
    </row>
    <row r="230" s="131" customFormat="1" ht="11.5" customHeight="1">
      <c r="A230" s="705"/>
      <c r="B230" s="57"/>
      <c r="C230" s="57"/>
      <c r="D230" s="131"/>
      <c r="K230" s="53"/>
      <c r="L230" s="57"/>
      <c r="M230" s="57"/>
      <c r="N230" s="53"/>
      <c r="O230" s="53"/>
      <c r="P230" s="53"/>
      <c r="Q230" s="53"/>
      <c r="R230" s="57"/>
      <c r="S230" s="53"/>
      <c r="T230" s="53"/>
      <c r="U230" s="706"/>
      <c r="V230" s="53"/>
      <c r="W230" s="53"/>
      <c r="X230" s="53"/>
      <c r="Y230" s="53"/>
      <c r="Z230" s="53"/>
      <c r="AA230" s="56"/>
      <c r="AB230" s="54"/>
      <c r="AC230" s="54"/>
      <c r="AD230" s="54"/>
      <c r="AE230" s="54"/>
      <c r="AF230" s="131">
        <v>11</v>
      </c>
    </row>
    <row r="231" s="131" customFormat="1" ht="11.5" customHeight="1">
      <c r="A231" s="705"/>
      <c r="B231" s="57"/>
      <c r="C231" s="57"/>
      <c r="D231" s="131"/>
      <c r="K231" s="53"/>
      <c r="L231" s="57"/>
      <c r="M231" s="57"/>
      <c r="N231" s="53"/>
      <c r="O231" s="53"/>
      <c r="P231" s="53"/>
      <c r="Q231" s="53"/>
      <c r="R231" s="57"/>
      <c r="S231" s="53"/>
      <c r="T231" s="53"/>
      <c r="U231" s="706"/>
      <c r="V231" s="53"/>
      <c r="W231" s="53"/>
      <c r="X231" s="53"/>
      <c r="Y231" s="53"/>
      <c r="Z231" s="53"/>
      <c r="AA231" s="56"/>
      <c r="AB231" s="54"/>
      <c r="AC231" s="54"/>
      <c r="AD231" s="54"/>
      <c r="AE231" s="54"/>
      <c r="AF231" s="131">
        <v>11</v>
      </c>
    </row>
    <row r="232" s="131" customFormat="1" ht="11.5" customHeight="1">
      <c r="A232" s="705"/>
      <c r="B232" s="57"/>
      <c r="C232" s="57"/>
      <c r="D232" s="131"/>
      <c r="K232" s="53"/>
      <c r="L232" s="57"/>
      <c r="M232" s="57"/>
      <c r="N232" s="53"/>
      <c r="O232" s="53"/>
      <c r="P232" s="53"/>
      <c r="Q232" s="53"/>
      <c r="R232" s="57"/>
      <c r="S232" s="53"/>
      <c r="T232" s="53"/>
      <c r="U232" s="706"/>
      <c r="V232" s="53"/>
      <c r="W232" s="53"/>
      <c r="X232" s="53"/>
      <c r="Y232" s="53"/>
      <c r="Z232" s="53"/>
      <c r="AA232" s="56"/>
      <c r="AB232" s="54"/>
      <c r="AC232" s="54"/>
      <c r="AD232" s="54"/>
      <c r="AE232" s="54"/>
      <c r="AF232" s="131">
        <v>11</v>
      </c>
    </row>
    <row r="233" s="131" customFormat="1" ht="11.5" customHeight="1">
      <c r="A233" s="705"/>
      <c r="B233" s="57"/>
      <c r="C233" s="57"/>
      <c r="D233" s="131"/>
      <c r="K233" s="53"/>
      <c r="L233" s="57"/>
      <c r="M233" s="57"/>
      <c r="N233" s="53"/>
      <c r="O233" s="53"/>
      <c r="P233" s="53"/>
      <c r="Q233" s="53"/>
      <c r="R233" s="57"/>
      <c r="S233" s="53"/>
      <c r="T233" s="53"/>
      <c r="U233" s="706"/>
      <c r="V233" s="53"/>
      <c r="W233" s="53"/>
      <c r="X233" s="53"/>
      <c r="Y233" s="53"/>
      <c r="Z233" s="53"/>
      <c r="AA233" s="56"/>
      <c r="AB233" s="54"/>
      <c r="AC233" s="54"/>
      <c r="AD233" s="54"/>
      <c r="AE233" s="54"/>
      <c r="AF233" s="131">
        <v>11</v>
      </c>
    </row>
    <row r="234" s="131" customFormat="1" ht="11.5" customHeight="1">
      <c r="A234" s="705"/>
      <c r="B234" s="57"/>
      <c r="C234" s="57"/>
      <c r="D234" s="131"/>
      <c r="K234" s="53"/>
      <c r="L234" s="57"/>
      <c r="M234" s="57"/>
      <c r="N234" s="53"/>
      <c r="O234" s="53"/>
      <c r="P234" s="53"/>
      <c r="Q234" s="53"/>
      <c r="R234" s="57"/>
      <c r="S234" s="53"/>
      <c r="T234" s="53"/>
      <c r="U234" s="706"/>
      <c r="V234" s="53"/>
      <c r="W234" s="53"/>
      <c r="X234" s="53"/>
      <c r="Y234" s="53"/>
      <c r="Z234" s="53"/>
      <c r="AA234" s="56"/>
      <c r="AB234" s="54"/>
      <c r="AC234" s="54"/>
      <c r="AD234" s="54"/>
      <c r="AE234" s="54"/>
      <c r="AF234" s="131">
        <v>11</v>
      </c>
    </row>
    <row r="235" s="131" customFormat="1" ht="11.5" customHeight="1">
      <c r="A235" s="705"/>
      <c r="B235" s="57"/>
      <c r="C235" s="57"/>
      <c r="D235" s="131"/>
      <c r="K235" s="53"/>
      <c r="L235" s="57"/>
      <c r="M235" s="57"/>
      <c r="N235" s="53"/>
      <c r="O235" s="53"/>
      <c r="P235" s="53"/>
      <c r="Q235" s="53"/>
      <c r="R235" s="57"/>
      <c r="S235" s="53"/>
      <c r="T235" s="53"/>
      <c r="U235" s="706"/>
      <c r="V235" s="53"/>
      <c r="W235" s="53"/>
      <c r="X235" s="53"/>
      <c r="Y235" s="53"/>
      <c r="Z235" s="53"/>
      <c r="AA235" s="56"/>
      <c r="AB235" s="54"/>
      <c r="AC235" s="54"/>
      <c r="AD235" s="54"/>
      <c r="AE235" s="54"/>
      <c r="AF235" s="131">
        <v>11</v>
      </c>
    </row>
    <row r="236" s="131" customFormat="1" ht="11.5" customHeight="1">
      <c r="A236" s="705"/>
      <c r="B236" s="57"/>
      <c r="C236" s="57"/>
      <c r="D236" s="131"/>
      <c r="K236" s="53"/>
      <c r="L236" s="57"/>
      <c r="M236" s="57"/>
      <c r="N236" s="53"/>
      <c r="O236" s="53"/>
      <c r="P236" s="53"/>
      <c r="Q236" s="53"/>
      <c r="R236" s="57"/>
      <c r="S236" s="53"/>
      <c r="T236" s="53"/>
      <c r="U236" s="706"/>
      <c r="V236" s="53"/>
      <c r="W236" s="53"/>
      <c r="X236" s="53"/>
      <c r="Y236" s="53"/>
      <c r="Z236" s="53"/>
      <c r="AA236" s="56"/>
      <c r="AB236" s="54"/>
      <c r="AC236" s="54"/>
      <c r="AD236" s="54"/>
      <c r="AE236" s="54"/>
      <c r="AF236" s="131">
        <v>11</v>
      </c>
    </row>
    <row r="237" s="131" customFormat="1" ht="11.5" customHeight="1">
      <c r="A237" s="705"/>
      <c r="B237" s="57"/>
      <c r="C237" s="57"/>
      <c r="D237" s="131"/>
      <c r="K237" s="53"/>
      <c r="L237" s="57"/>
      <c r="M237" s="57"/>
      <c r="N237" s="53"/>
      <c r="O237" s="53"/>
      <c r="P237" s="53"/>
      <c r="Q237" s="53"/>
      <c r="R237" s="57"/>
      <c r="S237" s="53"/>
      <c r="T237" s="53"/>
      <c r="U237" s="706"/>
      <c r="V237" s="53"/>
      <c r="W237" s="53"/>
      <c r="X237" s="53"/>
      <c r="Y237" s="53"/>
      <c r="Z237" s="53"/>
      <c r="AA237" s="56"/>
      <c r="AB237" s="54"/>
      <c r="AC237" s="54"/>
      <c r="AD237" s="54"/>
      <c r="AE237" s="54"/>
      <c r="AF237" s="131">
        <v>11</v>
      </c>
    </row>
    <row r="238" s="131" customFormat="1" ht="11.5" customHeight="1">
      <c r="A238" s="705"/>
      <c r="B238" s="57"/>
      <c r="C238" s="57"/>
      <c r="D238" s="131"/>
      <c r="K238" s="53"/>
      <c r="L238" s="57"/>
      <c r="M238" s="57"/>
      <c r="N238" s="53"/>
      <c r="O238" s="53"/>
      <c r="P238" s="53"/>
      <c r="Q238" s="53"/>
      <c r="R238" s="57"/>
      <c r="S238" s="53"/>
      <c r="T238" s="53"/>
      <c r="U238" s="706"/>
      <c r="V238" s="53"/>
      <c r="W238" s="53"/>
      <c r="X238" s="53"/>
      <c r="Y238" s="53"/>
      <c r="Z238" s="53"/>
      <c r="AA238" s="56"/>
      <c r="AB238" s="54"/>
      <c r="AC238" s="54"/>
      <c r="AD238" s="54"/>
      <c r="AE238" s="54"/>
      <c r="AF238" s="131">
        <v>11</v>
      </c>
    </row>
    <row r="239" s="131" customFormat="1" ht="11.5" customHeight="1">
      <c r="A239" s="705"/>
      <c r="B239" s="57"/>
      <c r="C239" s="57"/>
      <c r="D239" s="131"/>
      <c r="K239" s="53"/>
      <c r="L239" s="57"/>
      <c r="M239" s="57"/>
      <c r="N239" s="53"/>
      <c r="O239" s="53"/>
      <c r="P239" s="53"/>
      <c r="Q239" s="53"/>
      <c r="R239" s="57"/>
      <c r="S239" s="53"/>
      <c r="T239" s="53"/>
      <c r="U239" s="706"/>
      <c r="V239" s="53"/>
      <c r="W239" s="53"/>
      <c r="X239" s="53"/>
      <c r="Y239" s="53"/>
      <c r="Z239" s="53"/>
      <c r="AA239" s="56"/>
      <c r="AB239" s="54"/>
      <c r="AC239" s="54"/>
      <c r="AD239" s="54"/>
      <c r="AE239" s="54"/>
      <c r="AF239" s="131">
        <v>11</v>
      </c>
    </row>
    <row r="240" s="131" customFormat="1" ht="11.5" customHeight="1">
      <c r="A240" s="705"/>
      <c r="B240" s="57"/>
      <c r="C240" s="57"/>
      <c r="D240" s="131"/>
      <c r="K240" s="53"/>
      <c r="L240" s="57"/>
      <c r="M240" s="57"/>
      <c r="N240" s="53"/>
      <c r="O240" s="53"/>
      <c r="P240" s="53"/>
      <c r="Q240" s="53"/>
      <c r="R240" s="57"/>
      <c r="S240" s="53"/>
      <c r="T240" s="53"/>
      <c r="U240" s="706"/>
      <c r="V240" s="53"/>
      <c r="W240" s="53"/>
      <c r="X240" s="53"/>
      <c r="Y240" s="53"/>
      <c r="Z240" s="53"/>
      <c r="AA240" s="56"/>
      <c r="AB240" s="54"/>
      <c r="AC240" s="54"/>
      <c r="AD240" s="54"/>
      <c r="AE240" s="54"/>
      <c r="AF240" s="131">
        <v>11</v>
      </c>
    </row>
    <row r="241" s="131" customFormat="1" ht="11.5" customHeight="1">
      <c r="A241" s="705"/>
      <c r="B241" s="57"/>
      <c r="C241" s="57"/>
      <c r="D241" s="131"/>
      <c r="K241" s="53"/>
      <c r="L241" s="57"/>
      <c r="M241" s="57"/>
      <c r="N241" s="53"/>
      <c r="O241" s="53"/>
      <c r="P241" s="53"/>
      <c r="Q241" s="53"/>
      <c r="R241" s="57"/>
      <c r="S241" s="53"/>
      <c r="T241" s="53"/>
      <c r="U241" s="706"/>
      <c r="V241" s="53"/>
      <c r="W241" s="53"/>
      <c r="X241" s="53"/>
      <c r="Y241" s="53"/>
      <c r="Z241" s="53"/>
      <c r="AA241" s="56"/>
      <c r="AB241" s="54"/>
      <c r="AC241" s="54"/>
      <c r="AD241" s="54"/>
      <c r="AE241" s="54"/>
      <c r="AF241" s="131">
        <v>11</v>
      </c>
    </row>
    <row r="242" s="131" customFormat="1" ht="11.5" customHeight="1">
      <c r="A242" s="705"/>
      <c r="B242" s="57"/>
      <c r="C242" s="57"/>
      <c r="D242" s="131"/>
      <c r="K242" s="53"/>
      <c r="L242" s="57"/>
      <c r="M242" s="57"/>
      <c r="N242" s="53"/>
      <c r="O242" s="53"/>
      <c r="P242" s="53"/>
      <c r="Q242" s="53"/>
      <c r="R242" s="57"/>
      <c r="S242" s="53"/>
      <c r="T242" s="53"/>
      <c r="U242" s="706"/>
      <c r="V242" s="53"/>
      <c r="W242" s="53"/>
      <c r="X242" s="53"/>
      <c r="Y242" s="53"/>
      <c r="Z242" s="53"/>
      <c r="AA242" s="56"/>
      <c r="AB242" s="54"/>
      <c r="AC242" s="54"/>
      <c r="AD242" s="54"/>
      <c r="AE242" s="54"/>
      <c r="AF242" s="131">
        <v>11</v>
      </c>
    </row>
    <row r="243" s="131" customFormat="1" ht="11.5" customHeight="1">
      <c r="A243" s="705"/>
      <c r="B243" s="57"/>
      <c r="C243" s="57"/>
      <c r="D243" s="131"/>
      <c r="K243" s="53"/>
      <c r="L243" s="57"/>
      <c r="M243" s="57"/>
      <c r="N243" s="53"/>
      <c r="O243" s="53"/>
      <c r="P243" s="53"/>
      <c r="Q243" s="53"/>
      <c r="R243" s="57"/>
      <c r="S243" s="53"/>
      <c r="T243" s="53"/>
      <c r="U243" s="706"/>
      <c r="V243" s="53"/>
      <c r="W243" s="53"/>
      <c r="X243" s="53"/>
      <c r="Y243" s="53"/>
      <c r="Z243" s="53"/>
      <c r="AA243" s="56"/>
      <c r="AB243" s="54"/>
      <c r="AC243" s="54"/>
      <c r="AD243" s="54"/>
      <c r="AE243" s="54"/>
      <c r="AF243" s="131">
        <v>11</v>
      </c>
    </row>
    <row r="244" s="131" customFormat="1" ht="11.5" customHeight="1">
      <c r="A244" s="705"/>
      <c r="B244" s="57"/>
      <c r="C244" s="57"/>
      <c r="D244" s="131"/>
      <c r="K244" s="53"/>
      <c r="L244" s="57"/>
      <c r="M244" s="57"/>
      <c r="N244" s="53"/>
      <c r="O244" s="53"/>
      <c r="P244" s="53"/>
      <c r="Q244" s="53"/>
      <c r="R244" s="57"/>
      <c r="S244" s="53"/>
      <c r="T244" s="53"/>
      <c r="U244" s="706"/>
      <c r="V244" s="53"/>
      <c r="W244" s="53"/>
      <c r="X244" s="53"/>
      <c r="Y244" s="53"/>
      <c r="Z244" s="53"/>
      <c r="AA244" s="56"/>
      <c r="AB244" s="54"/>
      <c r="AC244" s="54"/>
      <c r="AD244" s="54"/>
      <c r="AE244" s="54"/>
      <c r="AF244" s="131">
        <v>11</v>
      </c>
    </row>
    <row r="245" s="131" customFormat="1" ht="11.5" customHeight="1">
      <c r="A245" s="705"/>
      <c r="B245" s="57"/>
      <c r="C245" s="57"/>
      <c r="D245" s="131"/>
      <c r="K245" s="53"/>
      <c r="L245" s="57"/>
      <c r="M245" s="57"/>
      <c r="N245" s="53"/>
      <c r="O245" s="53"/>
      <c r="P245" s="53"/>
      <c r="Q245" s="53"/>
      <c r="R245" s="57"/>
      <c r="S245" s="53"/>
      <c r="T245" s="53"/>
      <c r="U245" s="706"/>
      <c r="V245" s="53"/>
      <c r="W245" s="53"/>
      <c r="X245" s="53"/>
      <c r="Y245" s="53"/>
      <c r="Z245" s="53"/>
      <c r="AA245" s="56"/>
      <c r="AB245" s="54"/>
      <c r="AC245" s="54"/>
      <c r="AD245" s="54"/>
      <c r="AE245" s="54"/>
      <c r="AF245" s="131">
        <v>11</v>
      </c>
    </row>
    <row r="246" s="131" customFormat="1" ht="11.5" customHeight="1">
      <c r="A246" s="705"/>
      <c r="B246" s="57"/>
      <c r="C246" s="57"/>
      <c r="D246" s="131"/>
      <c r="K246" s="53"/>
      <c r="L246" s="57"/>
      <c r="M246" s="57"/>
      <c r="N246" s="53"/>
      <c r="O246" s="53"/>
      <c r="P246" s="53"/>
      <c r="Q246" s="53"/>
      <c r="R246" s="57"/>
      <c r="S246" s="53"/>
      <c r="T246" s="53"/>
      <c r="U246" s="706"/>
      <c r="V246" s="53"/>
      <c r="W246" s="53"/>
      <c r="X246" s="53"/>
      <c r="Y246" s="53"/>
      <c r="Z246" s="53"/>
      <c r="AA246" s="56"/>
      <c r="AB246" s="54"/>
      <c r="AC246" s="54"/>
      <c r="AD246" s="54"/>
      <c r="AE246" s="54"/>
      <c r="AF246" s="131">
        <v>11</v>
      </c>
    </row>
    <row r="247" s="131" customFormat="1" ht="11.5" customHeight="1">
      <c r="A247" s="705"/>
      <c r="B247" s="57"/>
      <c r="C247" s="57"/>
      <c r="D247" s="131"/>
      <c r="K247" s="53"/>
      <c r="L247" s="57"/>
      <c r="M247" s="57"/>
      <c r="N247" s="53"/>
      <c r="O247" s="53"/>
      <c r="P247" s="53"/>
      <c r="Q247" s="53"/>
      <c r="R247" s="57"/>
      <c r="S247" s="53"/>
      <c r="T247" s="53"/>
      <c r="U247" s="706"/>
      <c r="V247" s="53"/>
      <c r="W247" s="53"/>
      <c r="X247" s="53"/>
      <c r="Y247" s="53"/>
      <c r="Z247" s="53"/>
      <c r="AA247" s="56"/>
      <c r="AB247" s="54"/>
      <c r="AC247" s="54"/>
      <c r="AD247" s="54"/>
      <c r="AE247" s="54"/>
      <c r="AF247" s="131">
        <v>11</v>
      </c>
    </row>
    <row r="248" s="131" customFormat="1" ht="11.5" customHeight="1">
      <c r="A248" s="705"/>
      <c r="B248" s="57"/>
      <c r="C248" s="57"/>
      <c r="D248" s="131"/>
      <c r="K248" s="53"/>
      <c r="L248" s="57"/>
      <c r="M248" s="57"/>
      <c r="N248" s="53"/>
      <c r="O248" s="53"/>
      <c r="P248" s="53"/>
      <c r="Q248" s="53"/>
      <c r="R248" s="57"/>
      <c r="S248" s="53"/>
      <c r="T248" s="53"/>
      <c r="U248" s="706"/>
      <c r="V248" s="53"/>
      <c r="W248" s="53"/>
      <c r="X248" s="53"/>
      <c r="Y248" s="53"/>
      <c r="Z248" s="53"/>
      <c r="AA248" s="56"/>
      <c r="AB248" s="54"/>
      <c r="AC248" s="54"/>
      <c r="AD248" s="54"/>
      <c r="AE248" s="54"/>
      <c r="AF248" s="131">
        <v>11</v>
      </c>
    </row>
    <row r="249" s="131" customFormat="1" ht="11.5" customHeight="1">
      <c r="A249" s="705"/>
      <c r="B249" s="57"/>
      <c r="C249" s="57"/>
      <c r="D249" s="131"/>
      <c r="K249" s="53"/>
      <c r="L249" s="57"/>
      <c r="M249" s="57"/>
      <c r="N249" s="53"/>
      <c r="O249" s="53"/>
      <c r="P249" s="53"/>
      <c r="Q249" s="53"/>
      <c r="R249" s="57"/>
      <c r="S249" s="53"/>
      <c r="T249" s="53"/>
      <c r="U249" s="706"/>
      <c r="V249" s="53"/>
      <c r="W249" s="53"/>
      <c r="X249" s="53"/>
      <c r="Y249" s="53"/>
      <c r="Z249" s="53"/>
      <c r="AA249" s="56"/>
      <c r="AB249" s="54"/>
      <c r="AC249" s="54"/>
      <c r="AD249" s="54"/>
      <c r="AE249" s="54"/>
      <c r="AF249" s="131">
        <v>11</v>
      </c>
    </row>
    <row r="250" s="131" customFormat="1" ht="11.5" customHeight="1">
      <c r="A250" s="705"/>
      <c r="B250" s="57"/>
      <c r="C250" s="57"/>
      <c r="D250" s="131"/>
      <c r="K250" s="53"/>
      <c r="L250" s="57"/>
      <c r="M250" s="57"/>
      <c r="N250" s="53"/>
      <c r="O250" s="53"/>
      <c r="P250" s="53"/>
      <c r="Q250" s="53"/>
      <c r="R250" s="57"/>
      <c r="S250" s="53"/>
      <c r="T250" s="53"/>
      <c r="U250" s="706"/>
      <c r="V250" s="53"/>
      <c r="W250" s="53"/>
      <c r="X250" s="53"/>
      <c r="Y250" s="53"/>
      <c r="Z250" s="53"/>
      <c r="AA250" s="56"/>
      <c r="AB250" s="54"/>
      <c r="AC250" s="54"/>
      <c r="AD250" s="54"/>
      <c r="AE250" s="54"/>
      <c r="AF250" s="131">
        <v>11</v>
      </c>
    </row>
    <row r="251" s="131" customFormat="1" ht="11.5" customHeight="1">
      <c r="A251" s="705"/>
      <c r="B251" s="57"/>
      <c r="C251" s="57"/>
      <c r="D251" s="131"/>
      <c r="K251" s="53"/>
      <c r="L251" s="57"/>
      <c r="M251" s="57"/>
      <c r="N251" s="53"/>
      <c r="O251" s="53"/>
      <c r="P251" s="53"/>
      <c r="Q251" s="53"/>
      <c r="R251" s="57"/>
      <c r="S251" s="53"/>
      <c r="T251" s="53"/>
      <c r="U251" s="706"/>
      <c r="V251" s="53"/>
      <c r="W251" s="53"/>
      <c r="X251" s="53"/>
      <c r="Y251" s="53"/>
      <c r="Z251" s="53"/>
      <c r="AA251" s="56"/>
      <c r="AB251" s="54"/>
      <c r="AC251" s="54"/>
      <c r="AD251" s="54"/>
      <c r="AE251" s="54"/>
      <c r="AF251" s="131">
        <v>11</v>
      </c>
    </row>
    <row r="252" s="131" customFormat="1" ht="11.5" customHeight="1">
      <c r="A252" s="705"/>
      <c r="B252" s="57"/>
      <c r="C252" s="57"/>
      <c r="D252" s="131"/>
      <c r="K252" s="53"/>
      <c r="L252" s="57"/>
      <c r="M252" s="57"/>
      <c r="N252" s="53"/>
      <c r="O252" s="53"/>
      <c r="P252" s="53"/>
      <c r="Q252" s="53"/>
      <c r="R252" s="57"/>
      <c r="S252" s="53"/>
      <c r="T252" s="53"/>
      <c r="U252" s="706"/>
      <c r="V252" s="53"/>
      <c r="W252" s="53"/>
      <c r="X252" s="53"/>
      <c r="Y252" s="53"/>
      <c r="Z252" s="53"/>
      <c r="AA252" s="56"/>
      <c r="AB252" s="54"/>
      <c r="AC252" s="54"/>
      <c r="AD252" s="54"/>
      <c r="AE252" s="54"/>
      <c r="AF252" s="131">
        <v>11</v>
      </c>
    </row>
    <row r="253" s="131" customFormat="1" ht="11.5" customHeight="1">
      <c r="A253" s="705"/>
      <c r="B253" s="57"/>
      <c r="C253" s="57"/>
      <c r="D253" s="131"/>
      <c r="K253" s="53"/>
      <c r="L253" s="57"/>
      <c r="M253" s="57"/>
      <c r="N253" s="53"/>
      <c r="O253" s="53"/>
      <c r="P253" s="53"/>
      <c r="Q253" s="53"/>
      <c r="R253" s="57"/>
      <c r="S253" s="53"/>
      <c r="T253" s="53"/>
      <c r="U253" s="706"/>
      <c r="V253" s="53"/>
      <c r="W253" s="53"/>
      <c r="X253" s="53"/>
      <c r="Y253" s="53"/>
      <c r="Z253" s="53"/>
      <c r="AA253" s="56"/>
      <c r="AB253" s="54"/>
      <c r="AC253" s="54"/>
      <c r="AD253" s="54"/>
      <c r="AE253" s="54"/>
      <c r="AF253" s="131">
        <v>11</v>
      </c>
    </row>
    <row r="254" s="131" customFormat="1" ht="11.5" customHeight="1">
      <c r="A254" s="705"/>
      <c r="B254" s="57"/>
      <c r="C254" s="57"/>
      <c r="D254" s="131"/>
      <c r="K254" s="53"/>
      <c r="L254" s="57"/>
      <c r="M254" s="57"/>
      <c r="N254" s="53"/>
      <c r="O254" s="53"/>
      <c r="P254" s="53"/>
      <c r="Q254" s="53"/>
      <c r="R254" s="57"/>
      <c r="S254" s="53"/>
      <c r="T254" s="53"/>
      <c r="U254" s="706"/>
      <c r="V254" s="53"/>
      <c r="W254" s="53"/>
      <c r="X254" s="53"/>
      <c r="Y254" s="53"/>
      <c r="Z254" s="53"/>
      <c r="AA254" s="56"/>
      <c r="AB254" s="54"/>
      <c r="AC254" s="54"/>
      <c r="AD254" s="54"/>
      <c r="AE254" s="54"/>
      <c r="AF254" s="131">
        <v>11</v>
      </c>
    </row>
    <row r="255" s="131" customFormat="1" ht="11.5" customHeight="1">
      <c r="A255" s="705"/>
      <c r="B255" s="57"/>
      <c r="C255" s="57"/>
      <c r="D255" s="131"/>
      <c r="K255" s="53"/>
      <c r="L255" s="57"/>
      <c r="M255" s="57"/>
      <c r="N255" s="53"/>
      <c r="O255" s="53"/>
      <c r="P255" s="53"/>
      <c r="Q255" s="53"/>
      <c r="R255" s="57"/>
      <c r="S255" s="53"/>
      <c r="T255" s="53"/>
      <c r="U255" s="706"/>
      <c r="V255" s="53"/>
      <c r="W255" s="53"/>
      <c r="X255" s="53"/>
      <c r="Y255" s="53"/>
      <c r="Z255" s="53"/>
      <c r="AA255" s="56"/>
      <c r="AB255" s="54"/>
      <c r="AC255" s="54"/>
      <c r="AD255" s="54"/>
      <c r="AE255" s="54"/>
      <c r="AF255" s="131">
        <v>11</v>
      </c>
    </row>
    <row r="256" s="131" customFormat="1" ht="11.5" customHeight="1">
      <c r="A256" s="705"/>
      <c r="B256" s="57"/>
      <c r="C256" s="57"/>
      <c r="D256" s="131"/>
      <c r="K256" s="53"/>
      <c r="L256" s="57"/>
      <c r="M256" s="57"/>
      <c r="N256" s="53"/>
      <c r="O256" s="53"/>
      <c r="P256" s="53"/>
      <c r="Q256" s="53"/>
      <c r="R256" s="57"/>
      <c r="S256" s="53"/>
      <c r="T256" s="53"/>
      <c r="U256" s="706"/>
      <c r="V256" s="53"/>
      <c r="W256" s="53"/>
      <c r="X256" s="53"/>
      <c r="Y256" s="53"/>
      <c r="Z256" s="53"/>
      <c r="AA256" s="56"/>
      <c r="AB256" s="54"/>
      <c r="AC256" s="54"/>
      <c r="AD256" s="54"/>
      <c r="AE256" s="54"/>
      <c r="AF256" s="131">
        <v>11</v>
      </c>
    </row>
    <row r="257" s="131" customFormat="1" ht="11.5" customHeight="1">
      <c r="A257" s="705"/>
      <c r="B257" s="57"/>
      <c r="C257" s="57"/>
      <c r="D257" s="131"/>
      <c r="K257" s="53"/>
      <c r="L257" s="57"/>
      <c r="M257" s="57"/>
      <c r="N257" s="53"/>
      <c r="O257" s="53"/>
      <c r="P257" s="53"/>
      <c r="Q257" s="53"/>
      <c r="R257" s="57"/>
      <c r="S257" s="53"/>
      <c r="T257" s="53"/>
      <c r="U257" s="706"/>
      <c r="V257" s="53"/>
      <c r="W257" s="53"/>
      <c r="X257" s="53"/>
      <c r="Y257" s="53"/>
      <c r="Z257" s="53"/>
      <c r="AA257" s="56"/>
      <c r="AB257" s="54"/>
      <c r="AC257" s="54"/>
      <c r="AD257" s="54"/>
      <c r="AE257" s="54"/>
      <c r="AF257" s="131">
        <v>11</v>
      </c>
    </row>
    <row r="258" s="131" customFormat="1" ht="11.5" customHeight="1">
      <c r="A258" s="705"/>
      <c r="B258" s="57"/>
      <c r="C258" s="57"/>
      <c r="D258" s="131"/>
      <c r="K258" s="53"/>
      <c r="L258" s="57"/>
      <c r="M258" s="57"/>
      <c r="N258" s="53"/>
      <c r="O258" s="53"/>
      <c r="P258" s="53"/>
      <c r="Q258" s="53"/>
      <c r="R258" s="57"/>
      <c r="S258" s="53"/>
      <c r="T258" s="53"/>
      <c r="U258" s="706"/>
      <c r="V258" s="53"/>
      <c r="W258" s="53"/>
      <c r="X258" s="53"/>
      <c r="Y258" s="53"/>
      <c r="Z258" s="53"/>
      <c r="AA258" s="56"/>
      <c r="AB258" s="54"/>
      <c r="AC258" s="54"/>
      <c r="AD258" s="54"/>
      <c r="AE258" s="54"/>
      <c r="AF258" s="131">
        <v>11</v>
      </c>
    </row>
    <row r="259" s="131" customFormat="1" ht="11.5" customHeight="1">
      <c r="A259" s="705"/>
      <c r="B259" s="57"/>
      <c r="C259" s="57"/>
      <c r="D259" s="131"/>
      <c r="K259" s="53"/>
      <c r="L259" s="57"/>
      <c r="M259" s="57"/>
      <c r="N259" s="53"/>
      <c r="O259" s="53"/>
      <c r="P259" s="53"/>
      <c r="Q259" s="53"/>
      <c r="R259" s="57"/>
      <c r="S259" s="53"/>
      <c r="T259" s="53"/>
      <c r="U259" s="706"/>
      <c r="V259" s="53"/>
      <c r="W259" s="53"/>
      <c r="X259" s="53"/>
      <c r="Y259" s="53"/>
      <c r="Z259" s="53"/>
      <c r="AA259" s="56"/>
      <c r="AB259" s="54"/>
      <c r="AC259" s="54"/>
      <c r="AD259" s="54"/>
      <c r="AE259" s="54"/>
      <c r="AF259" s="131">
        <v>11</v>
      </c>
    </row>
    <row r="260" s="131" customFormat="1" ht="11.5" customHeight="1">
      <c r="A260" s="705"/>
      <c r="B260" s="57"/>
      <c r="C260" s="57"/>
      <c r="D260" s="131"/>
      <c r="K260" s="53"/>
      <c r="L260" s="57"/>
      <c r="M260" s="57"/>
      <c r="N260" s="53"/>
      <c r="O260" s="53"/>
      <c r="P260" s="53"/>
      <c r="Q260" s="53"/>
      <c r="R260" s="57"/>
      <c r="S260" s="53"/>
      <c r="T260" s="53"/>
      <c r="U260" s="706"/>
      <c r="V260" s="53"/>
      <c r="W260" s="53"/>
      <c r="X260" s="53"/>
      <c r="Y260" s="53"/>
      <c r="Z260" s="53"/>
      <c r="AA260" s="56"/>
      <c r="AB260" s="54"/>
      <c r="AC260" s="54"/>
      <c r="AD260" s="54"/>
      <c r="AE260" s="54"/>
      <c r="AF260" s="131">
        <v>11</v>
      </c>
    </row>
    <row r="261" s="131" customFormat="1" ht="11.5" customHeight="1">
      <c r="A261" s="705"/>
      <c r="B261" s="57"/>
      <c r="C261" s="57"/>
      <c r="D261" s="131"/>
      <c r="K261" s="53"/>
      <c r="L261" s="57"/>
      <c r="M261" s="57"/>
      <c r="N261" s="53"/>
      <c r="O261" s="53"/>
      <c r="P261" s="53"/>
      <c r="Q261" s="53"/>
      <c r="R261" s="57"/>
      <c r="S261" s="53"/>
      <c r="T261" s="53"/>
      <c r="U261" s="706"/>
      <c r="V261" s="53"/>
      <c r="W261" s="53"/>
      <c r="X261" s="53"/>
      <c r="Y261" s="53"/>
      <c r="Z261" s="53"/>
      <c r="AA261" s="56"/>
      <c r="AB261" s="54"/>
      <c r="AC261" s="54"/>
      <c r="AD261" s="54"/>
      <c r="AE261" s="54"/>
      <c r="AF261" s="131">
        <v>11</v>
      </c>
    </row>
    <row r="262" s="131" customFormat="1" ht="11.5" customHeight="1">
      <c r="A262" s="705"/>
      <c r="B262" s="57"/>
      <c r="C262" s="57"/>
      <c r="D262" s="131"/>
      <c r="K262" s="53"/>
      <c r="L262" s="57"/>
      <c r="M262" s="57"/>
      <c r="N262" s="53"/>
      <c r="O262" s="53"/>
      <c r="P262" s="53"/>
      <c r="Q262" s="53"/>
      <c r="R262" s="57"/>
      <c r="S262" s="53"/>
      <c r="T262" s="53"/>
      <c r="U262" s="706"/>
      <c r="V262" s="53"/>
      <c r="W262" s="53"/>
      <c r="X262" s="53"/>
      <c r="Y262" s="53"/>
      <c r="Z262" s="53"/>
      <c r="AA262" s="56"/>
      <c r="AB262" s="54"/>
      <c r="AC262" s="54"/>
      <c r="AD262" s="54"/>
      <c r="AE262" s="54"/>
      <c r="AF262" s="131">
        <v>11</v>
      </c>
    </row>
    <row r="263" s="131" customFormat="1" ht="11.5" customHeight="1">
      <c r="A263" s="705"/>
      <c r="B263" s="57"/>
      <c r="C263" s="57"/>
      <c r="D263" s="131"/>
      <c r="K263" s="53"/>
      <c r="L263" s="57"/>
      <c r="M263" s="57"/>
      <c r="N263" s="53"/>
      <c r="O263" s="53"/>
      <c r="P263" s="53"/>
      <c r="Q263" s="53"/>
      <c r="R263" s="57"/>
      <c r="S263" s="53"/>
      <c r="T263" s="53"/>
      <c r="U263" s="706"/>
      <c r="V263" s="53"/>
      <c r="W263" s="53"/>
      <c r="X263" s="53"/>
      <c r="Y263" s="53"/>
      <c r="Z263" s="53"/>
      <c r="AA263" s="56"/>
      <c r="AB263" s="54"/>
      <c r="AC263" s="54"/>
      <c r="AD263" s="54"/>
      <c r="AE263" s="54"/>
      <c r="AF263" s="131">
        <v>11</v>
      </c>
    </row>
    <row r="264" s="131" customFormat="1" ht="11.5" customHeight="1">
      <c r="A264" s="705"/>
      <c r="B264" s="57"/>
      <c r="C264" s="57"/>
      <c r="D264" s="131"/>
      <c r="K264" s="53"/>
      <c r="L264" s="57"/>
      <c r="M264" s="57"/>
      <c r="N264" s="53"/>
      <c r="O264" s="53"/>
      <c r="P264" s="53"/>
      <c r="Q264" s="53"/>
      <c r="R264" s="57"/>
      <c r="S264" s="53"/>
      <c r="T264" s="53"/>
      <c r="U264" s="706"/>
      <c r="V264" s="53"/>
      <c r="W264" s="53"/>
      <c r="X264" s="53"/>
      <c r="Y264" s="53"/>
      <c r="Z264" s="53"/>
      <c r="AA264" s="56"/>
      <c r="AB264" s="54"/>
      <c r="AC264" s="54"/>
      <c r="AD264" s="54"/>
      <c r="AE264" s="54"/>
      <c r="AF264" s="131">
        <v>11</v>
      </c>
    </row>
    <row r="265" s="131" customFormat="1" ht="11.5" customHeight="1">
      <c r="A265" s="705"/>
      <c r="B265" s="57"/>
      <c r="C265" s="57"/>
      <c r="D265" s="131"/>
      <c r="K265" s="53"/>
      <c r="L265" s="57"/>
      <c r="M265" s="57"/>
      <c r="N265" s="53"/>
      <c r="O265" s="53"/>
      <c r="P265" s="53"/>
      <c r="Q265" s="53"/>
      <c r="R265" s="57"/>
      <c r="S265" s="53"/>
      <c r="T265" s="53"/>
      <c r="U265" s="706"/>
      <c r="V265" s="53"/>
      <c r="W265" s="53"/>
      <c r="X265" s="53"/>
      <c r="Y265" s="53"/>
      <c r="Z265" s="53"/>
      <c r="AA265" s="56"/>
      <c r="AB265" s="54"/>
      <c r="AC265" s="54"/>
      <c r="AD265" s="54"/>
      <c r="AE265" s="54"/>
      <c r="AF265" s="131">
        <v>11</v>
      </c>
    </row>
    <row r="266" s="131" customFormat="1" ht="11.5" customHeight="1">
      <c r="A266" s="705"/>
      <c r="B266" s="57"/>
      <c r="C266" s="57"/>
      <c r="D266" s="131"/>
      <c r="K266" s="53"/>
      <c r="L266" s="57"/>
      <c r="M266" s="57"/>
      <c r="N266" s="53"/>
      <c r="O266" s="53"/>
      <c r="P266" s="53"/>
      <c r="Q266" s="53"/>
      <c r="R266" s="57"/>
      <c r="S266" s="53"/>
      <c r="T266" s="53"/>
      <c r="U266" s="706"/>
      <c r="V266" s="53"/>
      <c r="W266" s="53"/>
      <c r="X266" s="53"/>
      <c r="Y266" s="53"/>
      <c r="Z266" s="53"/>
      <c r="AA266" s="56"/>
      <c r="AB266" s="54"/>
      <c r="AC266" s="54"/>
      <c r="AD266" s="54"/>
      <c r="AE266" s="54"/>
      <c r="AF266" s="131">
        <v>11</v>
      </c>
    </row>
    <row r="267" s="131" customFormat="1" ht="11.5" customHeight="1">
      <c r="A267" s="705"/>
      <c r="B267" s="57"/>
      <c r="C267" s="57"/>
      <c r="D267" s="131"/>
      <c r="K267" s="53"/>
      <c r="L267" s="57"/>
      <c r="M267" s="57"/>
      <c r="N267" s="53"/>
      <c r="O267" s="53"/>
      <c r="P267" s="53"/>
      <c r="Q267" s="53"/>
      <c r="R267" s="57"/>
      <c r="S267" s="53"/>
      <c r="T267" s="53"/>
      <c r="U267" s="706"/>
      <c r="V267" s="53"/>
      <c r="W267" s="53"/>
      <c r="X267" s="53"/>
      <c r="Y267" s="53"/>
      <c r="Z267" s="53"/>
      <c r="AA267" s="56"/>
      <c r="AB267" s="54"/>
      <c r="AC267" s="54"/>
      <c r="AD267" s="54"/>
      <c r="AE267" s="54"/>
      <c r="AF267" s="131">
        <v>11</v>
      </c>
    </row>
    <row r="268" s="131" customFormat="1" ht="11.5" customHeight="1">
      <c r="A268" s="705"/>
      <c r="B268" s="57"/>
      <c r="C268" s="57"/>
      <c r="D268" s="131"/>
      <c r="K268" s="53"/>
      <c r="L268" s="57"/>
      <c r="M268" s="57"/>
      <c r="N268" s="53"/>
      <c r="O268" s="53"/>
      <c r="P268" s="53"/>
      <c r="Q268" s="53"/>
      <c r="R268" s="57"/>
      <c r="S268" s="53"/>
      <c r="T268" s="53"/>
      <c r="U268" s="706"/>
      <c r="V268" s="53"/>
      <c r="W268" s="53"/>
      <c r="X268" s="53"/>
      <c r="Y268" s="53"/>
      <c r="Z268" s="53"/>
      <c r="AA268" s="56"/>
      <c r="AB268" s="54"/>
      <c r="AC268" s="54"/>
      <c r="AD268" s="54"/>
      <c r="AE268" s="54"/>
      <c r="AF268" s="131">
        <v>11</v>
      </c>
    </row>
    <row r="269" s="131" customFormat="1" ht="11.5" customHeight="1">
      <c r="A269" s="705"/>
      <c r="B269" s="57"/>
      <c r="C269" s="57"/>
      <c r="D269" s="131"/>
      <c r="K269" s="53"/>
      <c r="L269" s="57"/>
      <c r="M269" s="57"/>
      <c r="N269" s="53"/>
      <c r="O269" s="53"/>
      <c r="P269" s="53"/>
      <c r="Q269" s="53"/>
      <c r="R269" s="57"/>
      <c r="S269" s="53"/>
      <c r="T269" s="53"/>
      <c r="U269" s="706"/>
      <c r="V269" s="53"/>
      <c r="W269" s="53"/>
      <c r="X269" s="53"/>
      <c r="Y269" s="53"/>
      <c r="Z269" s="53"/>
      <c r="AA269" s="56"/>
      <c r="AB269" s="54"/>
      <c r="AC269" s="54"/>
      <c r="AD269" s="54"/>
      <c r="AE269" s="54"/>
      <c r="AF269" s="131">
        <v>11</v>
      </c>
    </row>
    <row r="270" s="131" customFormat="1" ht="11.5" customHeight="1">
      <c r="A270" s="705"/>
      <c r="B270" s="57"/>
      <c r="C270" s="57"/>
      <c r="D270" s="131"/>
      <c r="K270" s="53"/>
      <c r="L270" s="57"/>
      <c r="M270" s="57"/>
      <c r="N270" s="53"/>
      <c r="O270" s="53"/>
      <c r="P270" s="53"/>
      <c r="Q270" s="53"/>
      <c r="R270" s="57"/>
      <c r="S270" s="53"/>
      <c r="T270" s="53"/>
      <c r="U270" s="706"/>
      <c r="V270" s="53"/>
      <c r="W270" s="53"/>
      <c r="X270" s="53"/>
      <c r="Y270" s="53"/>
      <c r="Z270" s="53"/>
      <c r="AA270" s="56"/>
      <c r="AB270" s="54"/>
      <c r="AC270" s="54"/>
      <c r="AD270" s="54"/>
      <c r="AE270" s="54"/>
      <c r="AF270" s="131">
        <v>11</v>
      </c>
    </row>
    <row r="271" s="131" customFormat="1" ht="11.5" customHeight="1">
      <c r="A271" s="705"/>
      <c r="B271" s="57"/>
      <c r="C271" s="57"/>
      <c r="D271" s="131"/>
      <c r="K271" s="53"/>
      <c r="L271" s="57"/>
      <c r="M271" s="57"/>
      <c r="N271" s="53"/>
      <c r="O271" s="53"/>
      <c r="P271" s="53"/>
      <c r="Q271" s="53"/>
      <c r="R271" s="57"/>
      <c r="S271" s="53"/>
      <c r="T271" s="53"/>
      <c r="U271" s="706"/>
      <c r="V271" s="53"/>
      <c r="W271" s="53"/>
      <c r="X271" s="53"/>
      <c r="Y271" s="53"/>
      <c r="Z271" s="53"/>
      <c r="AA271" s="56"/>
      <c r="AB271" s="54"/>
      <c r="AC271" s="54"/>
      <c r="AD271" s="54"/>
      <c r="AE271" s="54"/>
      <c r="AF271" s="131">
        <v>11</v>
      </c>
    </row>
    <row r="272" s="131" customFormat="1" ht="11.5" customHeight="1">
      <c r="A272" s="705"/>
      <c r="B272" s="57"/>
      <c r="C272" s="57"/>
      <c r="D272" s="131"/>
      <c r="K272" s="53"/>
      <c r="L272" s="57"/>
      <c r="M272" s="57"/>
      <c r="N272" s="53"/>
      <c r="O272" s="53"/>
      <c r="P272" s="53"/>
      <c r="Q272" s="53"/>
      <c r="R272" s="57"/>
      <c r="S272" s="53"/>
      <c r="T272" s="53"/>
      <c r="U272" s="706"/>
      <c r="V272" s="53"/>
      <c r="W272" s="53"/>
      <c r="X272" s="53"/>
      <c r="Y272" s="53"/>
      <c r="Z272" s="53"/>
      <c r="AA272" s="56"/>
      <c r="AB272" s="54"/>
      <c r="AC272" s="54"/>
      <c r="AD272" s="54"/>
      <c r="AE272" s="54"/>
      <c r="AF272" s="131">
        <v>11</v>
      </c>
    </row>
    <row r="273" s="131" customFormat="1" ht="11.5" customHeight="1">
      <c r="A273" s="705"/>
      <c r="B273" s="57"/>
      <c r="C273" s="57"/>
      <c r="D273" s="131"/>
      <c r="K273" s="53"/>
      <c r="L273" s="57"/>
      <c r="M273" s="57"/>
      <c r="N273" s="53"/>
      <c r="O273" s="53"/>
      <c r="P273" s="53"/>
      <c r="Q273" s="53"/>
      <c r="R273" s="57"/>
      <c r="S273" s="53"/>
      <c r="T273" s="53"/>
      <c r="U273" s="706"/>
      <c r="V273" s="53"/>
      <c r="W273" s="53"/>
      <c r="X273" s="53"/>
      <c r="Y273" s="53"/>
      <c r="Z273" s="53"/>
      <c r="AA273" s="56"/>
      <c r="AB273" s="54"/>
      <c r="AC273" s="54"/>
      <c r="AD273" s="54"/>
      <c r="AE273" s="54"/>
      <c r="AF273" s="131">
        <v>11</v>
      </c>
    </row>
    <row r="274" s="131" customFormat="1" ht="11.5" customHeight="1">
      <c r="A274" s="705"/>
      <c r="B274" s="57"/>
      <c r="C274" s="57"/>
      <c r="D274" s="131"/>
      <c r="K274" s="53"/>
      <c r="L274" s="57"/>
      <c r="M274" s="57"/>
      <c r="N274" s="53"/>
      <c r="O274" s="53"/>
      <c r="P274" s="53"/>
      <c r="Q274" s="53"/>
      <c r="R274" s="57"/>
      <c r="S274" s="53"/>
      <c r="T274" s="53"/>
      <c r="U274" s="706"/>
      <c r="V274" s="53"/>
      <c r="W274" s="53"/>
      <c r="X274" s="53"/>
      <c r="Y274" s="53"/>
      <c r="Z274" s="53"/>
      <c r="AA274" s="56"/>
      <c r="AB274" s="54"/>
      <c r="AC274" s="54"/>
      <c r="AD274" s="54"/>
      <c r="AE274" s="54"/>
      <c r="AF274" s="131">
        <v>11</v>
      </c>
    </row>
    <row r="275" s="131" customFormat="1" ht="11.5" customHeight="1">
      <c r="A275" s="705"/>
      <c r="B275" s="57"/>
      <c r="C275" s="57"/>
      <c r="D275" s="131"/>
      <c r="K275" s="53"/>
      <c r="L275" s="57"/>
      <c r="M275" s="57"/>
      <c r="N275" s="53"/>
      <c r="O275" s="53"/>
      <c r="P275" s="53"/>
      <c r="Q275" s="53"/>
      <c r="R275" s="57"/>
      <c r="S275" s="53"/>
      <c r="T275" s="53"/>
      <c r="U275" s="706"/>
      <c r="V275" s="53"/>
      <c r="W275" s="53"/>
      <c r="X275" s="53"/>
      <c r="Y275" s="53"/>
      <c r="Z275" s="53"/>
      <c r="AA275" s="56"/>
      <c r="AB275" s="54"/>
      <c r="AC275" s="54"/>
      <c r="AD275" s="54"/>
      <c r="AE275" s="54"/>
      <c r="AF275" s="131">
        <v>11</v>
      </c>
    </row>
    <row r="276" s="131" customFormat="1" ht="11.5" customHeight="1">
      <c r="A276" s="705"/>
      <c r="B276" s="57"/>
      <c r="C276" s="57"/>
      <c r="D276" s="131"/>
      <c r="K276" s="53"/>
      <c r="L276" s="57"/>
      <c r="M276" s="57"/>
      <c r="N276" s="53"/>
      <c r="O276" s="53"/>
      <c r="P276" s="53"/>
      <c r="Q276" s="53"/>
      <c r="R276" s="57"/>
      <c r="S276" s="53"/>
      <c r="T276" s="53"/>
      <c r="U276" s="706"/>
      <c r="V276" s="53"/>
      <c r="W276" s="53"/>
      <c r="X276" s="53"/>
      <c r="Y276" s="53"/>
      <c r="Z276" s="53"/>
      <c r="AA276" s="56"/>
      <c r="AB276" s="54"/>
      <c r="AC276" s="54"/>
      <c r="AD276" s="54"/>
      <c r="AE276" s="54"/>
      <c r="AF276" s="131">
        <v>11</v>
      </c>
    </row>
    <row r="277" s="131" customFormat="1" ht="11.5" customHeight="1">
      <c r="A277" s="705"/>
      <c r="B277" s="57"/>
      <c r="C277" s="57"/>
      <c r="D277" s="131"/>
      <c r="K277" s="53"/>
      <c r="L277" s="57"/>
      <c r="M277" s="57"/>
      <c r="N277" s="53"/>
      <c r="O277" s="53"/>
      <c r="P277" s="53"/>
      <c r="Q277" s="53"/>
      <c r="R277" s="57"/>
      <c r="S277" s="53"/>
      <c r="T277" s="53"/>
      <c r="U277" s="706"/>
      <c r="V277" s="53"/>
      <c r="W277" s="53"/>
      <c r="X277" s="53"/>
      <c r="Y277" s="53"/>
      <c r="Z277" s="53"/>
      <c r="AA277" s="56"/>
      <c r="AB277" s="54"/>
      <c r="AC277" s="54"/>
      <c r="AD277" s="54"/>
      <c r="AE277" s="54"/>
      <c r="AF277" s="131">
        <v>11</v>
      </c>
    </row>
    <row r="278" s="131" customFormat="1" ht="11.5" customHeight="1">
      <c r="A278" s="705"/>
      <c r="B278" s="57"/>
      <c r="C278" s="57"/>
      <c r="D278" s="131"/>
      <c r="K278" s="53"/>
      <c r="L278" s="57"/>
      <c r="M278" s="57"/>
      <c r="N278" s="53"/>
      <c r="O278" s="53"/>
      <c r="P278" s="53"/>
      <c r="Q278" s="53"/>
      <c r="R278" s="57"/>
      <c r="S278" s="53"/>
      <c r="T278" s="53"/>
      <c r="U278" s="706"/>
      <c r="V278" s="53"/>
      <c r="W278" s="53"/>
      <c r="X278" s="53"/>
      <c r="Y278" s="53"/>
      <c r="Z278" s="53"/>
      <c r="AA278" s="56"/>
      <c r="AB278" s="54"/>
      <c r="AC278" s="54"/>
      <c r="AD278" s="54"/>
      <c r="AE278" s="54"/>
      <c r="AF278" s="131">
        <v>11</v>
      </c>
    </row>
    <row r="279" s="131" customFormat="1" ht="11.5" customHeight="1">
      <c r="A279" s="705"/>
      <c r="B279" s="57"/>
      <c r="C279" s="57"/>
      <c r="D279" s="131"/>
      <c r="K279" s="53"/>
      <c r="L279" s="57"/>
      <c r="M279" s="57"/>
      <c r="N279" s="53"/>
      <c r="O279" s="53"/>
      <c r="P279" s="53"/>
      <c r="Q279" s="53"/>
      <c r="R279" s="57"/>
      <c r="S279" s="53"/>
      <c r="T279" s="53"/>
      <c r="U279" s="706"/>
      <c r="V279" s="53"/>
      <c r="W279" s="53"/>
      <c r="X279" s="53"/>
      <c r="Y279" s="53"/>
      <c r="Z279" s="53"/>
      <c r="AA279" s="56"/>
      <c r="AB279" s="54"/>
      <c r="AC279" s="54"/>
      <c r="AD279" s="54"/>
      <c r="AE279" s="54"/>
      <c r="AF279" s="131">
        <v>11</v>
      </c>
    </row>
    <row r="280" s="131" customFormat="1" ht="11.5" customHeight="1">
      <c r="A280" s="705"/>
      <c r="B280" s="57"/>
      <c r="C280" s="57"/>
      <c r="D280" s="131"/>
      <c r="K280" s="53"/>
      <c r="L280" s="57"/>
      <c r="M280" s="57"/>
      <c r="N280" s="53"/>
      <c r="O280" s="53"/>
      <c r="P280" s="53"/>
      <c r="Q280" s="53"/>
      <c r="R280" s="57"/>
      <c r="S280" s="53"/>
      <c r="T280" s="53"/>
      <c r="U280" s="706"/>
      <c r="V280" s="53"/>
      <c r="W280" s="53"/>
      <c r="X280" s="53"/>
      <c r="Y280" s="53"/>
      <c r="Z280" s="53"/>
      <c r="AA280" s="56"/>
      <c r="AB280" s="54"/>
      <c r="AC280" s="54"/>
      <c r="AD280" s="54"/>
      <c r="AE280" s="54"/>
      <c r="AF280" s="131">
        <v>11</v>
      </c>
    </row>
    <row r="281" s="131" customFormat="1" ht="11.5" customHeight="1">
      <c r="A281" s="705"/>
      <c r="B281" s="57"/>
      <c r="C281" s="57"/>
      <c r="D281" s="131"/>
      <c r="K281" s="53"/>
      <c r="L281" s="57"/>
      <c r="M281" s="57"/>
      <c r="N281" s="53"/>
      <c r="O281" s="53"/>
      <c r="P281" s="53"/>
      <c r="Q281" s="53"/>
      <c r="R281" s="57"/>
      <c r="S281" s="53"/>
      <c r="T281" s="53"/>
      <c r="U281" s="706"/>
      <c r="V281" s="53"/>
      <c r="W281" s="53"/>
      <c r="X281" s="53"/>
      <c r="Y281" s="53"/>
      <c r="Z281" s="53"/>
      <c r="AA281" s="56"/>
      <c r="AB281" s="54"/>
      <c r="AC281" s="54"/>
      <c r="AD281" s="54"/>
      <c r="AE281" s="54"/>
      <c r="AF281" s="131">
        <v>11</v>
      </c>
    </row>
    <row r="282" s="131" customFormat="1" ht="11.5" customHeight="1">
      <c r="A282" s="705"/>
      <c r="B282" s="57"/>
      <c r="C282" s="57"/>
      <c r="D282" s="131"/>
      <c r="K282" s="53"/>
      <c r="L282" s="57"/>
      <c r="M282" s="57"/>
      <c r="N282" s="53"/>
      <c r="O282" s="53"/>
      <c r="P282" s="53"/>
      <c r="Q282" s="53"/>
      <c r="R282" s="57"/>
      <c r="S282" s="53"/>
      <c r="T282" s="53"/>
      <c r="U282" s="706"/>
      <c r="V282" s="53"/>
      <c r="W282" s="53"/>
      <c r="X282" s="53"/>
      <c r="Y282" s="53"/>
      <c r="Z282" s="53"/>
      <c r="AA282" s="56"/>
      <c r="AB282" s="54"/>
      <c r="AC282" s="54"/>
      <c r="AD282" s="54"/>
      <c r="AE282" s="54"/>
      <c r="AF282" s="131">
        <v>11</v>
      </c>
    </row>
    <row r="283" s="131" customFormat="1" ht="11.5" customHeight="1">
      <c r="A283" s="705"/>
      <c r="B283" s="57"/>
      <c r="C283" s="57"/>
      <c r="D283" s="131"/>
      <c r="K283" s="53"/>
      <c r="L283" s="57"/>
      <c r="M283" s="57"/>
      <c r="N283" s="53"/>
      <c r="O283" s="53"/>
      <c r="P283" s="53"/>
      <c r="Q283" s="53"/>
      <c r="R283" s="57"/>
      <c r="S283" s="53"/>
      <c r="T283" s="53"/>
      <c r="U283" s="706"/>
      <c r="V283" s="53"/>
      <c r="W283" s="53"/>
      <c r="X283" s="53"/>
      <c r="Y283" s="53"/>
      <c r="Z283" s="53"/>
      <c r="AA283" s="56"/>
      <c r="AB283" s="54"/>
      <c r="AC283" s="54"/>
      <c r="AD283" s="54"/>
      <c r="AE283" s="54"/>
      <c r="AF283" s="131">
        <v>11</v>
      </c>
    </row>
    <row r="284" s="131" customFormat="1" ht="11.5" customHeight="1">
      <c r="A284" s="705"/>
      <c r="B284" s="57"/>
      <c r="C284" s="57"/>
      <c r="D284" s="131"/>
      <c r="K284" s="53"/>
      <c r="L284" s="57"/>
      <c r="M284" s="57"/>
      <c r="N284" s="53"/>
      <c r="O284" s="53"/>
      <c r="P284" s="53"/>
      <c r="Q284" s="53"/>
      <c r="R284" s="57"/>
      <c r="S284" s="53"/>
      <c r="T284" s="53"/>
      <c r="U284" s="706"/>
      <c r="V284" s="53"/>
      <c r="W284" s="53"/>
      <c r="X284" s="53"/>
      <c r="Y284" s="53"/>
      <c r="Z284" s="53"/>
      <c r="AA284" s="56"/>
      <c r="AB284" s="54"/>
      <c r="AC284" s="54"/>
      <c r="AD284" s="54"/>
      <c r="AE284" s="54"/>
      <c r="AF284" s="131">
        <v>11</v>
      </c>
    </row>
    <row r="285" s="131" customFormat="1" ht="11.5" customHeight="1">
      <c r="A285" s="705"/>
      <c r="B285" s="57"/>
      <c r="C285" s="57"/>
      <c r="D285" s="131"/>
      <c r="K285" s="53"/>
      <c r="L285" s="57"/>
      <c r="M285" s="57"/>
      <c r="N285" s="53"/>
      <c r="O285" s="53"/>
      <c r="P285" s="53"/>
      <c r="Q285" s="53"/>
      <c r="R285" s="57"/>
      <c r="S285" s="53"/>
      <c r="T285" s="53"/>
      <c r="U285" s="706"/>
      <c r="V285" s="53"/>
      <c r="W285" s="53"/>
      <c r="X285" s="53"/>
      <c r="Y285" s="53"/>
      <c r="Z285" s="53"/>
      <c r="AA285" s="56"/>
      <c r="AB285" s="54"/>
      <c r="AC285" s="54"/>
      <c r="AD285" s="54"/>
      <c r="AE285" s="54"/>
      <c r="AF285" s="131">
        <v>11</v>
      </c>
    </row>
    <row r="286" s="131" customFormat="1" ht="11.5" customHeight="1">
      <c r="A286" s="705"/>
      <c r="B286" s="57"/>
      <c r="C286" s="57"/>
      <c r="D286" s="131"/>
      <c r="K286" s="53"/>
      <c r="L286" s="57"/>
      <c r="M286" s="57"/>
      <c r="N286" s="53"/>
      <c r="O286" s="53"/>
      <c r="P286" s="53"/>
      <c r="Q286" s="53"/>
      <c r="R286" s="57"/>
      <c r="S286" s="53"/>
      <c r="T286" s="53"/>
      <c r="U286" s="706"/>
      <c r="V286" s="53"/>
      <c r="W286" s="53"/>
      <c r="X286" s="53"/>
      <c r="Y286" s="53"/>
      <c r="Z286" s="53"/>
      <c r="AA286" s="56"/>
      <c r="AB286" s="54"/>
      <c r="AC286" s="54"/>
      <c r="AD286" s="54"/>
      <c r="AE286" s="54"/>
      <c r="AF286" s="131">
        <v>11</v>
      </c>
    </row>
    <row r="287" s="131" customFormat="1" ht="11.5" customHeight="1">
      <c r="A287" s="705"/>
      <c r="B287" s="57"/>
      <c r="C287" s="57"/>
      <c r="D287" s="131"/>
      <c r="K287" s="53"/>
      <c r="L287" s="57"/>
      <c r="M287" s="57"/>
      <c r="N287" s="53"/>
      <c r="O287" s="53"/>
      <c r="P287" s="53"/>
      <c r="Q287" s="53"/>
      <c r="R287" s="57"/>
      <c r="S287" s="53"/>
      <c r="T287" s="53"/>
      <c r="U287" s="706"/>
      <c r="V287" s="53"/>
      <c r="W287" s="53"/>
      <c r="X287" s="53"/>
      <c r="Y287" s="53"/>
      <c r="Z287" s="53"/>
      <c r="AA287" s="56"/>
      <c r="AB287" s="54"/>
      <c r="AC287" s="54"/>
      <c r="AD287" s="54"/>
      <c r="AE287" s="54"/>
      <c r="AF287" s="131">
        <v>11</v>
      </c>
    </row>
    <row r="288" s="131" customFormat="1" ht="11.5" customHeight="1">
      <c r="A288" s="705"/>
      <c r="B288" s="57"/>
      <c r="C288" s="57"/>
      <c r="D288" s="131"/>
      <c r="K288" s="53"/>
      <c r="L288" s="57"/>
      <c r="M288" s="57"/>
      <c r="N288" s="53"/>
      <c r="O288" s="53"/>
      <c r="P288" s="53"/>
      <c r="Q288" s="53"/>
      <c r="R288" s="57"/>
      <c r="S288" s="53"/>
      <c r="T288" s="53"/>
      <c r="U288" s="706"/>
      <c r="V288" s="53"/>
      <c r="W288" s="53"/>
      <c r="X288" s="53"/>
      <c r="Y288" s="53"/>
      <c r="Z288" s="53"/>
      <c r="AA288" s="56"/>
      <c r="AB288" s="54"/>
      <c r="AC288" s="54"/>
      <c r="AD288" s="54"/>
      <c r="AE288" s="54"/>
      <c r="AF288" s="131">
        <v>11</v>
      </c>
    </row>
    <row r="289" ht="11.5" customHeight="1">
      <c r="AF289" s="50">
        <v>11</v>
      </c>
    </row>
    <row r="290" ht="11.5" customHeight="1">
      <c r="AF290" s="50">
        <v>11</v>
      </c>
    </row>
    <row r="291" ht="11.5" customHeight="1">
      <c r="AF291" s="50">
        <v>11</v>
      </c>
    </row>
    <row r="292" ht="11.5" customHeight="1">
      <c r="A292" s="773"/>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73"/>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73"/>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73"/>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73"/>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73"/>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73"/>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73"/>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73"/>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73"/>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73"/>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05"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06">
        <v>8</v>
      </c>
      <c r="V303" s="53">
        <v>8</v>
      </c>
      <c r="W303" s="53">
        <v>8</v>
      </c>
      <c r="X303" s="53">
        <v>8</v>
      </c>
      <c r="Y303" s="53">
        <v>8</v>
      </c>
      <c r="Z303" s="53">
        <v>8</v>
      </c>
      <c r="AA303" s="56">
        <v>8</v>
      </c>
      <c r="AB303" s="56">
        <v>8</v>
      </c>
      <c r="AC303" s="56">
        <v>8</v>
      </c>
      <c r="AD303" s="56">
        <v>8</v>
      </c>
      <c r="AE303" s="56">
        <v>8</v>
      </c>
      <c r="AF303" s="50">
        <v>11</v>
      </c>
    </row>
  </sheetData>
  <sheetProtection autoFilter="0" deleteColumns="1" deleteRows="1" formatCells="1" formatColumns="0" formatRows="0" insertColumns="1" insertHyperlinks="1" insertRows="1" objects="0" pivotTables="1" scenarios="0" selectLockedCells="0" selectUnlockedCells="0" sheet="1" sort="1"/>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E2005A-00DF-4D26-B70B-002500F7001E}"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580080-0046-4E5F-80BC-0014005F000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4C00CA-0071-486D-A337-00B4008C0068}"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F80060-0089-41DA-B946-00D100DD002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6D0089-0023-4565-9BCB-00C900860080}"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4C003B-0003-4FE4-8C19-0082009D008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8E0049-00D2-4160-BADB-000800EF008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240082-003C-49A4-A261-00DB001A00A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F20094-0054-4D6F-BCD4-00CB004B00C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A90021-000F-4C1A-B862-00D4001700F1}"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AA00ED-00EF-41FB-A27E-00A6002900FF}"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74"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0"/>
      <c r="L4" s="140"/>
      <c r="M4" s="140"/>
      <c r="CF4" s="50">
        <v>3</v>
      </c>
    </row>
    <row r="5" ht="29.25" customHeight="1">
      <c r="C5" s="50"/>
      <c r="D5" s="775"/>
      <c r="E5" s="452" t="str">
        <f>FHD20_NAME_FORM</f>
        <v xml:space="preserve">Форма 11. Информация о расходах на капитальный и текущий ремонт основных средств</v>
      </c>
      <c r="F5" s="452"/>
      <c r="G5" s="452"/>
      <c r="H5" s="452"/>
      <c r="I5" s="452"/>
      <c r="J5" s="452"/>
      <c r="K5" s="452"/>
      <c r="L5" s="51"/>
      <c r="M5" s="51"/>
      <c r="CF5" s="50">
        <v>28</v>
      </c>
    </row>
    <row r="6" s="50" customFormat="1" ht="16.800000000000001" customHeight="1">
      <c r="A6" s="774"/>
      <c r="B6" s="56"/>
      <c r="C6" s="50"/>
      <c r="D6" s="776"/>
      <c r="E6" s="303" t="str">
        <f>IF(org=0,"Не определено",org)</f>
        <v xml:space="preserve">АО "ДГК" СП "Биробиджанская ТЭЦ"</v>
      </c>
      <c r="F6" s="303"/>
      <c r="G6" s="303"/>
      <c r="H6" s="303"/>
      <c r="I6" s="303"/>
      <c r="J6" s="303"/>
      <c r="K6" s="303"/>
      <c r="L6" s="51"/>
      <c r="M6" s="51"/>
      <c r="U6" s="57"/>
      <c r="V6" s="57"/>
      <c r="W6" s="56"/>
      <c r="X6" s="56"/>
      <c r="Y6" s="56"/>
      <c r="Z6" s="56"/>
      <c r="AA6" s="56"/>
      <c r="CF6" s="50">
        <v>16</v>
      </c>
    </row>
    <row r="7" ht="11.5" customHeight="1">
      <c r="C7" s="50"/>
      <c r="D7" s="50"/>
      <c r="E7" s="50"/>
      <c r="F7" s="50"/>
      <c r="G7" s="51"/>
      <c r="H7" s="51"/>
      <c r="I7" s="51"/>
      <c r="J7" s="51"/>
      <c r="K7" s="777"/>
      <c r="L7" s="777"/>
      <c r="M7" s="777"/>
      <c r="R7" s="341"/>
      <c r="CF7" s="50">
        <v>11</v>
      </c>
    </row>
    <row r="8" s="131" customFormat="1" ht="4.2000000000000002" customHeight="1">
      <c r="A8" s="778"/>
      <c r="B8" s="54"/>
      <c r="C8" s="131"/>
      <c r="D8" s="131"/>
      <c r="E8" s="131"/>
      <c r="F8" s="131"/>
      <c r="G8" s="730"/>
      <c r="H8" s="730"/>
      <c r="I8" s="730"/>
      <c r="J8" s="730"/>
      <c r="K8" s="779"/>
      <c r="L8" s="779"/>
      <c r="M8" s="779"/>
      <c r="R8" s="780"/>
      <c r="U8" s="57"/>
      <c r="V8" s="57"/>
      <c r="W8" s="54"/>
      <c r="X8" s="54"/>
      <c r="Y8" s="54"/>
      <c r="Z8" s="54"/>
      <c r="AA8" s="54"/>
      <c r="CF8" s="131">
        <v>4</v>
      </c>
    </row>
    <row r="9" ht="19.949999999999999" customHeight="1">
      <c r="D9" s="485"/>
      <c r="E9" s="73" t="s">
        <v>295</v>
      </c>
      <c r="F9" s="145"/>
      <c r="G9" s="145"/>
      <c r="H9" s="145"/>
      <c r="I9" s="145"/>
      <c r="J9" s="145"/>
      <c r="K9" s="145"/>
      <c r="L9" s="145"/>
      <c r="M9" s="145"/>
      <c r="N9" s="145"/>
      <c r="O9" s="145"/>
      <c r="P9" s="145"/>
      <c r="Q9" s="145"/>
      <c r="R9" s="72"/>
      <c r="S9" s="157" t="s">
        <v>296</v>
      </c>
      <c r="T9" s="781"/>
      <c r="CF9" s="50">
        <v>19</v>
      </c>
    </row>
    <row r="10" ht="48.25" customHeight="1">
      <c r="D10" s="158" t="s">
        <v>88</v>
      </c>
      <c r="E10" s="157" t="s">
        <v>88</v>
      </c>
      <c r="F10" s="157"/>
      <c r="G10" s="157" t="s">
        <v>297</v>
      </c>
      <c r="H10" s="157" t="s">
        <v>88</v>
      </c>
      <c r="I10" s="157"/>
      <c r="J10" s="157" t="s">
        <v>597</v>
      </c>
      <c r="K10" s="157" t="s">
        <v>598</v>
      </c>
      <c r="L10" s="157" t="s">
        <v>88</v>
      </c>
      <c r="M10" s="157"/>
      <c r="N10" s="157" t="s">
        <v>599</v>
      </c>
      <c r="O10" s="157" t="s">
        <v>600</v>
      </c>
      <c r="P10" s="157" t="s">
        <v>601</v>
      </c>
      <c r="Q10" s="157" t="s">
        <v>602</v>
      </c>
      <c r="R10" s="157" t="s">
        <v>603</v>
      </c>
      <c r="S10" s="157"/>
      <c r="T10" s="781"/>
      <c r="CF10" s="50">
        <v>46</v>
      </c>
    </row>
    <row r="11" s="57" customFormat="1" ht="15" hidden="1" customHeight="1">
      <c r="A11" s="531"/>
      <c r="D11" s="531" t="s">
        <v>106</v>
      </c>
      <c r="E11" s="531"/>
      <c r="F11" s="531" t="s">
        <v>107</v>
      </c>
      <c r="G11" s="531" t="s">
        <v>90</v>
      </c>
      <c r="H11" s="531"/>
      <c r="I11" s="531" t="s">
        <v>91</v>
      </c>
      <c r="J11" s="531" t="s">
        <v>108</v>
      </c>
      <c r="K11" s="531" t="s">
        <v>92</v>
      </c>
      <c r="L11" s="531"/>
      <c r="M11" s="531" t="s">
        <v>93</v>
      </c>
      <c r="N11" s="531" t="s">
        <v>109</v>
      </c>
      <c r="O11" s="531" t="s">
        <v>145</v>
      </c>
      <c r="P11" s="531" t="s">
        <v>146</v>
      </c>
      <c r="Q11" s="531" t="s">
        <v>147</v>
      </c>
      <c r="R11" s="531" t="s">
        <v>148</v>
      </c>
      <c r="S11" s="531" t="s">
        <v>149</v>
      </c>
      <c r="U11" s="57"/>
      <c r="V11" s="57"/>
      <c r="W11" s="57"/>
      <c r="CF11" s="57">
        <v>0</v>
      </c>
    </row>
    <row r="12" s="50" customFormat="1" ht="1.05" customHeight="1">
      <c r="A12" s="774"/>
      <c r="B12" s="56"/>
      <c r="D12" s="531"/>
      <c r="E12" s="125"/>
      <c r="F12" s="125"/>
      <c r="Q12" s="142"/>
      <c r="R12" s="782"/>
      <c r="T12" s="781"/>
      <c r="U12" s="57"/>
      <c r="V12" s="57"/>
      <c r="W12" s="56"/>
      <c r="X12" s="56"/>
      <c r="Y12" s="56"/>
      <c r="Z12" s="56"/>
      <c r="AA12" s="56"/>
      <c r="CF12" s="50">
        <v>1</v>
      </c>
    </row>
    <row r="13" s="131" customFormat="1" ht="1.05" customHeight="1">
      <c r="A13" s="778"/>
      <c r="B13" s="54"/>
      <c r="D13" s="531" t="s">
        <v>371</v>
      </c>
      <c r="E13" s="731"/>
      <c r="F13" s="731"/>
      <c r="G13" s="731"/>
      <c r="H13" s="731"/>
      <c r="I13" s="731"/>
      <c r="J13" s="731"/>
      <c r="K13" s="731"/>
      <c r="L13" s="731"/>
      <c r="M13" s="731"/>
      <c r="N13" s="731"/>
      <c r="O13" s="731"/>
      <c r="P13" s="731"/>
      <c r="Q13" s="731"/>
      <c r="R13" s="731"/>
      <c r="T13" s="781"/>
      <c r="U13" s="57"/>
      <c r="V13" s="57"/>
      <c r="W13" s="54"/>
      <c r="X13" s="54"/>
      <c r="Y13" s="54"/>
      <c r="Z13" s="54"/>
      <c r="AA13" s="54"/>
      <c r="CF13" s="131">
        <v>1</v>
      </c>
    </row>
    <row r="14" s="63" customFormat="1" ht="15" hidden="1" customHeight="1">
      <c r="A14" s="783" t="s">
        <v>114</v>
      </c>
      <c r="B14" s="63"/>
      <c r="C14" s="63"/>
      <c r="D14" s="784" t="s">
        <v>106</v>
      </c>
      <c r="E14" s="785" t="s">
        <v>102</v>
      </c>
      <c r="F14" s="786"/>
      <c r="G14" s="787"/>
      <c r="H14" s="79">
        <f>IF(A14="","",INDEX(DIFFERENTIATION_UNMERGE_VD,MATCH(A14,DIFFERENTIATION_ID_DIFF,0)))</f>
        <v>0</v>
      </c>
      <c r="I14" s="79"/>
      <c r="J14" s="79"/>
      <c r="K14" s="79"/>
      <c r="L14" s="79"/>
      <c r="M14" s="79"/>
      <c r="N14" s="79"/>
      <c r="O14" s="79"/>
      <c r="P14" s="79"/>
      <c r="Q14" s="79"/>
      <c r="R14" s="79"/>
      <c r="S14" s="788"/>
      <c r="T14" s="789"/>
      <c r="U14" s="167"/>
      <c r="V14" s="167"/>
      <c r="W14" s="64"/>
      <c r="X14" s="64"/>
      <c r="Y14" s="64"/>
      <c r="Z14" s="64"/>
      <c r="AA14" s="167"/>
      <c r="AB14" s="64"/>
      <c r="AC14" s="790"/>
      <c r="AD14" s="64"/>
      <c r="AE14" s="791" t="s">
        <v>22</v>
      </c>
      <c r="AF14" s="791"/>
      <c r="AG14" s="792" t="s">
        <v>604</v>
      </c>
      <c r="AH14" s="793">
        <v>3</v>
      </c>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64"/>
      <c r="BW14" s="64"/>
      <c r="BX14" s="64"/>
      <c r="BY14" s="64"/>
      <c r="BZ14" s="64"/>
      <c r="CA14" s="64"/>
      <c r="CB14" s="64"/>
      <c r="CC14" s="64"/>
      <c r="CD14" s="64"/>
      <c r="CE14" s="64"/>
      <c r="CF14" s="63">
        <v>0</v>
      </c>
    </row>
    <row r="15" s="63" customFormat="1" ht="15" hidden="1" customHeight="1">
      <c r="A15" s="783"/>
      <c r="B15" s="63"/>
      <c r="C15" s="63"/>
      <c r="D15" s="794"/>
      <c r="E15" s="785" t="s">
        <v>559</v>
      </c>
      <c r="F15" s="786"/>
      <c r="G15" s="787"/>
      <c r="H15" s="79" t="str">
        <f>IF(A14="","",INDEX(DIFFERENTIATION_UNMERGE_AREA,MATCH(A14,DIFFERENTIATION_ID_DIFF,0)))</f>
        <v/>
      </c>
      <c r="I15" s="79"/>
      <c r="J15" s="79"/>
      <c r="K15" s="79"/>
      <c r="L15" s="79"/>
      <c r="M15" s="79"/>
      <c r="N15" s="79"/>
      <c r="O15" s="79"/>
      <c r="P15" s="79"/>
      <c r="Q15" s="79"/>
      <c r="R15" s="79"/>
      <c r="S15" s="788"/>
      <c r="T15" s="789"/>
      <c r="U15" s="167"/>
      <c r="V15" s="167"/>
      <c r="W15" s="64"/>
      <c r="X15" s="64"/>
      <c r="Y15" s="64"/>
      <c r="Z15" s="64"/>
      <c r="AA15" s="167"/>
      <c r="AB15" s="64"/>
      <c r="AC15" s="790"/>
      <c r="AD15" s="64"/>
      <c r="AE15" s="791"/>
      <c r="AF15" s="791"/>
      <c r="AG15" s="792"/>
      <c r="AH15" s="793"/>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64"/>
      <c r="BW15" s="64"/>
      <c r="BX15" s="64"/>
      <c r="BY15" s="64"/>
      <c r="BZ15" s="64"/>
      <c r="CA15" s="64"/>
      <c r="CB15" s="64"/>
      <c r="CC15" s="64"/>
      <c r="CD15" s="64"/>
      <c r="CE15" s="64"/>
      <c r="CF15" s="63">
        <v>0</v>
      </c>
    </row>
    <row r="16" s="63" customFormat="1" ht="15" hidden="1" customHeight="1">
      <c r="A16" s="783"/>
      <c r="B16" s="63"/>
      <c r="C16" s="63"/>
      <c r="D16" s="794"/>
      <c r="E16" s="785" t="s">
        <v>560</v>
      </c>
      <c r="F16" s="786"/>
      <c r="G16" s="787"/>
      <c r="H16" s="79" t="str">
        <f>IF(A14="","",INDEX(DIFFERENTIATION_UNMERGE_SYSTEM,MATCH(A14,DIFFERENTIATION_ID_DIFF,0)))</f>
        <v xml:space="preserve">без дифференциации</v>
      </c>
      <c r="I16" s="79"/>
      <c r="J16" s="79"/>
      <c r="K16" s="79"/>
      <c r="L16" s="79"/>
      <c r="M16" s="79"/>
      <c r="N16" s="79"/>
      <c r="O16" s="79"/>
      <c r="P16" s="79"/>
      <c r="Q16" s="79"/>
      <c r="R16" s="79"/>
      <c r="S16" s="788"/>
      <c r="T16" s="789"/>
      <c r="U16" s="167"/>
      <c r="V16" s="167"/>
      <c r="W16" s="64"/>
      <c r="X16" s="64"/>
      <c r="Y16" s="64"/>
      <c r="Z16" s="64"/>
      <c r="AA16" s="167"/>
      <c r="AB16" s="64"/>
      <c r="AC16" s="790"/>
      <c r="AD16" s="64"/>
      <c r="AE16" s="791"/>
      <c r="AF16" s="791"/>
      <c r="AG16" s="792"/>
      <c r="AH16" s="793"/>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64"/>
      <c r="BW16" s="64"/>
      <c r="BX16" s="64"/>
      <c r="BY16" s="64"/>
      <c r="BZ16" s="64"/>
      <c r="CA16" s="64"/>
      <c r="CB16" s="64"/>
      <c r="CC16" s="64"/>
      <c r="CD16" s="64"/>
      <c r="CE16" s="64"/>
      <c r="CF16" s="63">
        <v>0</v>
      </c>
    </row>
    <row r="17" s="63" customFormat="1" ht="22.5" hidden="1" customHeight="1">
      <c r="A17" s="114"/>
      <c r="B17" s="53"/>
      <c r="C17" s="168"/>
      <c r="D17" s="794"/>
      <c r="E17" s="795" t="s">
        <v>605</v>
      </c>
      <c r="F17" s="795"/>
      <c r="G17" s="795"/>
      <c r="H17" s="795"/>
      <c r="I17" s="795"/>
      <c r="J17" s="795"/>
      <c r="K17" s="795"/>
      <c r="L17" s="795"/>
      <c r="M17" s="795"/>
      <c r="N17" s="795"/>
      <c r="O17" s="795"/>
      <c r="P17" s="795"/>
      <c r="Q17" s="728">
        <f>SUMIF(T18:T19,"i",Q18:Q19)</f>
        <v>0</v>
      </c>
      <c r="R17" s="796"/>
      <c r="S17" s="313" t="s">
        <v>606</v>
      </c>
      <c r="T17" s="789" t="s">
        <v>607</v>
      </c>
      <c r="U17" s="132">
        <v>1</v>
      </c>
      <c r="V17" s="132" t="str">
        <f>INDEX(B_FHD_FLAG_INDEX_1,1,MATCH(A14,B_FHD_FLAG_DIFFERENTIATION,0))</f>
        <v>отсутствует</v>
      </c>
      <c r="W17" s="53"/>
      <c r="X17" s="53"/>
      <c r="Y17" s="53"/>
      <c r="Z17" s="53"/>
      <c r="AA17" s="57"/>
      <c r="AB17" s="53"/>
      <c r="AC17" s="790"/>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2"/>
      <c r="B18" s="57"/>
      <c r="C18" s="57"/>
      <c r="D18" s="794"/>
      <c r="E18" s="351"/>
      <c r="F18" s="351">
        <v>0</v>
      </c>
      <c r="G18" s="351"/>
      <c r="H18" s="351"/>
      <c r="I18" s="351"/>
      <c r="J18" s="351"/>
      <c r="K18" s="351"/>
      <c r="L18" s="351"/>
      <c r="M18" s="351"/>
      <c r="N18" s="351"/>
      <c r="O18" s="351"/>
      <c r="P18" s="351"/>
      <c r="Q18" s="351"/>
      <c r="R18" s="351"/>
      <c r="S18" s="350"/>
      <c r="T18" s="797"/>
      <c r="U18" s="132"/>
      <c r="V18" s="132"/>
      <c r="W18" s="57"/>
      <c r="X18" s="57"/>
      <c r="Y18" s="57"/>
      <c r="Z18" s="57"/>
      <c r="AA18" s="57"/>
      <c r="AB18" s="53"/>
      <c r="AC18" s="790"/>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8"/>
      <c r="D19" s="794"/>
      <c r="E19" s="638" t="s">
        <v>22</v>
      </c>
      <c r="F19" s="172" t="s">
        <v>22</v>
      </c>
      <c r="G19" s="172" t="s">
        <v>22</v>
      </c>
      <c r="H19" s="177" t="s">
        <v>22</v>
      </c>
      <c r="I19" s="177"/>
      <c r="J19" s="177"/>
      <c r="K19" s="177"/>
      <c r="L19" s="177"/>
      <c r="M19" s="177"/>
      <c r="N19" s="177"/>
      <c r="O19" s="177"/>
      <c r="P19" s="177"/>
      <c r="Q19" s="177"/>
      <c r="R19" s="229"/>
      <c r="S19" s="795"/>
      <c r="T19" s="797"/>
      <c r="U19" s="132"/>
      <c r="V19" s="132"/>
      <c r="W19" s="53"/>
      <c r="X19" s="53"/>
      <c r="Y19" s="53"/>
      <c r="Z19" s="53"/>
      <c r="AA19" s="57"/>
      <c r="AB19" s="53"/>
      <c r="AC19" s="790"/>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8"/>
      <c r="D20" s="794"/>
      <c r="E20" s="795" t="s">
        <v>608</v>
      </c>
      <c r="F20" s="795"/>
      <c r="G20" s="795"/>
      <c r="H20" s="795"/>
      <c r="I20" s="795"/>
      <c r="J20" s="795"/>
      <c r="K20" s="795"/>
      <c r="L20" s="795"/>
      <c r="M20" s="795"/>
      <c r="N20" s="795"/>
      <c r="O20" s="795"/>
      <c r="P20" s="795"/>
      <c r="Q20" s="728">
        <f>SUMIF(T21:T22,"i",Q21:Q22)</f>
        <v>0</v>
      </c>
      <c r="R20" s="796"/>
      <c r="S20" s="313" t="s">
        <v>609</v>
      </c>
      <c r="T20" s="789" t="s">
        <v>607</v>
      </c>
      <c r="U20" s="132">
        <v>2</v>
      </c>
      <c r="V20" s="132" t="str">
        <f>INDEX(B_FHD_FLAG_INDEX_2,1,MATCH(A14,B_FHD_FLAG_DIFFERENTIATION,0))</f>
        <v>отсутствует</v>
      </c>
      <c r="W20" s="53"/>
      <c r="X20" s="53"/>
      <c r="Y20" s="53"/>
      <c r="Z20" s="53"/>
      <c r="AA20" s="57"/>
      <c r="AB20" s="53"/>
      <c r="AC20" s="790"/>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2"/>
      <c r="B21" s="57"/>
      <c r="C21" s="57"/>
      <c r="D21" s="794"/>
      <c r="E21" s="351"/>
      <c r="F21" s="351">
        <v>0</v>
      </c>
      <c r="G21" s="351"/>
      <c r="H21" s="351"/>
      <c r="I21" s="351"/>
      <c r="J21" s="351"/>
      <c r="K21" s="351"/>
      <c r="L21" s="351"/>
      <c r="M21" s="351"/>
      <c r="N21" s="351"/>
      <c r="O21" s="351"/>
      <c r="P21" s="351"/>
      <c r="Q21" s="351"/>
      <c r="R21" s="351"/>
      <c r="S21" s="350"/>
      <c r="T21" s="797"/>
      <c r="U21" s="132"/>
      <c r="V21" s="132"/>
      <c r="W21" s="57"/>
      <c r="X21" s="57"/>
      <c r="Y21" s="57"/>
      <c r="Z21" s="57"/>
      <c r="AA21" s="57"/>
      <c r="AB21" s="53"/>
      <c r="AC21" s="790"/>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8"/>
      <c r="D22" s="798"/>
      <c r="E22" s="638" t="s">
        <v>22</v>
      </c>
      <c r="F22" s="172" t="s">
        <v>22</v>
      </c>
      <c r="G22" s="172" t="s">
        <v>22</v>
      </c>
      <c r="H22" s="177" t="s">
        <v>22</v>
      </c>
      <c r="I22" s="177"/>
      <c r="J22" s="177"/>
      <c r="K22" s="177"/>
      <c r="L22" s="177"/>
      <c r="M22" s="177"/>
      <c r="N22" s="177"/>
      <c r="O22" s="177"/>
      <c r="P22" s="177"/>
      <c r="Q22" s="177"/>
      <c r="R22" s="229"/>
      <c r="S22" s="795"/>
      <c r="T22" s="797"/>
      <c r="U22" s="132"/>
      <c r="V22" s="132"/>
      <c r="W22" s="53"/>
      <c r="X22" s="53"/>
      <c r="Y22" s="53"/>
      <c r="Z22" s="53"/>
      <c r="AA22" s="57"/>
      <c r="AB22" s="53"/>
      <c r="AC22" s="790"/>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799"/>
      <c r="E23" s="799"/>
      <c r="F23" s="799"/>
      <c r="G23" s="799"/>
      <c r="H23" s="799"/>
      <c r="I23" s="799"/>
      <c r="J23" s="799"/>
      <c r="K23" s="799"/>
      <c r="L23" s="799"/>
      <c r="M23" s="799"/>
      <c r="N23" s="799"/>
      <c r="O23" s="799"/>
      <c r="P23" s="799"/>
      <c r="Q23" s="799"/>
      <c r="R23" s="799"/>
      <c r="S23" s="799"/>
      <c r="T23" s="781"/>
      <c r="CF23" s="50">
        <v>19</v>
      </c>
    </row>
    <row r="24" ht="11.5" customHeight="1">
      <c r="D24" s="50"/>
      <c r="CF24" s="50">
        <v>11</v>
      </c>
    </row>
    <row r="25" ht="11.5" customHeight="1">
      <c r="D25" s="140"/>
      <c r="E25" s="140"/>
      <c r="F25" s="140"/>
      <c r="G25" s="184"/>
      <c r="CF25" s="50">
        <v>11</v>
      </c>
    </row>
    <row r="26" ht="11.5" customHeight="1">
      <c r="CF26" s="50">
        <v>11</v>
      </c>
    </row>
    <row r="27" ht="11.5" customHeight="1">
      <c r="D27" s="396"/>
      <c r="E27" s="800"/>
      <c r="F27" s="800"/>
      <c r="G27" s="800"/>
      <c r="H27" s="800"/>
      <c r="I27" s="800"/>
      <c r="J27" s="800"/>
      <c r="K27" s="800"/>
      <c r="L27" s="800"/>
      <c r="M27" s="800"/>
      <c r="N27" s="800"/>
      <c r="O27" s="800"/>
      <c r="P27" s="800"/>
      <c r="Q27" s="800"/>
      <c r="R27" s="800"/>
      <c r="CF27" s="50">
        <v>11</v>
      </c>
    </row>
    <row r="28" ht="11.5" customHeight="1">
      <c r="F28" s="50"/>
      <c r="G28" s="50"/>
      <c r="CF28" s="50">
        <v>11</v>
      </c>
    </row>
    <row r="29" ht="11.25" hidden="1" customHeight="1">
      <c r="A29" s="774"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1" deleteRows="1" formatCells="1" formatColumns="0" formatRows="0" insertColumns="1" insertHyperlinks="1" insertRows="1" objects="0" pivotTables="1" scenarios="0" selectLockedCells="0" selectUnlockedCells="0" sheet="1" sort="1"/>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05"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06" width="8.00390625"/>
    <col customWidth="1" min="27" max="31" style="53" width="8.00390625"/>
    <col customWidth="1" min="32" max="36" style="56" width="8.00390625"/>
    <col customWidth="1" hidden="1" min="37" max="37" style="50" width="5.421875"/>
  </cols>
  <sheetData>
    <row r="1" s="53" customFormat="1" ht="33.75" hidden="1" customHeight="1">
      <c r="A1" s="705"/>
      <c r="B1" s="705"/>
      <c r="C1" s="705"/>
      <c r="D1" s="705"/>
      <c r="E1" s="705"/>
      <c r="G1" s="57"/>
      <c r="H1" s="53"/>
      <c r="L1" s="53">
        <v>4</v>
      </c>
      <c r="M1" s="53">
        <v>4</v>
      </c>
      <c r="Q1" s="57"/>
      <c r="R1" s="57"/>
      <c r="W1" s="57"/>
      <c r="AK1" s="53" t="s">
        <v>14</v>
      </c>
    </row>
    <row r="2" s="53" customFormat="1" ht="78.75" hidden="1" customHeight="1">
      <c r="A2" s="705"/>
      <c r="B2" s="801" t="s">
        <v>610</v>
      </c>
      <c r="C2" s="801" t="s">
        <v>611</v>
      </c>
      <c r="D2" s="802" t="s">
        <v>612</v>
      </c>
      <c r="E2" s="803" t="e">
        <f>RIGHT(I2,LEN(I2)-SEARCH("#",SUBSTITUTE(I2,".","#",LEN(I2)-LEN(SUBSTITUTE(I2,".","")))))</f>
        <v>#VALUE!</v>
      </c>
      <c r="F2" s="803">
        <f>J2</f>
        <v>0</v>
      </c>
      <c r="G2" s="57"/>
      <c r="H2" s="206"/>
      <c r="I2" s="218"/>
      <c r="J2" s="159"/>
      <c r="K2" s="72" t="s">
        <v>551</v>
      </c>
      <c r="L2" s="507"/>
      <c r="M2" s="507"/>
      <c r="N2" s="709"/>
      <c r="O2" s="485" t="s">
        <v>552</v>
      </c>
      <c r="P2" s="709"/>
      <c r="Q2" s="57"/>
      <c r="R2" s="57"/>
      <c r="W2" s="57"/>
      <c r="Z2" s="706"/>
      <c r="AF2" s="56"/>
      <c r="AG2" s="56"/>
      <c r="AH2" s="56"/>
      <c r="AI2" s="56"/>
      <c r="AJ2" s="56"/>
      <c r="AK2" s="53">
        <v>0</v>
      </c>
    </row>
    <row r="3" ht="11.25" hidden="1" customHeight="1">
      <c r="E3" s="804" t="s">
        <v>613</v>
      </c>
      <c r="L3" s="50">
        <f>0</f>
        <v>0</v>
      </c>
      <c r="M3" s="50">
        <v>1</v>
      </c>
      <c r="AK3" s="50">
        <v>0</v>
      </c>
    </row>
    <row r="4" s="56" customFormat="1" ht="11.25" hidden="1" customHeight="1">
      <c r="A4" s="705"/>
      <c r="B4" s="705"/>
      <c r="C4" s="705"/>
      <c r="E4" s="705"/>
      <c r="F4" s="53"/>
      <c r="G4" s="57"/>
      <c r="H4" s="56"/>
      <c r="N4" s="53"/>
      <c r="O4" s="56">
        <v>4</v>
      </c>
      <c r="P4" s="53"/>
      <c r="Q4" s="57"/>
      <c r="R4" s="57"/>
      <c r="S4" s="53"/>
      <c r="T4" s="53"/>
      <c r="U4" s="53"/>
      <c r="V4" s="53"/>
      <c r="W4" s="57"/>
      <c r="X4" s="53"/>
      <c r="Y4" s="53"/>
      <c r="Z4" s="706"/>
      <c r="AA4" s="53"/>
      <c r="AB4" s="53"/>
      <c r="AC4" s="53"/>
      <c r="AD4" s="53"/>
      <c r="AE4" s="53"/>
      <c r="AK4" s="56">
        <v>0</v>
      </c>
    </row>
    <row r="5" ht="11.5" customHeight="1">
      <c r="AK5" s="50">
        <v>11</v>
      </c>
    </row>
    <row r="6" ht="57.75" customHeight="1">
      <c r="I6" s="298" t="s">
        <v>614</v>
      </c>
      <c r="J6" s="298"/>
      <c r="K6" s="298"/>
      <c r="L6" s="298"/>
      <c r="M6" s="298"/>
      <c r="O6" s="240"/>
      <c r="AK6" s="50">
        <v>55</v>
      </c>
    </row>
    <row r="7" ht="25.199999999999999" customHeight="1">
      <c r="I7" s="303" t="str">
        <f>IF(org=0,"Не определено",org)</f>
        <v xml:space="preserve">АО "ДГК" СП "Биробиджанская ТЭЦ"</v>
      </c>
      <c r="J7" s="303"/>
      <c r="K7" s="303"/>
      <c r="L7" s="303"/>
      <c r="M7" s="303"/>
      <c r="AK7" s="50">
        <v>24</v>
      </c>
    </row>
    <row r="8" ht="11.5" customHeight="1">
      <c r="I8" s="719"/>
      <c r="J8" s="719"/>
      <c r="K8" s="719"/>
      <c r="L8" s="719"/>
      <c r="M8" s="719"/>
      <c r="AK8" s="50">
        <v>11</v>
      </c>
    </row>
    <row r="9" s="57" customFormat="1" ht="30" hidden="1" customHeight="1">
      <c r="A9" s="531"/>
      <c r="B9" s="531"/>
      <c r="C9" s="531"/>
      <c r="E9" s="531"/>
      <c r="H9" s="57"/>
      <c r="L9" s="720"/>
      <c r="M9" s="720" t="s">
        <v>114</v>
      </c>
      <c r="AK9" s="57">
        <v>1</v>
      </c>
    </row>
    <row r="10" ht="11.5" customHeight="1">
      <c r="E10" s="805" t="s">
        <v>615</v>
      </c>
      <c r="I10" s="721"/>
      <c r="J10" s="722" t="s">
        <v>102</v>
      </c>
      <c r="K10" s="723"/>
      <c r="L10" s="724" t="str">
        <f>IF(L9="","",INDEX(DIFFERENTIATION_UNMERGE_VD,MATCH(L9,DIFFERENTIATION_ID_DIFF,0)))</f>
        <v/>
      </c>
      <c r="M10" s="724">
        <f>IF(M9="","",INDEX(DIFFERENTIATION_UNMERGE_VD,MATCH(M9,DIFFERENTIATION_ID_DIFF,0)))</f>
        <v>0</v>
      </c>
      <c r="O10" s="157" t="s">
        <v>296</v>
      </c>
      <c r="AK10" s="50">
        <v>11</v>
      </c>
    </row>
    <row r="11" ht="11.5" customHeight="1">
      <c r="E11" s="805" t="s">
        <v>616</v>
      </c>
      <c r="I11" s="721"/>
      <c r="J11" s="722" t="s">
        <v>559</v>
      </c>
      <c r="K11" s="723"/>
      <c r="L11" s="724" t="str">
        <f>IF(L9="","",INDEX(DIFFERENTIATION_UNMERGE_AREA,MATCH(L9,DIFFERENTIATION_ID_DIFF,0)))</f>
        <v/>
      </c>
      <c r="M11" s="724" t="str">
        <f>IF(M9="","",INDEX(DIFFERENTIATION_UNMERGE_AREA,MATCH(M9,DIFFERENTIATION_ID_DIFF,0)))</f>
        <v/>
      </c>
      <c r="O11" s="157"/>
      <c r="AK11" s="50">
        <v>11</v>
      </c>
    </row>
    <row r="12" ht="11.5" customHeight="1">
      <c r="E12" s="805" t="s">
        <v>617</v>
      </c>
      <c r="I12" s="806"/>
      <c r="J12" s="722" t="s">
        <v>560</v>
      </c>
      <c r="K12" s="723"/>
      <c r="L12" s="724" t="str">
        <f>IF(L9="","",INDEX(DIFFERENTIATION_UNMERGE_SYSTEM,MATCH(L9,DIFFERENTIATION_ID_DIFF,0)))</f>
        <v/>
      </c>
      <c r="M12" s="724" t="str">
        <f>IF(M9="","",INDEX(DIFFERENTIATION_UNMERGE_SYSTEM,MATCH(M9,DIFFERENTIATION_ID_DIFF,0)))</f>
        <v xml:space="preserve">без дифференциации</v>
      </c>
      <c r="O12" s="157"/>
      <c r="AK12" s="50">
        <v>11</v>
      </c>
    </row>
    <row r="13" ht="11.5" customHeight="1">
      <c r="E13" s="805" t="s">
        <v>618</v>
      </c>
      <c r="F13" s="805" t="s">
        <v>619</v>
      </c>
      <c r="I13" s="725" t="s">
        <v>295</v>
      </c>
      <c r="J13" s="726"/>
      <c r="K13" s="726"/>
      <c r="L13" s="722"/>
      <c r="M13" s="807"/>
      <c r="O13" s="157"/>
      <c r="AK13" s="50">
        <v>11</v>
      </c>
    </row>
    <row r="14" ht="24" customHeight="1">
      <c r="I14" s="157" t="s">
        <v>88</v>
      </c>
      <c r="J14" s="157" t="s">
        <v>297</v>
      </c>
      <c r="K14" s="157" t="s">
        <v>561</v>
      </c>
      <c r="L14" s="73" t="s">
        <v>298</v>
      </c>
      <c r="M14" s="157" t="s">
        <v>298</v>
      </c>
      <c r="O14" s="157"/>
      <c r="AK14" s="50">
        <v>23</v>
      </c>
    </row>
    <row r="15" ht="24" customHeight="1">
      <c r="A15" s="808"/>
      <c r="B15" s="801" t="s">
        <v>620</v>
      </c>
      <c r="C15" s="801" t="s">
        <v>621</v>
      </c>
      <c r="D15" s="802" t="s">
        <v>622</v>
      </c>
      <c r="E15" s="803" t="s">
        <v>623</v>
      </c>
      <c r="F15" s="803" t="s">
        <v>623</v>
      </c>
      <c r="G15" s="57" t="s">
        <v>583</v>
      </c>
      <c r="H15" s="125"/>
      <c r="I15" s="809">
        <v>1</v>
      </c>
      <c r="J15" s="313" t="s">
        <v>624</v>
      </c>
      <c r="K15" s="157" t="s">
        <v>301</v>
      </c>
      <c r="L15" s="810"/>
      <c r="M15" s="758"/>
      <c r="N15" s="709" t="s">
        <v>625</v>
      </c>
      <c r="O15" s="485" t="s">
        <v>626</v>
      </c>
      <c r="P15" s="709" t="s">
        <v>625</v>
      </c>
      <c r="AK15" s="50">
        <v>23</v>
      </c>
    </row>
    <row r="16" ht="35.649999999999999" customHeight="1">
      <c r="A16" s="808"/>
      <c r="B16" s="801" t="s">
        <v>627</v>
      </c>
      <c r="C16" s="801" t="s">
        <v>628</v>
      </c>
      <c r="D16" s="802" t="s">
        <v>612</v>
      </c>
      <c r="E16" s="803" t="s">
        <v>623</v>
      </c>
      <c r="F16" s="803" t="s">
        <v>623</v>
      </c>
      <c r="H16" s="125"/>
      <c r="I16" s="811">
        <v>2</v>
      </c>
      <c r="J16" s="328" t="s">
        <v>629</v>
      </c>
      <c r="K16" s="307" t="s">
        <v>551</v>
      </c>
      <c r="L16" s="812"/>
      <c r="M16" s="813"/>
      <c r="N16" s="709" t="s">
        <v>625</v>
      </c>
      <c r="O16" s="485" t="s">
        <v>630</v>
      </c>
      <c r="P16" s="709" t="s">
        <v>625</v>
      </c>
      <c r="AK16" s="50">
        <v>34</v>
      </c>
    </row>
    <row r="17" s="57" customFormat="1" ht="17.25" hidden="1" customHeight="1">
      <c r="A17" s="531"/>
      <c r="B17" s="531"/>
      <c r="C17" s="531"/>
      <c r="D17" s="531"/>
      <c r="E17" s="531"/>
      <c r="H17" s="531"/>
      <c r="I17" s="158" t="s">
        <v>631</v>
      </c>
      <c r="J17" s="751"/>
      <c r="K17" s="158"/>
      <c r="L17" s="752"/>
      <c r="M17" s="752"/>
      <c r="O17" s="591"/>
      <c r="AK17" s="57">
        <v>1</v>
      </c>
    </row>
    <row r="18" s="53" customFormat="1" ht="24" customHeight="1">
      <c r="A18" s="705"/>
      <c r="B18" s="705"/>
      <c r="C18" s="705"/>
      <c r="D18" s="705"/>
      <c r="E18" s="705"/>
      <c r="G18" s="57"/>
      <c r="H18" s="128"/>
      <c r="I18" s="740"/>
      <c r="J18" s="235" t="s">
        <v>581</v>
      </c>
      <c r="K18" s="741"/>
      <c r="L18" s="814"/>
      <c r="M18" s="742"/>
      <c r="N18" s="709"/>
      <c r="O18" s="485" t="s">
        <v>582</v>
      </c>
      <c r="P18" s="709"/>
      <c r="Q18" s="57"/>
      <c r="R18" s="57"/>
      <c r="W18" s="57"/>
      <c r="Z18" s="706"/>
      <c r="AF18" s="56"/>
      <c r="AG18" s="56"/>
      <c r="AH18" s="56"/>
      <c r="AI18" s="56"/>
      <c r="AJ18" s="56"/>
      <c r="AK18" s="53">
        <v>23</v>
      </c>
    </row>
    <row r="19" ht="19.949999999999999" customHeight="1">
      <c r="A19" s="808"/>
      <c r="B19" s="801" t="s">
        <v>632</v>
      </c>
      <c r="C19" s="801" t="s">
        <v>633</v>
      </c>
      <c r="D19" s="802" t="s">
        <v>612</v>
      </c>
      <c r="E19" s="803" t="s">
        <v>623</v>
      </c>
      <c r="F19" s="803" t="s">
        <v>623</v>
      </c>
      <c r="H19" s="125"/>
      <c r="I19" s="815">
        <v>3</v>
      </c>
      <c r="J19" s="313" t="s">
        <v>633</v>
      </c>
      <c r="K19" s="145" t="s">
        <v>551</v>
      </c>
      <c r="L19" s="816"/>
      <c r="M19" s="727"/>
      <c r="N19" s="709"/>
      <c r="O19" s="485" t="s">
        <v>634</v>
      </c>
      <c r="P19" s="709"/>
      <c r="AK19" s="50">
        <v>19</v>
      </c>
    </row>
    <row r="20" ht="77.700000000000003" customHeight="1">
      <c r="A20" s="808"/>
      <c r="B20" s="801" t="s">
        <v>635</v>
      </c>
      <c r="C20" s="801" t="s">
        <v>636</v>
      </c>
      <c r="D20" s="802" t="s">
        <v>612</v>
      </c>
      <c r="E20" s="803" t="s">
        <v>623</v>
      </c>
      <c r="F20" s="803" t="s">
        <v>623</v>
      </c>
      <c r="H20" s="125"/>
      <c r="I20" s="815">
        <v>4</v>
      </c>
      <c r="J20" s="313" t="s">
        <v>637</v>
      </c>
      <c r="K20" s="145" t="s">
        <v>578</v>
      </c>
      <c r="L20" s="816"/>
      <c r="M20" s="727"/>
      <c r="N20" s="709"/>
      <c r="O20" s="485"/>
      <c r="P20" s="709"/>
      <c r="AK20" s="50">
        <v>74</v>
      </c>
    </row>
    <row r="21" ht="35.649999999999999" customHeight="1">
      <c r="A21" s="808"/>
      <c r="B21" s="801" t="s">
        <v>638</v>
      </c>
      <c r="C21" s="801" t="s">
        <v>639</v>
      </c>
      <c r="D21" s="802" t="s">
        <v>612</v>
      </c>
      <c r="E21" s="803" t="s">
        <v>623</v>
      </c>
      <c r="F21" s="803" t="s">
        <v>623</v>
      </c>
      <c r="H21" s="125"/>
      <c r="I21" s="815">
        <v>5</v>
      </c>
      <c r="J21" s="313" t="s">
        <v>640</v>
      </c>
      <c r="K21" s="145" t="s">
        <v>578</v>
      </c>
      <c r="L21" s="816"/>
      <c r="M21" s="727"/>
      <c r="N21" s="709"/>
      <c r="O21" s="485" t="s">
        <v>634</v>
      </c>
      <c r="P21" s="709"/>
      <c r="AK21" s="50">
        <v>34</v>
      </c>
    </row>
    <row r="22" ht="48.25" customHeight="1">
      <c r="A22" s="808"/>
      <c r="B22" s="801" t="s">
        <v>641</v>
      </c>
      <c r="C22" s="801" t="s">
        <v>642</v>
      </c>
      <c r="D22" s="802" t="s">
        <v>612</v>
      </c>
      <c r="E22" s="803" t="s">
        <v>623</v>
      </c>
      <c r="F22" s="803" t="s">
        <v>623</v>
      </c>
      <c r="H22" s="125"/>
      <c r="I22" s="815">
        <v>6</v>
      </c>
      <c r="J22" s="313" t="s">
        <v>643</v>
      </c>
      <c r="K22" s="145" t="s">
        <v>578</v>
      </c>
      <c r="L22" s="816"/>
      <c r="M22" s="727"/>
      <c r="N22" s="709"/>
      <c r="O22" s="485" t="s">
        <v>644</v>
      </c>
      <c r="P22" s="709"/>
      <c r="AK22" s="50">
        <v>46</v>
      </c>
    </row>
    <row r="23" ht="19.949999999999999" customHeight="1">
      <c r="A23" s="808"/>
      <c r="B23" s="801" t="s">
        <v>645</v>
      </c>
      <c r="C23" s="801" t="s">
        <v>646</v>
      </c>
      <c r="D23" s="802" t="s">
        <v>612</v>
      </c>
      <c r="E23" s="803" t="s">
        <v>623</v>
      </c>
      <c r="F23" s="803" t="s">
        <v>623</v>
      </c>
      <c r="H23" s="125"/>
      <c r="I23" s="815" t="s">
        <v>647</v>
      </c>
      <c r="J23" s="673" t="s">
        <v>648</v>
      </c>
      <c r="K23" s="145" t="s">
        <v>578</v>
      </c>
      <c r="L23" s="816"/>
      <c r="M23" s="727"/>
      <c r="N23" s="709"/>
      <c r="O23" s="485" t="s">
        <v>634</v>
      </c>
      <c r="P23" s="709"/>
      <c r="AK23" s="50">
        <v>19</v>
      </c>
    </row>
    <row r="24" ht="19.949999999999999" customHeight="1">
      <c r="A24" s="808"/>
      <c r="B24" s="801" t="s">
        <v>649</v>
      </c>
      <c r="C24" s="801" t="s">
        <v>650</v>
      </c>
      <c r="D24" s="802" t="s">
        <v>612</v>
      </c>
      <c r="E24" s="803" t="s">
        <v>623</v>
      </c>
      <c r="F24" s="803" t="s">
        <v>623</v>
      </c>
      <c r="H24" s="125"/>
      <c r="I24" s="815" t="s">
        <v>651</v>
      </c>
      <c r="J24" s="673" t="s">
        <v>652</v>
      </c>
      <c r="K24" s="145" t="s">
        <v>578</v>
      </c>
      <c r="L24" s="816"/>
      <c r="M24" s="727"/>
      <c r="N24" s="709"/>
      <c r="O24" s="485"/>
      <c r="P24" s="709"/>
      <c r="AK24" s="50">
        <v>19</v>
      </c>
    </row>
    <row r="25" ht="24" customHeight="1">
      <c r="A25" s="808"/>
      <c r="B25" s="801" t="s">
        <v>653</v>
      </c>
      <c r="C25" s="801" t="s">
        <v>654</v>
      </c>
      <c r="D25" s="802" t="s">
        <v>612</v>
      </c>
      <c r="E25" s="803" t="s">
        <v>623</v>
      </c>
      <c r="F25" s="803" t="s">
        <v>623</v>
      </c>
      <c r="H25" s="125"/>
      <c r="I25" s="815" t="s">
        <v>655</v>
      </c>
      <c r="J25" s="673" t="s">
        <v>656</v>
      </c>
      <c r="K25" s="145" t="s">
        <v>578</v>
      </c>
      <c r="L25" s="816"/>
      <c r="M25" s="727"/>
      <c r="N25" s="709"/>
      <c r="O25" s="485"/>
      <c r="P25" s="709"/>
      <c r="AK25" s="50">
        <v>23</v>
      </c>
    </row>
    <row r="26" ht="24" customHeight="1">
      <c r="A26" s="808"/>
      <c r="B26" s="801" t="s">
        <v>657</v>
      </c>
      <c r="C26" s="801" t="s">
        <v>658</v>
      </c>
      <c r="D26" s="802" t="s">
        <v>612</v>
      </c>
      <c r="E26" s="803" t="s">
        <v>623</v>
      </c>
      <c r="F26" s="803" t="s">
        <v>623</v>
      </c>
      <c r="H26" s="125"/>
      <c r="I26" s="815">
        <v>7</v>
      </c>
      <c r="J26" s="313" t="s">
        <v>658</v>
      </c>
      <c r="K26" s="145" t="s">
        <v>659</v>
      </c>
      <c r="L26" s="816"/>
      <c r="M26" s="727"/>
      <c r="N26" s="709"/>
      <c r="O26" s="485"/>
      <c r="P26" s="709"/>
      <c r="AK26" s="50">
        <v>23</v>
      </c>
    </row>
    <row r="27" ht="24" customHeight="1">
      <c r="A27" s="808"/>
      <c r="B27" s="801" t="s">
        <v>660</v>
      </c>
      <c r="C27" s="801" t="s">
        <v>661</v>
      </c>
      <c r="D27" s="802" t="s">
        <v>612</v>
      </c>
      <c r="E27" s="803" t="s">
        <v>623</v>
      </c>
      <c r="F27" s="803" t="s">
        <v>623</v>
      </c>
      <c r="H27" s="125"/>
      <c r="I27" s="815">
        <v>8</v>
      </c>
      <c r="J27" s="313" t="s">
        <v>661</v>
      </c>
      <c r="K27" s="145" t="s">
        <v>584</v>
      </c>
      <c r="L27" s="816"/>
      <c r="M27" s="727"/>
      <c r="N27" s="709"/>
      <c r="O27" s="485"/>
      <c r="P27" s="709"/>
      <c r="AK27" s="50">
        <v>23</v>
      </c>
    </row>
    <row r="28" ht="35.649999999999999" customHeight="1">
      <c r="A28" s="808"/>
      <c r="B28" s="801" t="s">
        <v>662</v>
      </c>
      <c r="C28" s="801" t="s">
        <v>663</v>
      </c>
      <c r="D28" s="802" t="s">
        <v>612</v>
      </c>
      <c r="E28" s="803" t="s">
        <v>623</v>
      </c>
      <c r="F28" s="803" t="s">
        <v>623</v>
      </c>
      <c r="H28" s="125"/>
      <c r="I28" s="817">
        <v>9</v>
      </c>
      <c r="J28" s="313" t="s">
        <v>664</v>
      </c>
      <c r="K28" s="145" t="s">
        <v>555</v>
      </c>
      <c r="L28" s="816"/>
      <c r="M28" s="727"/>
      <c r="N28" s="709"/>
      <c r="O28" s="485"/>
      <c r="P28" s="709"/>
      <c r="AK28" s="50">
        <v>34</v>
      </c>
    </row>
    <row r="29" ht="35.649999999999999" customHeight="1">
      <c r="A29" s="808"/>
      <c r="B29" s="801" t="s">
        <v>665</v>
      </c>
      <c r="C29" s="801" t="s">
        <v>666</v>
      </c>
      <c r="D29" s="802" t="s">
        <v>612</v>
      </c>
      <c r="E29" s="803" t="s">
        <v>623</v>
      </c>
      <c r="F29" s="803" t="s">
        <v>623</v>
      </c>
      <c r="H29" s="125"/>
      <c r="I29" s="817">
        <v>10</v>
      </c>
      <c r="J29" s="313" t="s">
        <v>667</v>
      </c>
      <c r="K29" s="145" t="s">
        <v>555</v>
      </c>
      <c r="L29" s="816"/>
      <c r="M29" s="727"/>
      <c r="N29" s="709"/>
      <c r="O29" s="485"/>
      <c r="P29" s="709"/>
      <c r="AK29" s="50">
        <v>34</v>
      </c>
    </row>
    <row r="30" ht="24" customHeight="1">
      <c r="A30" s="808"/>
      <c r="B30" s="801" t="s">
        <v>668</v>
      </c>
      <c r="C30" s="801" t="s">
        <v>669</v>
      </c>
      <c r="D30" s="802" t="s">
        <v>612</v>
      </c>
      <c r="E30" s="803" t="s">
        <v>623</v>
      </c>
      <c r="F30" s="803" t="s">
        <v>623</v>
      </c>
      <c r="H30" s="125"/>
      <c r="I30" s="817">
        <v>11</v>
      </c>
      <c r="J30" s="313" t="s">
        <v>669</v>
      </c>
      <c r="K30" s="145" t="s">
        <v>585</v>
      </c>
      <c r="L30" s="818"/>
      <c r="M30" s="449"/>
      <c r="N30" s="709"/>
      <c r="O30" s="485"/>
      <c r="P30" s="709"/>
      <c r="AK30" s="50">
        <v>23</v>
      </c>
    </row>
    <row r="31" ht="24" customHeight="1">
      <c r="A31" s="808"/>
      <c r="B31" s="801" t="s">
        <v>670</v>
      </c>
      <c r="C31" s="801" t="s">
        <v>671</v>
      </c>
      <c r="D31" s="802" t="s">
        <v>612</v>
      </c>
      <c r="E31" s="803" t="s">
        <v>623</v>
      </c>
      <c r="F31" s="803" t="s">
        <v>623</v>
      </c>
      <c r="H31" s="125"/>
      <c r="I31" s="817">
        <v>12</v>
      </c>
      <c r="J31" s="313" t="s">
        <v>671</v>
      </c>
      <c r="K31" s="145" t="s">
        <v>585</v>
      </c>
      <c r="L31" s="818"/>
      <c r="M31" s="449"/>
      <c r="N31" s="709"/>
      <c r="O31" s="485"/>
      <c r="P31" s="709"/>
      <c r="AK31" s="50">
        <v>23</v>
      </c>
    </row>
    <row r="32" ht="48.25" customHeight="1">
      <c r="A32" s="808"/>
      <c r="B32" s="801" t="s">
        <v>672</v>
      </c>
      <c r="C32" s="801" t="s">
        <v>673</v>
      </c>
      <c r="D32" s="802" t="s">
        <v>612</v>
      </c>
      <c r="E32" s="803" t="s">
        <v>623</v>
      </c>
      <c r="F32" s="803" t="s">
        <v>623</v>
      </c>
      <c r="H32" s="125"/>
      <c r="I32" s="817">
        <v>13</v>
      </c>
      <c r="J32" s="313" t="s">
        <v>674</v>
      </c>
      <c r="K32" s="145" t="s">
        <v>595</v>
      </c>
      <c r="L32" s="816"/>
      <c r="M32" s="727"/>
      <c r="N32" s="709"/>
      <c r="O32" s="485" t="s">
        <v>634</v>
      </c>
      <c r="P32" s="709"/>
      <c r="AK32" s="50">
        <v>46</v>
      </c>
    </row>
    <row r="33" s="53" customFormat="1" ht="48.25" customHeight="1">
      <c r="A33" s="808"/>
      <c r="B33" s="801" t="s">
        <v>675</v>
      </c>
      <c r="C33" s="801" t="s">
        <v>676</v>
      </c>
      <c r="D33" s="802" t="s">
        <v>612</v>
      </c>
      <c r="E33" s="803" t="s">
        <v>623</v>
      </c>
      <c r="F33" s="803" t="s">
        <v>623</v>
      </c>
      <c r="G33" s="57"/>
      <c r="H33" s="125"/>
      <c r="I33" s="817">
        <v>14</v>
      </c>
      <c r="J33" s="328" t="s">
        <v>677</v>
      </c>
      <c r="K33" s="304" t="s">
        <v>678</v>
      </c>
      <c r="L33" s="816"/>
      <c r="M33" s="727"/>
      <c r="N33" s="709"/>
      <c r="O33" s="485" t="s">
        <v>634</v>
      </c>
      <c r="P33" s="709"/>
      <c r="Q33" s="57"/>
      <c r="R33" s="57"/>
      <c r="W33" s="57"/>
      <c r="Z33" s="706"/>
      <c r="AF33" s="56"/>
      <c r="AG33" s="56"/>
      <c r="AH33" s="56"/>
      <c r="AI33" s="56"/>
      <c r="AJ33" s="56"/>
      <c r="AK33" s="53">
        <v>46</v>
      </c>
    </row>
    <row r="34" ht="108" customHeight="1">
      <c r="A34" s="808"/>
      <c r="B34" s="801" t="s">
        <v>679</v>
      </c>
      <c r="C34" s="801" t="s">
        <v>680</v>
      </c>
      <c r="D34" s="802" t="s">
        <v>622</v>
      </c>
      <c r="E34" s="803" t="s">
        <v>623</v>
      </c>
      <c r="F34" s="803" t="s">
        <v>623</v>
      </c>
      <c r="G34" s="57" t="s">
        <v>583</v>
      </c>
      <c r="H34" s="125"/>
      <c r="I34" s="218">
        <v>15</v>
      </c>
      <c r="J34" s="313" t="s">
        <v>681</v>
      </c>
      <c r="K34" s="145" t="s">
        <v>301</v>
      </c>
      <c r="L34" s="819"/>
      <c r="M34" s="470"/>
      <c r="N34" s="709"/>
      <c r="O34" s="485" t="s">
        <v>626</v>
      </c>
      <c r="P34" s="709"/>
      <c r="AK34" s="50">
        <v>103</v>
      </c>
    </row>
    <row r="35" s="131" customFormat="1" ht="11.5" customHeight="1">
      <c r="A35" s="705"/>
      <c r="B35" s="705"/>
      <c r="C35" s="705"/>
      <c r="D35" s="705"/>
      <c r="E35" s="705"/>
      <c r="F35" s="57"/>
      <c r="G35" s="57"/>
      <c r="H35" s="131"/>
      <c r="N35" s="53"/>
      <c r="P35" s="53"/>
      <c r="Q35" s="57"/>
      <c r="R35" s="57"/>
      <c r="S35" s="53"/>
      <c r="T35" s="53"/>
      <c r="U35" s="53"/>
      <c r="V35" s="53"/>
      <c r="W35" s="57"/>
      <c r="X35" s="53"/>
      <c r="Y35" s="53"/>
      <c r="Z35" s="706"/>
      <c r="AA35" s="53"/>
      <c r="AB35" s="53"/>
      <c r="AC35" s="53"/>
      <c r="AD35" s="53"/>
      <c r="AE35" s="53"/>
      <c r="AF35" s="56"/>
      <c r="AG35" s="54"/>
      <c r="AH35" s="54"/>
      <c r="AI35" s="54"/>
      <c r="AJ35" s="54"/>
      <c r="AK35" s="131">
        <v>11</v>
      </c>
    </row>
    <row r="36" s="131" customFormat="1" ht="11.5" customHeight="1">
      <c r="A36" s="705"/>
      <c r="B36" s="705"/>
      <c r="C36" s="705"/>
      <c r="D36" s="705"/>
      <c r="E36" s="705"/>
      <c r="F36" s="57"/>
      <c r="G36" s="57"/>
      <c r="H36" s="131"/>
      <c r="N36" s="53"/>
      <c r="P36" s="53"/>
      <c r="Q36" s="57"/>
      <c r="R36" s="57"/>
      <c r="S36" s="53"/>
      <c r="T36" s="53"/>
      <c r="U36" s="53"/>
      <c r="V36" s="53"/>
      <c r="W36" s="57"/>
      <c r="X36" s="53"/>
      <c r="Y36" s="53"/>
      <c r="Z36" s="706"/>
      <c r="AA36" s="53"/>
      <c r="AB36" s="53"/>
      <c r="AC36" s="53"/>
      <c r="AD36" s="53"/>
      <c r="AE36" s="53"/>
      <c r="AF36" s="56"/>
      <c r="AG36" s="54"/>
      <c r="AH36" s="54"/>
      <c r="AI36" s="54"/>
      <c r="AJ36" s="54"/>
      <c r="AK36" s="131">
        <v>11</v>
      </c>
    </row>
    <row r="37" s="131" customFormat="1" ht="11.5" customHeight="1">
      <c r="A37" s="705"/>
      <c r="B37" s="705"/>
      <c r="C37" s="705"/>
      <c r="D37" s="705"/>
      <c r="E37" s="705"/>
      <c r="F37" s="57"/>
      <c r="G37" s="57"/>
      <c r="H37" s="131"/>
      <c r="L37" s="54"/>
      <c r="M37" s="54"/>
      <c r="N37" s="53"/>
      <c r="P37" s="53"/>
      <c r="Q37" s="57"/>
      <c r="R37" s="57"/>
      <c r="S37" s="53"/>
      <c r="T37" s="53"/>
      <c r="U37" s="53"/>
      <c r="V37" s="53"/>
      <c r="W37" s="57"/>
      <c r="X37" s="53"/>
      <c r="Y37" s="53"/>
      <c r="Z37" s="706"/>
      <c r="AA37" s="53"/>
      <c r="AB37" s="53"/>
      <c r="AC37" s="53"/>
      <c r="AD37" s="53"/>
      <c r="AE37" s="53"/>
      <c r="AF37" s="56"/>
      <c r="AG37" s="54"/>
      <c r="AH37" s="54"/>
      <c r="AI37" s="54"/>
      <c r="AJ37" s="54"/>
      <c r="AK37" s="131">
        <v>11</v>
      </c>
    </row>
    <row r="38" s="131" customFormat="1" ht="11.5" customHeight="1">
      <c r="A38" s="705"/>
      <c r="B38" s="705"/>
      <c r="C38" s="705"/>
      <c r="D38" s="705"/>
      <c r="E38" s="705"/>
      <c r="F38" s="57"/>
      <c r="G38" s="57"/>
      <c r="H38" s="131"/>
      <c r="N38" s="53"/>
      <c r="P38" s="53"/>
      <c r="Q38" s="57"/>
      <c r="R38" s="57"/>
      <c r="S38" s="53"/>
      <c r="T38" s="53"/>
      <c r="U38" s="53"/>
      <c r="V38" s="53"/>
      <c r="W38" s="57"/>
      <c r="X38" s="53"/>
      <c r="Y38" s="53"/>
      <c r="Z38" s="706"/>
      <c r="AA38" s="53"/>
      <c r="AB38" s="53"/>
      <c r="AC38" s="53"/>
      <c r="AD38" s="53"/>
      <c r="AE38" s="53"/>
      <c r="AF38" s="56"/>
      <c r="AG38" s="54"/>
      <c r="AH38" s="54"/>
      <c r="AI38" s="54"/>
      <c r="AJ38" s="54"/>
      <c r="AK38" s="131">
        <v>11</v>
      </c>
    </row>
    <row r="39" s="131" customFormat="1" ht="11.5" customHeight="1">
      <c r="A39" s="705"/>
      <c r="B39" s="705"/>
      <c r="C39" s="705"/>
      <c r="D39" s="705"/>
      <c r="E39" s="705"/>
      <c r="F39" s="57"/>
      <c r="G39" s="57"/>
      <c r="H39" s="131"/>
      <c r="N39" s="53"/>
      <c r="P39" s="53"/>
      <c r="Q39" s="57"/>
      <c r="R39" s="57"/>
      <c r="S39" s="53"/>
      <c r="T39" s="53"/>
      <c r="U39" s="53"/>
      <c r="V39" s="53"/>
      <c r="W39" s="57"/>
      <c r="X39" s="53"/>
      <c r="Y39" s="53"/>
      <c r="Z39" s="706"/>
      <c r="AA39" s="53"/>
      <c r="AB39" s="53"/>
      <c r="AC39" s="53"/>
      <c r="AD39" s="53"/>
      <c r="AE39" s="53"/>
      <c r="AF39" s="56"/>
      <c r="AG39" s="54"/>
      <c r="AH39" s="54"/>
      <c r="AI39" s="54"/>
      <c r="AJ39" s="54"/>
      <c r="AK39" s="131">
        <v>11</v>
      </c>
    </row>
    <row r="40" s="131" customFormat="1" ht="11.5" customHeight="1">
      <c r="A40" s="705"/>
      <c r="B40" s="705"/>
      <c r="C40" s="705"/>
      <c r="D40" s="705"/>
      <c r="E40" s="705"/>
      <c r="F40" s="57"/>
      <c r="G40" s="57"/>
      <c r="H40" s="131"/>
      <c r="N40" s="53"/>
      <c r="P40" s="53"/>
      <c r="Q40" s="57"/>
      <c r="R40" s="57"/>
      <c r="S40" s="53"/>
      <c r="T40" s="53"/>
      <c r="U40" s="53"/>
      <c r="V40" s="53"/>
      <c r="W40" s="57"/>
      <c r="X40" s="53"/>
      <c r="Y40" s="53"/>
      <c r="Z40" s="706"/>
      <c r="AA40" s="53"/>
      <c r="AB40" s="53"/>
      <c r="AC40" s="53"/>
      <c r="AD40" s="53"/>
      <c r="AE40" s="53"/>
      <c r="AF40" s="56"/>
      <c r="AG40" s="54"/>
      <c r="AH40" s="54"/>
      <c r="AI40" s="54"/>
      <c r="AJ40" s="54"/>
      <c r="AK40" s="131">
        <v>11</v>
      </c>
    </row>
    <row r="41" s="131" customFormat="1" ht="11.5" customHeight="1">
      <c r="A41" s="705"/>
      <c r="B41" s="705"/>
      <c r="C41" s="705"/>
      <c r="D41" s="705"/>
      <c r="E41" s="705"/>
      <c r="F41" s="57"/>
      <c r="G41" s="57"/>
      <c r="H41" s="131"/>
      <c r="N41" s="53"/>
      <c r="P41" s="53"/>
      <c r="Q41" s="57"/>
      <c r="R41" s="57"/>
      <c r="S41" s="53"/>
      <c r="T41" s="53"/>
      <c r="U41" s="53"/>
      <c r="V41" s="53"/>
      <c r="W41" s="57"/>
      <c r="X41" s="53"/>
      <c r="Y41" s="53"/>
      <c r="Z41" s="706"/>
      <c r="AA41" s="53"/>
      <c r="AB41" s="53"/>
      <c r="AC41" s="53"/>
      <c r="AD41" s="53"/>
      <c r="AE41" s="53"/>
      <c r="AF41" s="56"/>
      <c r="AG41" s="54"/>
      <c r="AH41" s="54"/>
      <c r="AI41" s="54"/>
      <c r="AJ41" s="54"/>
      <c r="AK41" s="131">
        <v>11</v>
      </c>
    </row>
    <row r="42" s="131" customFormat="1" ht="11.5" customHeight="1">
      <c r="A42" s="705"/>
      <c r="B42" s="705"/>
      <c r="C42" s="705"/>
      <c r="D42" s="705"/>
      <c r="E42" s="705"/>
      <c r="F42" s="57"/>
      <c r="G42" s="57"/>
      <c r="H42" s="131"/>
      <c r="N42" s="53"/>
      <c r="P42" s="53"/>
      <c r="Q42" s="57"/>
      <c r="R42" s="57"/>
      <c r="S42" s="53"/>
      <c r="T42" s="53"/>
      <c r="U42" s="53"/>
      <c r="V42" s="53"/>
      <c r="W42" s="57"/>
      <c r="X42" s="53"/>
      <c r="Y42" s="53"/>
      <c r="Z42" s="706"/>
      <c r="AA42" s="53"/>
      <c r="AB42" s="53"/>
      <c r="AC42" s="53"/>
      <c r="AD42" s="53"/>
      <c r="AE42" s="53"/>
      <c r="AF42" s="56"/>
      <c r="AG42" s="54"/>
      <c r="AH42" s="54"/>
      <c r="AI42" s="54"/>
      <c r="AJ42" s="54"/>
      <c r="AK42" s="131">
        <v>11</v>
      </c>
    </row>
    <row r="43" s="131" customFormat="1" ht="11.5" customHeight="1">
      <c r="A43" s="705"/>
      <c r="B43" s="705"/>
      <c r="C43" s="705"/>
      <c r="D43" s="705"/>
      <c r="E43" s="705"/>
      <c r="F43" s="57"/>
      <c r="G43" s="57"/>
      <c r="H43" s="131"/>
      <c r="N43" s="53"/>
      <c r="P43" s="53"/>
      <c r="Q43" s="57"/>
      <c r="R43" s="57"/>
      <c r="S43" s="53"/>
      <c r="T43" s="53"/>
      <c r="U43" s="53"/>
      <c r="V43" s="53"/>
      <c r="W43" s="57"/>
      <c r="X43" s="53"/>
      <c r="Y43" s="53"/>
      <c r="Z43" s="706"/>
      <c r="AA43" s="53"/>
      <c r="AB43" s="53"/>
      <c r="AC43" s="53"/>
      <c r="AD43" s="53"/>
      <c r="AE43" s="53"/>
      <c r="AF43" s="56"/>
      <c r="AG43" s="54"/>
      <c r="AH43" s="54"/>
      <c r="AI43" s="54"/>
      <c r="AJ43" s="54"/>
      <c r="AK43" s="131">
        <v>11</v>
      </c>
    </row>
    <row r="44" s="131" customFormat="1" ht="11.5" customHeight="1">
      <c r="A44" s="705"/>
      <c r="B44" s="705"/>
      <c r="C44" s="705"/>
      <c r="D44" s="705"/>
      <c r="E44" s="705"/>
      <c r="F44" s="57"/>
      <c r="G44" s="57"/>
      <c r="H44" s="131"/>
      <c r="N44" s="53"/>
      <c r="P44" s="53"/>
      <c r="Q44" s="57"/>
      <c r="R44" s="57"/>
      <c r="S44" s="53"/>
      <c r="T44" s="53"/>
      <c r="U44" s="53"/>
      <c r="V44" s="53"/>
      <c r="W44" s="57"/>
      <c r="X44" s="53"/>
      <c r="Y44" s="53"/>
      <c r="Z44" s="706"/>
      <c r="AA44" s="53"/>
      <c r="AB44" s="53"/>
      <c r="AC44" s="53"/>
      <c r="AD44" s="53"/>
      <c r="AE44" s="53"/>
      <c r="AF44" s="56"/>
      <c r="AG44" s="54"/>
      <c r="AH44" s="54"/>
      <c r="AI44" s="54"/>
      <c r="AJ44" s="54"/>
      <c r="AK44" s="131">
        <v>11</v>
      </c>
    </row>
    <row r="45" s="131" customFormat="1" ht="11.5" customHeight="1">
      <c r="A45" s="705"/>
      <c r="B45" s="705"/>
      <c r="C45" s="705"/>
      <c r="D45" s="705"/>
      <c r="E45" s="705"/>
      <c r="F45" s="57"/>
      <c r="G45" s="57"/>
      <c r="H45" s="131"/>
      <c r="N45" s="53"/>
      <c r="P45" s="53"/>
      <c r="Q45" s="57"/>
      <c r="R45" s="57"/>
      <c r="S45" s="53"/>
      <c r="T45" s="53"/>
      <c r="U45" s="53"/>
      <c r="V45" s="53"/>
      <c r="W45" s="57"/>
      <c r="X45" s="53"/>
      <c r="Y45" s="53"/>
      <c r="Z45" s="706"/>
      <c r="AA45" s="53"/>
      <c r="AB45" s="53"/>
      <c r="AC45" s="53"/>
      <c r="AD45" s="53"/>
      <c r="AE45" s="53"/>
      <c r="AF45" s="56"/>
      <c r="AG45" s="54"/>
      <c r="AH45" s="54"/>
      <c r="AI45" s="54"/>
      <c r="AJ45" s="54"/>
      <c r="AK45" s="131">
        <v>11</v>
      </c>
    </row>
    <row r="46" s="131" customFormat="1" ht="11.5" customHeight="1">
      <c r="A46" s="705"/>
      <c r="B46" s="705"/>
      <c r="C46" s="705"/>
      <c r="D46" s="705"/>
      <c r="E46" s="705"/>
      <c r="F46" s="57"/>
      <c r="G46" s="57"/>
      <c r="H46" s="131"/>
      <c r="N46" s="53"/>
      <c r="P46" s="53"/>
      <c r="Q46" s="57"/>
      <c r="R46" s="57"/>
      <c r="S46" s="53"/>
      <c r="T46" s="53"/>
      <c r="U46" s="53"/>
      <c r="V46" s="53"/>
      <c r="W46" s="57"/>
      <c r="X46" s="53"/>
      <c r="Y46" s="53"/>
      <c r="Z46" s="706"/>
      <c r="AA46" s="53"/>
      <c r="AB46" s="53"/>
      <c r="AC46" s="53"/>
      <c r="AD46" s="53"/>
      <c r="AE46" s="53"/>
      <c r="AF46" s="56"/>
      <c r="AG46" s="54"/>
      <c r="AH46" s="54"/>
      <c r="AI46" s="54"/>
      <c r="AJ46" s="54"/>
      <c r="AK46" s="131">
        <v>11</v>
      </c>
    </row>
    <row r="47" s="131" customFormat="1" ht="11.5" customHeight="1">
      <c r="A47" s="705"/>
      <c r="B47" s="705"/>
      <c r="C47" s="705"/>
      <c r="D47" s="705"/>
      <c r="E47" s="705"/>
      <c r="F47" s="57"/>
      <c r="G47" s="57"/>
      <c r="H47" s="131"/>
      <c r="N47" s="53"/>
      <c r="P47" s="53"/>
      <c r="Q47" s="57"/>
      <c r="R47" s="57"/>
      <c r="S47" s="53"/>
      <c r="T47" s="53"/>
      <c r="U47" s="53"/>
      <c r="V47" s="53"/>
      <c r="W47" s="57"/>
      <c r="X47" s="53"/>
      <c r="Y47" s="53"/>
      <c r="Z47" s="706"/>
      <c r="AA47" s="53"/>
      <c r="AB47" s="53"/>
      <c r="AC47" s="53"/>
      <c r="AD47" s="53"/>
      <c r="AE47" s="53"/>
      <c r="AF47" s="56"/>
      <c r="AG47" s="54"/>
      <c r="AH47" s="54"/>
      <c r="AI47" s="54"/>
      <c r="AJ47" s="54"/>
      <c r="AK47" s="131">
        <v>11</v>
      </c>
    </row>
    <row r="48" s="131" customFormat="1" ht="11.5" customHeight="1">
      <c r="A48" s="705"/>
      <c r="B48" s="705"/>
      <c r="C48" s="705"/>
      <c r="D48" s="705"/>
      <c r="E48" s="705"/>
      <c r="F48" s="57"/>
      <c r="G48" s="57"/>
      <c r="H48" s="131"/>
      <c r="N48" s="53"/>
      <c r="P48" s="53"/>
      <c r="Q48" s="57"/>
      <c r="R48" s="57"/>
      <c r="S48" s="53"/>
      <c r="T48" s="53"/>
      <c r="U48" s="53"/>
      <c r="V48" s="53"/>
      <c r="W48" s="57"/>
      <c r="X48" s="53"/>
      <c r="Y48" s="53"/>
      <c r="Z48" s="706"/>
      <c r="AA48" s="53"/>
      <c r="AB48" s="53"/>
      <c r="AC48" s="53"/>
      <c r="AD48" s="53"/>
      <c r="AE48" s="53"/>
      <c r="AF48" s="56"/>
      <c r="AG48" s="54"/>
      <c r="AH48" s="54"/>
      <c r="AI48" s="54"/>
      <c r="AJ48" s="54"/>
      <c r="AK48" s="131">
        <v>11</v>
      </c>
    </row>
    <row r="49" s="131" customFormat="1" ht="11.5" customHeight="1">
      <c r="A49" s="705"/>
      <c r="B49" s="705"/>
      <c r="C49" s="705"/>
      <c r="D49" s="705"/>
      <c r="E49" s="705"/>
      <c r="F49" s="57"/>
      <c r="G49" s="57"/>
      <c r="H49" s="131"/>
      <c r="N49" s="53"/>
      <c r="P49" s="53"/>
      <c r="Q49" s="57"/>
      <c r="R49" s="57"/>
      <c r="S49" s="53"/>
      <c r="T49" s="53"/>
      <c r="U49" s="53"/>
      <c r="V49" s="53"/>
      <c r="W49" s="57"/>
      <c r="X49" s="53"/>
      <c r="Y49" s="53"/>
      <c r="Z49" s="706"/>
      <c r="AA49" s="53"/>
      <c r="AB49" s="53"/>
      <c r="AC49" s="53"/>
      <c r="AD49" s="53"/>
      <c r="AE49" s="53"/>
      <c r="AF49" s="56"/>
      <c r="AG49" s="54"/>
      <c r="AH49" s="54"/>
      <c r="AI49" s="54"/>
      <c r="AJ49" s="54"/>
      <c r="AK49" s="131">
        <v>11</v>
      </c>
    </row>
    <row r="50" s="131" customFormat="1" ht="11.5" customHeight="1">
      <c r="A50" s="705"/>
      <c r="B50" s="705"/>
      <c r="C50" s="705"/>
      <c r="D50" s="705"/>
      <c r="E50" s="705"/>
      <c r="F50" s="57"/>
      <c r="G50" s="57"/>
      <c r="H50" s="131"/>
      <c r="N50" s="53"/>
      <c r="P50" s="53"/>
      <c r="Q50" s="57"/>
      <c r="R50" s="57"/>
      <c r="S50" s="53"/>
      <c r="T50" s="53"/>
      <c r="U50" s="53"/>
      <c r="V50" s="53"/>
      <c r="W50" s="57"/>
      <c r="X50" s="53"/>
      <c r="Y50" s="53"/>
      <c r="Z50" s="706"/>
      <c r="AA50" s="53"/>
      <c r="AB50" s="53"/>
      <c r="AC50" s="53"/>
      <c r="AD50" s="53"/>
      <c r="AE50" s="53"/>
      <c r="AF50" s="56"/>
      <c r="AG50" s="54"/>
      <c r="AH50" s="54"/>
      <c r="AI50" s="54"/>
      <c r="AJ50" s="54"/>
      <c r="AK50" s="131">
        <v>11</v>
      </c>
    </row>
    <row r="51" s="131" customFormat="1" ht="11.5" customHeight="1">
      <c r="A51" s="705"/>
      <c r="B51" s="705"/>
      <c r="C51" s="705"/>
      <c r="D51" s="705"/>
      <c r="E51" s="705"/>
      <c r="F51" s="57"/>
      <c r="G51" s="57"/>
      <c r="H51" s="131"/>
      <c r="N51" s="53"/>
      <c r="P51" s="53"/>
      <c r="Q51" s="57"/>
      <c r="R51" s="57"/>
      <c r="S51" s="53"/>
      <c r="T51" s="53"/>
      <c r="U51" s="53"/>
      <c r="V51" s="53"/>
      <c r="W51" s="57"/>
      <c r="X51" s="53"/>
      <c r="Y51" s="53"/>
      <c r="Z51" s="706"/>
      <c r="AA51" s="53"/>
      <c r="AB51" s="53"/>
      <c r="AC51" s="53"/>
      <c r="AD51" s="53"/>
      <c r="AE51" s="53"/>
      <c r="AF51" s="56"/>
      <c r="AG51" s="54"/>
      <c r="AH51" s="54"/>
      <c r="AI51" s="54"/>
      <c r="AJ51" s="54"/>
      <c r="AK51" s="131">
        <v>11</v>
      </c>
    </row>
    <row r="52" s="131" customFormat="1" ht="11.5" customHeight="1">
      <c r="A52" s="705"/>
      <c r="B52" s="705"/>
      <c r="C52" s="705"/>
      <c r="D52" s="705"/>
      <c r="E52" s="705"/>
      <c r="F52" s="57"/>
      <c r="G52" s="57"/>
      <c r="H52" s="131"/>
      <c r="N52" s="53"/>
      <c r="P52" s="53"/>
      <c r="Q52" s="57"/>
      <c r="R52" s="57"/>
      <c r="S52" s="53"/>
      <c r="T52" s="53"/>
      <c r="U52" s="53"/>
      <c r="V52" s="53"/>
      <c r="W52" s="57"/>
      <c r="X52" s="53"/>
      <c r="Y52" s="53"/>
      <c r="Z52" s="706"/>
      <c r="AA52" s="53"/>
      <c r="AB52" s="53"/>
      <c r="AC52" s="53"/>
      <c r="AD52" s="53"/>
      <c r="AE52" s="53"/>
      <c r="AF52" s="56"/>
      <c r="AG52" s="54"/>
      <c r="AH52" s="54"/>
      <c r="AI52" s="54"/>
      <c r="AJ52" s="54"/>
      <c r="AK52" s="131">
        <v>11</v>
      </c>
    </row>
    <row r="53" s="131" customFormat="1" ht="11.5" customHeight="1">
      <c r="A53" s="705"/>
      <c r="B53" s="705"/>
      <c r="C53" s="705"/>
      <c r="D53" s="705"/>
      <c r="E53" s="705"/>
      <c r="F53" s="57"/>
      <c r="G53" s="57"/>
      <c r="H53" s="131"/>
      <c r="N53" s="53"/>
      <c r="P53" s="53"/>
      <c r="Q53" s="57"/>
      <c r="R53" s="57"/>
      <c r="S53" s="53"/>
      <c r="T53" s="53"/>
      <c r="U53" s="53"/>
      <c r="V53" s="53"/>
      <c r="W53" s="57"/>
      <c r="X53" s="53"/>
      <c r="Y53" s="53"/>
      <c r="Z53" s="706"/>
      <c r="AA53" s="53"/>
      <c r="AB53" s="53"/>
      <c r="AC53" s="53"/>
      <c r="AD53" s="53"/>
      <c r="AE53" s="53"/>
      <c r="AF53" s="56"/>
      <c r="AG53" s="54"/>
      <c r="AH53" s="54"/>
      <c r="AI53" s="54"/>
      <c r="AJ53" s="54"/>
      <c r="AK53" s="131">
        <v>11</v>
      </c>
    </row>
    <row r="54" s="131" customFormat="1" ht="11.5" customHeight="1">
      <c r="A54" s="705"/>
      <c r="B54" s="705"/>
      <c r="C54" s="705"/>
      <c r="D54" s="705"/>
      <c r="E54" s="705"/>
      <c r="F54" s="57"/>
      <c r="G54" s="57"/>
      <c r="H54" s="131"/>
      <c r="N54" s="53"/>
      <c r="P54" s="53"/>
      <c r="Q54" s="57"/>
      <c r="R54" s="57"/>
      <c r="S54" s="53"/>
      <c r="T54" s="53"/>
      <c r="U54" s="53"/>
      <c r="V54" s="53"/>
      <c r="W54" s="57"/>
      <c r="X54" s="53"/>
      <c r="Y54" s="53"/>
      <c r="Z54" s="706"/>
      <c r="AA54" s="53"/>
      <c r="AB54" s="53"/>
      <c r="AC54" s="53"/>
      <c r="AD54" s="53"/>
      <c r="AE54" s="53"/>
      <c r="AF54" s="56"/>
      <c r="AG54" s="54"/>
      <c r="AH54" s="54"/>
      <c r="AI54" s="54"/>
      <c r="AJ54" s="54"/>
      <c r="AK54" s="131">
        <v>11</v>
      </c>
    </row>
    <row r="55" s="131" customFormat="1" ht="11.5" customHeight="1">
      <c r="A55" s="705"/>
      <c r="B55" s="705"/>
      <c r="C55" s="705"/>
      <c r="D55" s="705"/>
      <c r="E55" s="705"/>
      <c r="F55" s="57"/>
      <c r="G55" s="57"/>
      <c r="H55" s="131"/>
      <c r="N55" s="53"/>
      <c r="P55" s="53"/>
      <c r="Q55" s="57"/>
      <c r="R55" s="57"/>
      <c r="S55" s="53"/>
      <c r="T55" s="53"/>
      <c r="U55" s="53"/>
      <c r="V55" s="53"/>
      <c r="W55" s="57"/>
      <c r="X55" s="53"/>
      <c r="Y55" s="53"/>
      <c r="Z55" s="706"/>
      <c r="AA55" s="53"/>
      <c r="AB55" s="53"/>
      <c r="AC55" s="53"/>
      <c r="AD55" s="53"/>
      <c r="AE55" s="53"/>
      <c r="AF55" s="56"/>
      <c r="AG55" s="54"/>
      <c r="AH55" s="54"/>
      <c r="AI55" s="54"/>
      <c r="AJ55" s="54"/>
      <c r="AK55" s="131">
        <v>11</v>
      </c>
    </row>
    <row r="56" s="131" customFormat="1" ht="11.5" customHeight="1">
      <c r="A56" s="705"/>
      <c r="B56" s="705"/>
      <c r="C56" s="705"/>
      <c r="D56" s="705"/>
      <c r="E56" s="705"/>
      <c r="F56" s="57"/>
      <c r="G56" s="57"/>
      <c r="H56" s="131"/>
      <c r="N56" s="53"/>
      <c r="P56" s="53"/>
      <c r="Q56" s="57"/>
      <c r="R56" s="57"/>
      <c r="S56" s="53"/>
      <c r="T56" s="53"/>
      <c r="U56" s="53"/>
      <c r="V56" s="53"/>
      <c r="W56" s="57"/>
      <c r="X56" s="53"/>
      <c r="Y56" s="53"/>
      <c r="Z56" s="706"/>
      <c r="AA56" s="53"/>
      <c r="AB56" s="53"/>
      <c r="AC56" s="53"/>
      <c r="AD56" s="53"/>
      <c r="AE56" s="53"/>
      <c r="AF56" s="56"/>
      <c r="AG56" s="54"/>
      <c r="AH56" s="54"/>
      <c r="AI56" s="54"/>
      <c r="AJ56" s="54"/>
      <c r="AK56" s="131">
        <v>11</v>
      </c>
    </row>
    <row r="57" s="131" customFormat="1" ht="11.5" customHeight="1">
      <c r="A57" s="705"/>
      <c r="B57" s="705"/>
      <c r="C57" s="705"/>
      <c r="D57" s="705"/>
      <c r="E57" s="705"/>
      <c r="F57" s="57"/>
      <c r="G57" s="57"/>
      <c r="H57" s="131"/>
      <c r="N57" s="53"/>
      <c r="P57" s="53"/>
      <c r="Q57" s="57"/>
      <c r="R57" s="57"/>
      <c r="S57" s="53"/>
      <c r="T57" s="53"/>
      <c r="U57" s="53"/>
      <c r="V57" s="53"/>
      <c r="W57" s="57"/>
      <c r="X57" s="53"/>
      <c r="Y57" s="53"/>
      <c r="Z57" s="706"/>
      <c r="AA57" s="53"/>
      <c r="AB57" s="53"/>
      <c r="AC57" s="53"/>
      <c r="AD57" s="53"/>
      <c r="AE57" s="53"/>
      <c r="AF57" s="56"/>
      <c r="AG57" s="54"/>
      <c r="AH57" s="54"/>
      <c r="AI57" s="54"/>
      <c r="AJ57" s="54"/>
      <c r="AK57" s="131">
        <v>11</v>
      </c>
    </row>
    <row r="58" s="131" customFormat="1" ht="11.5" customHeight="1">
      <c r="A58" s="705"/>
      <c r="B58" s="705"/>
      <c r="C58" s="705"/>
      <c r="D58" s="705"/>
      <c r="E58" s="705"/>
      <c r="F58" s="57"/>
      <c r="G58" s="57"/>
      <c r="H58" s="131"/>
      <c r="N58" s="53"/>
      <c r="P58" s="53"/>
      <c r="Q58" s="57"/>
      <c r="R58" s="57"/>
      <c r="S58" s="53"/>
      <c r="T58" s="53"/>
      <c r="U58" s="53"/>
      <c r="V58" s="53"/>
      <c r="W58" s="57"/>
      <c r="X58" s="53"/>
      <c r="Y58" s="53"/>
      <c r="Z58" s="706"/>
      <c r="AA58" s="53"/>
      <c r="AB58" s="53"/>
      <c r="AC58" s="53"/>
      <c r="AD58" s="53"/>
      <c r="AE58" s="53"/>
      <c r="AF58" s="56"/>
      <c r="AG58" s="54"/>
      <c r="AH58" s="54"/>
      <c r="AI58" s="54"/>
      <c r="AJ58" s="54"/>
      <c r="AK58" s="131">
        <v>11</v>
      </c>
    </row>
    <row r="59" s="131" customFormat="1" ht="11.5" customHeight="1">
      <c r="A59" s="705"/>
      <c r="B59" s="705"/>
      <c r="C59" s="705"/>
      <c r="D59" s="705"/>
      <c r="E59" s="705"/>
      <c r="F59" s="57"/>
      <c r="G59" s="57"/>
      <c r="H59" s="131"/>
      <c r="N59" s="53"/>
      <c r="P59" s="53"/>
      <c r="Q59" s="57"/>
      <c r="R59" s="57"/>
      <c r="S59" s="53"/>
      <c r="T59" s="53"/>
      <c r="U59" s="53"/>
      <c r="V59" s="53"/>
      <c r="W59" s="57"/>
      <c r="X59" s="53"/>
      <c r="Y59" s="53"/>
      <c r="Z59" s="706"/>
      <c r="AA59" s="53"/>
      <c r="AB59" s="53"/>
      <c r="AC59" s="53"/>
      <c r="AD59" s="53"/>
      <c r="AE59" s="53"/>
      <c r="AF59" s="56"/>
      <c r="AG59" s="54"/>
      <c r="AH59" s="54"/>
      <c r="AI59" s="54"/>
      <c r="AJ59" s="54"/>
      <c r="AK59" s="131">
        <v>11</v>
      </c>
    </row>
    <row r="60" s="131" customFormat="1" ht="11.5" customHeight="1">
      <c r="A60" s="705"/>
      <c r="B60" s="705"/>
      <c r="C60" s="705"/>
      <c r="D60" s="705"/>
      <c r="E60" s="705"/>
      <c r="F60" s="57"/>
      <c r="G60" s="57"/>
      <c r="H60" s="131"/>
      <c r="N60" s="53"/>
      <c r="P60" s="53"/>
      <c r="Q60" s="57"/>
      <c r="R60" s="57"/>
      <c r="S60" s="53"/>
      <c r="T60" s="53"/>
      <c r="U60" s="53"/>
      <c r="V60" s="53"/>
      <c r="W60" s="57"/>
      <c r="X60" s="53"/>
      <c r="Y60" s="53"/>
      <c r="Z60" s="706"/>
      <c r="AA60" s="53"/>
      <c r="AB60" s="53"/>
      <c r="AC60" s="53"/>
      <c r="AD60" s="53"/>
      <c r="AE60" s="53"/>
      <c r="AF60" s="56"/>
      <c r="AG60" s="54"/>
      <c r="AH60" s="54"/>
      <c r="AI60" s="54"/>
      <c r="AJ60" s="54"/>
      <c r="AK60" s="131">
        <v>11</v>
      </c>
    </row>
    <row r="61" s="131" customFormat="1" ht="11.5" customHeight="1">
      <c r="A61" s="705"/>
      <c r="B61" s="705"/>
      <c r="C61" s="705"/>
      <c r="D61" s="705"/>
      <c r="E61" s="705"/>
      <c r="F61" s="57"/>
      <c r="G61" s="57"/>
      <c r="H61" s="131"/>
      <c r="N61" s="53"/>
      <c r="P61" s="53"/>
      <c r="Q61" s="57"/>
      <c r="R61" s="57"/>
      <c r="S61" s="53"/>
      <c r="T61" s="53"/>
      <c r="U61" s="53"/>
      <c r="V61" s="53"/>
      <c r="W61" s="57"/>
      <c r="X61" s="53"/>
      <c r="Y61" s="53"/>
      <c r="Z61" s="706"/>
      <c r="AA61" s="53"/>
      <c r="AB61" s="53"/>
      <c r="AC61" s="53"/>
      <c r="AD61" s="53"/>
      <c r="AE61" s="53"/>
      <c r="AF61" s="56"/>
      <c r="AG61" s="54"/>
      <c r="AH61" s="54"/>
      <c r="AI61" s="54"/>
      <c r="AJ61" s="54"/>
      <c r="AK61" s="131">
        <v>11</v>
      </c>
    </row>
    <row r="62" s="131" customFormat="1" ht="11.5" customHeight="1">
      <c r="A62" s="705"/>
      <c r="B62" s="705"/>
      <c r="C62" s="705"/>
      <c r="D62" s="705"/>
      <c r="E62" s="705"/>
      <c r="F62" s="57"/>
      <c r="G62" s="57"/>
      <c r="H62" s="131"/>
      <c r="N62" s="53"/>
      <c r="P62" s="53"/>
      <c r="Q62" s="57"/>
      <c r="R62" s="57"/>
      <c r="S62" s="53"/>
      <c r="T62" s="53"/>
      <c r="U62" s="53"/>
      <c r="V62" s="53"/>
      <c r="W62" s="57"/>
      <c r="X62" s="53"/>
      <c r="Y62" s="53"/>
      <c r="Z62" s="706"/>
      <c r="AA62" s="53"/>
      <c r="AB62" s="53"/>
      <c r="AC62" s="53"/>
      <c r="AD62" s="53"/>
      <c r="AE62" s="53"/>
      <c r="AF62" s="56"/>
      <c r="AG62" s="54"/>
      <c r="AH62" s="54"/>
      <c r="AI62" s="54"/>
      <c r="AJ62" s="54"/>
      <c r="AK62" s="131">
        <v>11</v>
      </c>
    </row>
    <row r="63" s="131" customFormat="1" ht="11.5" customHeight="1">
      <c r="A63" s="705"/>
      <c r="B63" s="705"/>
      <c r="C63" s="705"/>
      <c r="D63" s="705"/>
      <c r="E63" s="705"/>
      <c r="F63" s="57"/>
      <c r="G63" s="57"/>
      <c r="H63" s="131"/>
      <c r="N63" s="53"/>
      <c r="P63" s="53"/>
      <c r="Q63" s="57"/>
      <c r="R63" s="57"/>
      <c r="S63" s="53"/>
      <c r="T63" s="53"/>
      <c r="U63" s="53"/>
      <c r="V63" s="53"/>
      <c r="W63" s="57"/>
      <c r="X63" s="53"/>
      <c r="Y63" s="53"/>
      <c r="Z63" s="706"/>
      <c r="AA63" s="53"/>
      <c r="AB63" s="53"/>
      <c r="AC63" s="53"/>
      <c r="AD63" s="53"/>
      <c r="AE63" s="53"/>
      <c r="AF63" s="56"/>
      <c r="AG63" s="54"/>
      <c r="AH63" s="54"/>
      <c r="AI63" s="54"/>
      <c r="AJ63" s="54"/>
      <c r="AK63" s="131">
        <v>11</v>
      </c>
    </row>
    <row r="64" s="131" customFormat="1" ht="11.5" customHeight="1">
      <c r="A64" s="705"/>
      <c r="B64" s="705"/>
      <c r="C64" s="705"/>
      <c r="D64" s="705"/>
      <c r="E64" s="705"/>
      <c r="F64" s="57"/>
      <c r="G64" s="57"/>
      <c r="H64" s="131"/>
      <c r="N64" s="53"/>
      <c r="P64" s="53"/>
      <c r="Q64" s="57"/>
      <c r="R64" s="57"/>
      <c r="S64" s="53"/>
      <c r="T64" s="53"/>
      <c r="U64" s="53"/>
      <c r="V64" s="53"/>
      <c r="W64" s="57"/>
      <c r="X64" s="53"/>
      <c r="Y64" s="53"/>
      <c r="Z64" s="706"/>
      <c r="AA64" s="53"/>
      <c r="AB64" s="53"/>
      <c r="AC64" s="53"/>
      <c r="AD64" s="53"/>
      <c r="AE64" s="53"/>
      <c r="AF64" s="56"/>
      <c r="AG64" s="54"/>
      <c r="AH64" s="54"/>
      <c r="AI64" s="54"/>
      <c r="AJ64" s="54"/>
      <c r="AK64" s="131">
        <v>11</v>
      </c>
    </row>
    <row r="65" s="131" customFormat="1" ht="11.5" customHeight="1">
      <c r="A65" s="705"/>
      <c r="B65" s="705"/>
      <c r="C65" s="705"/>
      <c r="D65" s="705"/>
      <c r="E65" s="705"/>
      <c r="F65" s="57"/>
      <c r="G65" s="57"/>
      <c r="H65" s="131"/>
      <c r="N65" s="53"/>
      <c r="P65" s="53"/>
      <c r="Q65" s="57"/>
      <c r="R65" s="57"/>
      <c r="S65" s="53"/>
      <c r="T65" s="53"/>
      <c r="U65" s="53"/>
      <c r="V65" s="53"/>
      <c r="W65" s="57"/>
      <c r="X65" s="53"/>
      <c r="Y65" s="53"/>
      <c r="Z65" s="706"/>
      <c r="AA65" s="53"/>
      <c r="AB65" s="53"/>
      <c r="AC65" s="53"/>
      <c r="AD65" s="53"/>
      <c r="AE65" s="53"/>
      <c r="AF65" s="56"/>
      <c r="AG65" s="54"/>
      <c r="AH65" s="54"/>
      <c r="AI65" s="54"/>
      <c r="AJ65" s="54"/>
      <c r="AK65" s="131">
        <v>11</v>
      </c>
    </row>
    <row r="66" s="131" customFormat="1" ht="11.5" customHeight="1">
      <c r="A66" s="705"/>
      <c r="B66" s="705"/>
      <c r="C66" s="705"/>
      <c r="D66" s="705"/>
      <c r="E66" s="705"/>
      <c r="F66" s="57"/>
      <c r="G66" s="57"/>
      <c r="H66" s="131"/>
      <c r="N66" s="53"/>
      <c r="P66" s="53"/>
      <c r="Q66" s="57"/>
      <c r="R66" s="57"/>
      <c r="S66" s="53"/>
      <c r="T66" s="53"/>
      <c r="U66" s="53"/>
      <c r="V66" s="53"/>
      <c r="W66" s="57"/>
      <c r="X66" s="53"/>
      <c r="Y66" s="53"/>
      <c r="Z66" s="706"/>
      <c r="AA66" s="53"/>
      <c r="AB66" s="53"/>
      <c r="AC66" s="53"/>
      <c r="AD66" s="53"/>
      <c r="AE66" s="53"/>
      <c r="AF66" s="56"/>
      <c r="AG66" s="54"/>
      <c r="AH66" s="54"/>
      <c r="AI66" s="54"/>
      <c r="AJ66" s="54"/>
      <c r="AK66" s="131">
        <v>11</v>
      </c>
    </row>
    <row r="67" s="131" customFormat="1" ht="11.5" customHeight="1">
      <c r="A67" s="705"/>
      <c r="B67" s="705"/>
      <c r="C67" s="705"/>
      <c r="D67" s="705"/>
      <c r="E67" s="705"/>
      <c r="F67" s="57"/>
      <c r="G67" s="57"/>
      <c r="H67" s="131"/>
      <c r="N67" s="53"/>
      <c r="P67" s="53"/>
      <c r="Q67" s="57"/>
      <c r="R67" s="57"/>
      <c r="S67" s="53"/>
      <c r="T67" s="53"/>
      <c r="U67" s="53"/>
      <c r="V67" s="53"/>
      <c r="W67" s="57"/>
      <c r="X67" s="53"/>
      <c r="Y67" s="53"/>
      <c r="Z67" s="706"/>
      <c r="AA67" s="53"/>
      <c r="AB67" s="53"/>
      <c r="AC67" s="53"/>
      <c r="AD67" s="53"/>
      <c r="AE67" s="53"/>
      <c r="AF67" s="56"/>
      <c r="AG67" s="54"/>
      <c r="AH67" s="54"/>
      <c r="AI67" s="54"/>
      <c r="AJ67" s="54"/>
      <c r="AK67" s="131">
        <v>11</v>
      </c>
    </row>
    <row r="68" s="131" customFormat="1" ht="11.5" customHeight="1">
      <c r="A68" s="705"/>
      <c r="B68" s="705"/>
      <c r="C68" s="705"/>
      <c r="D68" s="705"/>
      <c r="E68" s="705"/>
      <c r="F68" s="57"/>
      <c r="G68" s="57"/>
      <c r="H68" s="131"/>
      <c r="N68" s="53"/>
      <c r="P68" s="53"/>
      <c r="Q68" s="57"/>
      <c r="R68" s="57"/>
      <c r="S68" s="53"/>
      <c r="T68" s="53"/>
      <c r="U68" s="53"/>
      <c r="V68" s="53"/>
      <c r="W68" s="57"/>
      <c r="X68" s="53"/>
      <c r="Y68" s="53"/>
      <c r="Z68" s="706"/>
      <c r="AA68" s="53"/>
      <c r="AB68" s="53"/>
      <c r="AC68" s="53"/>
      <c r="AD68" s="53"/>
      <c r="AE68" s="53"/>
      <c r="AF68" s="56"/>
      <c r="AG68" s="54"/>
      <c r="AH68" s="54"/>
      <c r="AI68" s="54"/>
      <c r="AJ68" s="54"/>
      <c r="AK68" s="131">
        <v>11</v>
      </c>
    </row>
    <row r="69" s="131" customFormat="1" ht="11.5" customHeight="1">
      <c r="A69" s="705"/>
      <c r="B69" s="705"/>
      <c r="C69" s="705"/>
      <c r="D69" s="705"/>
      <c r="E69" s="705"/>
      <c r="F69" s="57"/>
      <c r="G69" s="57"/>
      <c r="H69" s="131"/>
      <c r="N69" s="53"/>
      <c r="P69" s="53"/>
      <c r="Q69" s="57"/>
      <c r="R69" s="57"/>
      <c r="S69" s="53"/>
      <c r="T69" s="53"/>
      <c r="U69" s="53"/>
      <c r="V69" s="53"/>
      <c r="W69" s="57"/>
      <c r="X69" s="53"/>
      <c r="Y69" s="53"/>
      <c r="Z69" s="706"/>
      <c r="AA69" s="53"/>
      <c r="AB69" s="53"/>
      <c r="AC69" s="53"/>
      <c r="AD69" s="53"/>
      <c r="AE69" s="53"/>
      <c r="AF69" s="56"/>
      <c r="AG69" s="54"/>
      <c r="AH69" s="54"/>
      <c r="AI69" s="54"/>
      <c r="AJ69" s="54"/>
      <c r="AK69" s="131">
        <v>11</v>
      </c>
    </row>
    <row r="70" s="131" customFormat="1" ht="11.5" customHeight="1">
      <c r="A70" s="705"/>
      <c r="B70" s="705"/>
      <c r="C70" s="705"/>
      <c r="D70" s="705"/>
      <c r="E70" s="705"/>
      <c r="F70" s="57"/>
      <c r="G70" s="57"/>
      <c r="H70" s="131"/>
      <c r="N70" s="53"/>
      <c r="P70" s="53"/>
      <c r="Q70" s="57"/>
      <c r="R70" s="57"/>
      <c r="S70" s="53"/>
      <c r="T70" s="53"/>
      <c r="U70" s="53"/>
      <c r="V70" s="53"/>
      <c r="W70" s="57"/>
      <c r="X70" s="53"/>
      <c r="Y70" s="53"/>
      <c r="Z70" s="706"/>
      <c r="AA70" s="53"/>
      <c r="AB70" s="53"/>
      <c r="AC70" s="53"/>
      <c r="AD70" s="53"/>
      <c r="AE70" s="53"/>
      <c r="AF70" s="56"/>
      <c r="AG70" s="54"/>
      <c r="AH70" s="54"/>
      <c r="AI70" s="54"/>
      <c r="AJ70" s="54"/>
      <c r="AK70" s="131">
        <v>11</v>
      </c>
    </row>
    <row r="71" s="131" customFormat="1" ht="11.5" customHeight="1">
      <c r="A71" s="705"/>
      <c r="B71" s="705"/>
      <c r="C71" s="705"/>
      <c r="D71" s="705"/>
      <c r="E71" s="705"/>
      <c r="F71" s="57"/>
      <c r="G71" s="57"/>
      <c r="H71" s="131"/>
      <c r="N71" s="53"/>
      <c r="P71" s="53"/>
      <c r="Q71" s="57"/>
      <c r="R71" s="57"/>
      <c r="S71" s="53"/>
      <c r="T71" s="53"/>
      <c r="U71" s="53"/>
      <c r="V71" s="53"/>
      <c r="W71" s="57"/>
      <c r="X71" s="53"/>
      <c r="Y71" s="53"/>
      <c r="Z71" s="706"/>
      <c r="AA71" s="53"/>
      <c r="AB71" s="53"/>
      <c r="AC71" s="53"/>
      <c r="AD71" s="53"/>
      <c r="AE71" s="53"/>
      <c r="AF71" s="56"/>
      <c r="AG71" s="54"/>
      <c r="AH71" s="54"/>
      <c r="AI71" s="54"/>
      <c r="AJ71" s="54"/>
      <c r="AK71" s="131">
        <v>11</v>
      </c>
    </row>
    <row r="72" s="131" customFormat="1" ht="11.5" customHeight="1">
      <c r="A72" s="705"/>
      <c r="B72" s="705"/>
      <c r="C72" s="705"/>
      <c r="D72" s="705"/>
      <c r="E72" s="705"/>
      <c r="F72" s="57"/>
      <c r="G72" s="57"/>
      <c r="H72" s="131"/>
      <c r="N72" s="53"/>
      <c r="P72" s="53"/>
      <c r="Q72" s="57"/>
      <c r="R72" s="57"/>
      <c r="S72" s="53"/>
      <c r="T72" s="53"/>
      <c r="U72" s="53"/>
      <c r="V72" s="53"/>
      <c r="W72" s="57"/>
      <c r="X72" s="53"/>
      <c r="Y72" s="53"/>
      <c r="Z72" s="706"/>
      <c r="AA72" s="53"/>
      <c r="AB72" s="53"/>
      <c r="AC72" s="53"/>
      <c r="AD72" s="53"/>
      <c r="AE72" s="53"/>
      <c r="AF72" s="56"/>
      <c r="AG72" s="54"/>
      <c r="AH72" s="54"/>
      <c r="AI72" s="54"/>
      <c r="AJ72" s="54"/>
      <c r="AK72" s="131">
        <v>11</v>
      </c>
    </row>
    <row r="73" s="131" customFormat="1" ht="11.5" customHeight="1">
      <c r="A73" s="705"/>
      <c r="B73" s="705"/>
      <c r="C73" s="705"/>
      <c r="D73" s="705"/>
      <c r="E73" s="705"/>
      <c r="F73" s="57"/>
      <c r="G73" s="57"/>
      <c r="H73" s="131"/>
      <c r="N73" s="53"/>
      <c r="P73" s="53"/>
      <c r="Q73" s="57"/>
      <c r="R73" s="57"/>
      <c r="S73" s="53"/>
      <c r="T73" s="53"/>
      <c r="U73" s="53"/>
      <c r="V73" s="53"/>
      <c r="W73" s="57"/>
      <c r="X73" s="53"/>
      <c r="Y73" s="53"/>
      <c r="Z73" s="706"/>
      <c r="AA73" s="53"/>
      <c r="AB73" s="53"/>
      <c r="AC73" s="53"/>
      <c r="AD73" s="53"/>
      <c r="AE73" s="53"/>
      <c r="AF73" s="56"/>
      <c r="AG73" s="54"/>
      <c r="AH73" s="54"/>
      <c r="AI73" s="54"/>
      <c r="AJ73" s="54"/>
      <c r="AK73" s="131">
        <v>11</v>
      </c>
    </row>
    <row r="74" s="131" customFormat="1" ht="11.5" customHeight="1">
      <c r="A74" s="705"/>
      <c r="B74" s="705"/>
      <c r="C74" s="705"/>
      <c r="D74" s="705"/>
      <c r="E74" s="705"/>
      <c r="F74" s="57"/>
      <c r="G74" s="57"/>
      <c r="H74" s="131"/>
      <c r="N74" s="53"/>
      <c r="P74" s="53"/>
      <c r="Q74" s="57"/>
      <c r="R74" s="57"/>
      <c r="S74" s="53"/>
      <c r="T74" s="53"/>
      <c r="U74" s="53"/>
      <c r="V74" s="53"/>
      <c r="W74" s="57"/>
      <c r="X74" s="53"/>
      <c r="Y74" s="53"/>
      <c r="Z74" s="706"/>
      <c r="AA74" s="53"/>
      <c r="AB74" s="53"/>
      <c r="AC74" s="53"/>
      <c r="AD74" s="53"/>
      <c r="AE74" s="53"/>
      <c r="AF74" s="56"/>
      <c r="AG74" s="54"/>
      <c r="AH74" s="54"/>
      <c r="AI74" s="54"/>
      <c r="AJ74" s="54"/>
      <c r="AK74" s="131">
        <v>11</v>
      </c>
    </row>
    <row r="75" s="131" customFormat="1" ht="11.5" customHeight="1">
      <c r="A75" s="705"/>
      <c r="B75" s="705"/>
      <c r="C75" s="705"/>
      <c r="D75" s="705"/>
      <c r="E75" s="705"/>
      <c r="F75" s="57"/>
      <c r="G75" s="57"/>
      <c r="H75" s="131"/>
      <c r="N75" s="53"/>
      <c r="P75" s="53"/>
      <c r="Q75" s="57"/>
      <c r="R75" s="57"/>
      <c r="S75" s="53"/>
      <c r="T75" s="53"/>
      <c r="U75" s="53"/>
      <c r="V75" s="53"/>
      <c r="W75" s="57"/>
      <c r="X75" s="53"/>
      <c r="Y75" s="53"/>
      <c r="Z75" s="706"/>
      <c r="AA75" s="53"/>
      <c r="AB75" s="53"/>
      <c r="AC75" s="53"/>
      <c r="AD75" s="53"/>
      <c r="AE75" s="53"/>
      <c r="AF75" s="56"/>
      <c r="AG75" s="54"/>
      <c r="AH75" s="54"/>
      <c r="AI75" s="54"/>
      <c r="AJ75" s="54"/>
      <c r="AK75" s="131">
        <v>11</v>
      </c>
    </row>
    <row r="76" s="131" customFormat="1" ht="11.5" customHeight="1">
      <c r="A76" s="705"/>
      <c r="B76" s="705"/>
      <c r="C76" s="705"/>
      <c r="D76" s="705"/>
      <c r="E76" s="705"/>
      <c r="F76" s="57"/>
      <c r="G76" s="57"/>
      <c r="H76" s="131"/>
      <c r="N76" s="53"/>
      <c r="P76" s="53"/>
      <c r="Q76" s="57"/>
      <c r="R76" s="57"/>
      <c r="S76" s="53"/>
      <c r="T76" s="53"/>
      <c r="U76" s="53"/>
      <c r="V76" s="53"/>
      <c r="W76" s="57"/>
      <c r="X76" s="53"/>
      <c r="Y76" s="53"/>
      <c r="Z76" s="706"/>
      <c r="AA76" s="53"/>
      <c r="AB76" s="53"/>
      <c r="AC76" s="53"/>
      <c r="AD76" s="53"/>
      <c r="AE76" s="53"/>
      <c r="AF76" s="56"/>
      <c r="AG76" s="54"/>
      <c r="AH76" s="54"/>
      <c r="AI76" s="54"/>
      <c r="AJ76" s="54"/>
      <c r="AK76" s="131">
        <v>11</v>
      </c>
    </row>
    <row r="77" s="131" customFormat="1" ht="11.5" customHeight="1">
      <c r="A77" s="705"/>
      <c r="B77" s="705"/>
      <c r="C77" s="705"/>
      <c r="D77" s="705"/>
      <c r="E77" s="705"/>
      <c r="F77" s="57"/>
      <c r="G77" s="57"/>
      <c r="H77" s="131"/>
      <c r="N77" s="53"/>
      <c r="P77" s="53"/>
      <c r="Q77" s="57"/>
      <c r="R77" s="57"/>
      <c r="S77" s="53"/>
      <c r="T77" s="53"/>
      <c r="U77" s="53"/>
      <c r="V77" s="53"/>
      <c r="W77" s="57"/>
      <c r="X77" s="53"/>
      <c r="Y77" s="53"/>
      <c r="Z77" s="706"/>
      <c r="AA77" s="53"/>
      <c r="AB77" s="53"/>
      <c r="AC77" s="53"/>
      <c r="AD77" s="53"/>
      <c r="AE77" s="53"/>
      <c r="AF77" s="56"/>
      <c r="AG77" s="54"/>
      <c r="AH77" s="54"/>
      <c r="AI77" s="54"/>
      <c r="AJ77" s="54"/>
      <c r="AK77" s="131">
        <v>11</v>
      </c>
    </row>
    <row r="78" s="131" customFormat="1" ht="11.5" customHeight="1">
      <c r="A78" s="705"/>
      <c r="B78" s="705"/>
      <c r="C78" s="705"/>
      <c r="D78" s="705"/>
      <c r="E78" s="705"/>
      <c r="F78" s="57"/>
      <c r="G78" s="57"/>
      <c r="H78" s="131"/>
      <c r="N78" s="53"/>
      <c r="P78" s="53"/>
      <c r="Q78" s="57"/>
      <c r="R78" s="57"/>
      <c r="S78" s="53"/>
      <c r="T78" s="53"/>
      <c r="U78" s="53"/>
      <c r="V78" s="53"/>
      <c r="W78" s="57"/>
      <c r="X78" s="53"/>
      <c r="Y78" s="53"/>
      <c r="Z78" s="706"/>
      <c r="AA78" s="53"/>
      <c r="AB78" s="53"/>
      <c r="AC78" s="53"/>
      <c r="AD78" s="53"/>
      <c r="AE78" s="53"/>
      <c r="AF78" s="56"/>
      <c r="AG78" s="54"/>
      <c r="AH78" s="54"/>
      <c r="AI78" s="54"/>
      <c r="AJ78" s="54"/>
      <c r="AK78" s="131">
        <v>11</v>
      </c>
    </row>
    <row r="79" s="131" customFormat="1" ht="11.5" customHeight="1">
      <c r="A79" s="705"/>
      <c r="B79" s="705"/>
      <c r="C79" s="705"/>
      <c r="D79" s="705"/>
      <c r="E79" s="705"/>
      <c r="F79" s="57"/>
      <c r="G79" s="57"/>
      <c r="H79" s="131"/>
      <c r="N79" s="53"/>
      <c r="P79" s="53"/>
      <c r="Q79" s="57"/>
      <c r="R79" s="57"/>
      <c r="S79" s="53"/>
      <c r="T79" s="53"/>
      <c r="U79" s="53"/>
      <c r="V79" s="53"/>
      <c r="W79" s="57"/>
      <c r="X79" s="53"/>
      <c r="Y79" s="53"/>
      <c r="Z79" s="706"/>
      <c r="AA79" s="53"/>
      <c r="AB79" s="53"/>
      <c r="AC79" s="53"/>
      <c r="AD79" s="53"/>
      <c r="AE79" s="53"/>
      <c r="AF79" s="56"/>
      <c r="AG79" s="54"/>
      <c r="AH79" s="54"/>
      <c r="AI79" s="54"/>
      <c r="AJ79" s="54"/>
      <c r="AK79" s="131">
        <v>11</v>
      </c>
    </row>
    <row r="80" s="131" customFormat="1" ht="11.5" customHeight="1">
      <c r="A80" s="705"/>
      <c r="B80" s="705"/>
      <c r="C80" s="705"/>
      <c r="D80" s="705"/>
      <c r="E80" s="705"/>
      <c r="F80" s="57"/>
      <c r="G80" s="57"/>
      <c r="H80" s="131"/>
      <c r="N80" s="53"/>
      <c r="P80" s="53"/>
      <c r="Q80" s="57"/>
      <c r="R80" s="57"/>
      <c r="S80" s="53"/>
      <c r="T80" s="53"/>
      <c r="U80" s="53"/>
      <c r="V80" s="53"/>
      <c r="W80" s="57"/>
      <c r="X80" s="53"/>
      <c r="Y80" s="53"/>
      <c r="Z80" s="706"/>
      <c r="AA80" s="53"/>
      <c r="AB80" s="53"/>
      <c r="AC80" s="53"/>
      <c r="AD80" s="53"/>
      <c r="AE80" s="53"/>
      <c r="AF80" s="56"/>
      <c r="AG80" s="54"/>
      <c r="AH80" s="54"/>
      <c r="AI80" s="54"/>
      <c r="AJ80" s="54"/>
      <c r="AK80" s="131">
        <v>11</v>
      </c>
    </row>
    <row r="81" s="131" customFormat="1" ht="11.5" customHeight="1">
      <c r="A81" s="705"/>
      <c r="B81" s="705"/>
      <c r="C81" s="705"/>
      <c r="D81" s="705"/>
      <c r="E81" s="705"/>
      <c r="F81" s="57"/>
      <c r="G81" s="57"/>
      <c r="H81" s="131"/>
      <c r="N81" s="53"/>
      <c r="P81" s="53"/>
      <c r="Q81" s="57"/>
      <c r="R81" s="57"/>
      <c r="S81" s="53"/>
      <c r="T81" s="53"/>
      <c r="U81" s="53"/>
      <c r="V81" s="53"/>
      <c r="W81" s="57"/>
      <c r="X81" s="53"/>
      <c r="Y81" s="53"/>
      <c r="Z81" s="706"/>
      <c r="AA81" s="53"/>
      <c r="AB81" s="53"/>
      <c r="AC81" s="53"/>
      <c r="AD81" s="53"/>
      <c r="AE81" s="53"/>
      <c r="AF81" s="56"/>
      <c r="AG81" s="54"/>
      <c r="AH81" s="54"/>
      <c r="AI81" s="54"/>
      <c r="AJ81" s="54"/>
      <c r="AK81" s="131">
        <v>11</v>
      </c>
    </row>
    <row r="82" s="131" customFormat="1" ht="11.5" customHeight="1">
      <c r="A82" s="705"/>
      <c r="B82" s="705"/>
      <c r="C82" s="705"/>
      <c r="D82" s="705"/>
      <c r="E82" s="705"/>
      <c r="F82" s="57"/>
      <c r="G82" s="57"/>
      <c r="H82" s="131"/>
      <c r="N82" s="53"/>
      <c r="P82" s="53"/>
      <c r="Q82" s="57"/>
      <c r="R82" s="57"/>
      <c r="S82" s="53"/>
      <c r="T82" s="53"/>
      <c r="U82" s="53"/>
      <c r="V82" s="53"/>
      <c r="W82" s="57"/>
      <c r="X82" s="53"/>
      <c r="Y82" s="53"/>
      <c r="Z82" s="706"/>
      <c r="AA82" s="53"/>
      <c r="AB82" s="53"/>
      <c r="AC82" s="53"/>
      <c r="AD82" s="53"/>
      <c r="AE82" s="53"/>
      <c r="AF82" s="56"/>
      <c r="AG82" s="54"/>
      <c r="AH82" s="54"/>
      <c r="AI82" s="54"/>
      <c r="AJ82" s="54"/>
      <c r="AK82" s="131">
        <v>11</v>
      </c>
    </row>
    <row r="83" s="131" customFormat="1" ht="11.5" customHeight="1">
      <c r="A83" s="705"/>
      <c r="B83" s="705"/>
      <c r="C83" s="705"/>
      <c r="D83" s="705"/>
      <c r="E83" s="705"/>
      <c r="F83" s="57"/>
      <c r="G83" s="57"/>
      <c r="H83" s="131"/>
      <c r="N83" s="53"/>
      <c r="P83" s="53"/>
      <c r="Q83" s="57"/>
      <c r="R83" s="57"/>
      <c r="S83" s="53"/>
      <c r="T83" s="53"/>
      <c r="U83" s="53"/>
      <c r="V83" s="53"/>
      <c r="W83" s="57"/>
      <c r="X83" s="53"/>
      <c r="Y83" s="53"/>
      <c r="Z83" s="706"/>
      <c r="AA83" s="53"/>
      <c r="AB83" s="53"/>
      <c r="AC83" s="53"/>
      <c r="AD83" s="53"/>
      <c r="AE83" s="53"/>
      <c r="AF83" s="56"/>
      <c r="AG83" s="54"/>
      <c r="AH83" s="54"/>
      <c r="AI83" s="54"/>
      <c r="AJ83" s="54"/>
      <c r="AK83" s="131">
        <v>11</v>
      </c>
    </row>
    <row r="84" s="131" customFormat="1" ht="11.5" customHeight="1">
      <c r="A84" s="705"/>
      <c r="B84" s="705"/>
      <c r="C84" s="705"/>
      <c r="D84" s="705"/>
      <c r="E84" s="705"/>
      <c r="F84" s="57"/>
      <c r="G84" s="57"/>
      <c r="H84" s="131"/>
      <c r="N84" s="53"/>
      <c r="P84" s="53"/>
      <c r="Q84" s="57"/>
      <c r="R84" s="57"/>
      <c r="S84" s="53"/>
      <c r="T84" s="53"/>
      <c r="U84" s="53"/>
      <c r="V84" s="53"/>
      <c r="W84" s="57"/>
      <c r="X84" s="53"/>
      <c r="Y84" s="53"/>
      <c r="Z84" s="706"/>
      <c r="AA84" s="53"/>
      <c r="AB84" s="53"/>
      <c r="AC84" s="53"/>
      <c r="AD84" s="53"/>
      <c r="AE84" s="53"/>
      <c r="AF84" s="56"/>
      <c r="AG84" s="54"/>
      <c r="AH84" s="54"/>
      <c r="AI84" s="54"/>
      <c r="AJ84" s="54"/>
      <c r="AK84" s="131">
        <v>11</v>
      </c>
    </row>
    <row r="85" s="131" customFormat="1" ht="11.5" customHeight="1">
      <c r="A85" s="705"/>
      <c r="B85" s="705"/>
      <c r="C85" s="705"/>
      <c r="D85" s="705"/>
      <c r="E85" s="705"/>
      <c r="F85" s="57"/>
      <c r="G85" s="57"/>
      <c r="H85" s="131"/>
      <c r="N85" s="53"/>
      <c r="P85" s="53"/>
      <c r="Q85" s="57"/>
      <c r="R85" s="57"/>
      <c r="S85" s="53"/>
      <c r="T85" s="53"/>
      <c r="U85" s="53"/>
      <c r="V85" s="53"/>
      <c r="W85" s="57"/>
      <c r="X85" s="53"/>
      <c r="Y85" s="53"/>
      <c r="Z85" s="706"/>
      <c r="AA85" s="53"/>
      <c r="AB85" s="53"/>
      <c r="AC85" s="53"/>
      <c r="AD85" s="53"/>
      <c r="AE85" s="53"/>
      <c r="AF85" s="56"/>
      <c r="AG85" s="54"/>
      <c r="AH85" s="54"/>
      <c r="AI85" s="54"/>
      <c r="AJ85" s="54"/>
      <c r="AK85" s="131">
        <v>11</v>
      </c>
    </row>
    <row r="86" s="131" customFormat="1" ht="11.5" customHeight="1">
      <c r="A86" s="705"/>
      <c r="B86" s="705"/>
      <c r="C86" s="705"/>
      <c r="D86" s="705"/>
      <c r="E86" s="705"/>
      <c r="F86" s="57"/>
      <c r="G86" s="57"/>
      <c r="H86" s="131"/>
      <c r="N86" s="53"/>
      <c r="P86" s="53"/>
      <c r="Q86" s="57"/>
      <c r="R86" s="57"/>
      <c r="S86" s="53"/>
      <c r="T86" s="53"/>
      <c r="U86" s="53"/>
      <c r="V86" s="53"/>
      <c r="W86" s="57"/>
      <c r="X86" s="53"/>
      <c r="Y86" s="53"/>
      <c r="Z86" s="706"/>
      <c r="AA86" s="53"/>
      <c r="AB86" s="53"/>
      <c r="AC86" s="53"/>
      <c r="AD86" s="53"/>
      <c r="AE86" s="53"/>
      <c r="AF86" s="56"/>
      <c r="AG86" s="54"/>
      <c r="AH86" s="54"/>
      <c r="AI86" s="54"/>
      <c r="AJ86" s="54"/>
      <c r="AK86" s="131">
        <v>11</v>
      </c>
    </row>
    <row r="87" s="131" customFormat="1" ht="11.5" customHeight="1">
      <c r="A87" s="705"/>
      <c r="B87" s="705"/>
      <c r="C87" s="705"/>
      <c r="D87" s="705"/>
      <c r="E87" s="705"/>
      <c r="F87" s="57"/>
      <c r="G87" s="57"/>
      <c r="H87" s="131"/>
      <c r="N87" s="53"/>
      <c r="P87" s="53"/>
      <c r="Q87" s="57"/>
      <c r="R87" s="57"/>
      <c r="S87" s="53"/>
      <c r="T87" s="53"/>
      <c r="U87" s="53"/>
      <c r="V87" s="53"/>
      <c r="W87" s="57"/>
      <c r="X87" s="53"/>
      <c r="Y87" s="53"/>
      <c r="Z87" s="706"/>
      <c r="AA87" s="53"/>
      <c r="AB87" s="53"/>
      <c r="AC87" s="53"/>
      <c r="AD87" s="53"/>
      <c r="AE87" s="53"/>
      <c r="AF87" s="56"/>
      <c r="AG87" s="54"/>
      <c r="AH87" s="54"/>
      <c r="AI87" s="54"/>
      <c r="AJ87" s="54"/>
      <c r="AK87" s="131">
        <v>11</v>
      </c>
    </row>
    <row r="88" s="131" customFormat="1" ht="11.5" customHeight="1">
      <c r="A88" s="705"/>
      <c r="B88" s="705"/>
      <c r="C88" s="705"/>
      <c r="D88" s="705"/>
      <c r="E88" s="705"/>
      <c r="F88" s="57"/>
      <c r="G88" s="57"/>
      <c r="H88" s="131"/>
      <c r="N88" s="53"/>
      <c r="P88" s="53"/>
      <c r="Q88" s="57"/>
      <c r="R88" s="57"/>
      <c r="S88" s="53"/>
      <c r="T88" s="53"/>
      <c r="U88" s="53"/>
      <c r="V88" s="53"/>
      <c r="W88" s="57"/>
      <c r="X88" s="53"/>
      <c r="Y88" s="53"/>
      <c r="Z88" s="706"/>
      <c r="AA88" s="53"/>
      <c r="AB88" s="53"/>
      <c r="AC88" s="53"/>
      <c r="AD88" s="53"/>
      <c r="AE88" s="53"/>
      <c r="AF88" s="56"/>
      <c r="AG88" s="54"/>
      <c r="AH88" s="54"/>
      <c r="AI88" s="54"/>
      <c r="AJ88" s="54"/>
      <c r="AK88" s="131">
        <v>11</v>
      </c>
    </row>
    <row r="89" s="131" customFormat="1" ht="11.5" customHeight="1">
      <c r="A89" s="705"/>
      <c r="B89" s="705"/>
      <c r="C89" s="705"/>
      <c r="D89" s="705"/>
      <c r="E89" s="705"/>
      <c r="F89" s="57"/>
      <c r="G89" s="57"/>
      <c r="H89" s="131"/>
      <c r="N89" s="53"/>
      <c r="P89" s="53"/>
      <c r="Q89" s="57"/>
      <c r="R89" s="57"/>
      <c r="S89" s="53"/>
      <c r="T89" s="53"/>
      <c r="U89" s="53"/>
      <c r="V89" s="53"/>
      <c r="W89" s="57"/>
      <c r="X89" s="53"/>
      <c r="Y89" s="53"/>
      <c r="Z89" s="706"/>
      <c r="AA89" s="53"/>
      <c r="AB89" s="53"/>
      <c r="AC89" s="53"/>
      <c r="AD89" s="53"/>
      <c r="AE89" s="53"/>
      <c r="AF89" s="56"/>
      <c r="AG89" s="54"/>
      <c r="AH89" s="54"/>
      <c r="AI89" s="54"/>
      <c r="AJ89" s="54"/>
      <c r="AK89" s="131">
        <v>11</v>
      </c>
    </row>
    <row r="90" s="131" customFormat="1" ht="11.5" customHeight="1">
      <c r="A90" s="705"/>
      <c r="B90" s="705"/>
      <c r="C90" s="705"/>
      <c r="D90" s="705"/>
      <c r="E90" s="705"/>
      <c r="F90" s="57"/>
      <c r="G90" s="57"/>
      <c r="H90" s="131"/>
      <c r="N90" s="53"/>
      <c r="P90" s="53"/>
      <c r="Q90" s="57"/>
      <c r="R90" s="57"/>
      <c r="S90" s="53"/>
      <c r="T90" s="53"/>
      <c r="U90" s="53"/>
      <c r="V90" s="53"/>
      <c r="W90" s="57"/>
      <c r="X90" s="53"/>
      <c r="Y90" s="53"/>
      <c r="Z90" s="706"/>
      <c r="AA90" s="53"/>
      <c r="AB90" s="53"/>
      <c r="AC90" s="53"/>
      <c r="AD90" s="53"/>
      <c r="AE90" s="53"/>
      <c r="AF90" s="56"/>
      <c r="AG90" s="54"/>
      <c r="AH90" s="54"/>
      <c r="AI90" s="54"/>
      <c r="AJ90" s="54"/>
      <c r="AK90" s="131">
        <v>11</v>
      </c>
    </row>
    <row r="91" s="131" customFormat="1" ht="11.5" customHeight="1">
      <c r="A91" s="705"/>
      <c r="B91" s="705"/>
      <c r="C91" s="705"/>
      <c r="D91" s="705"/>
      <c r="E91" s="705"/>
      <c r="F91" s="57"/>
      <c r="G91" s="57"/>
      <c r="H91" s="131"/>
      <c r="N91" s="53"/>
      <c r="P91" s="53"/>
      <c r="Q91" s="57"/>
      <c r="R91" s="57"/>
      <c r="S91" s="53"/>
      <c r="T91" s="53"/>
      <c r="U91" s="53"/>
      <c r="V91" s="53"/>
      <c r="W91" s="57"/>
      <c r="X91" s="53"/>
      <c r="Y91" s="53"/>
      <c r="Z91" s="706"/>
      <c r="AA91" s="53"/>
      <c r="AB91" s="53"/>
      <c r="AC91" s="53"/>
      <c r="AD91" s="53"/>
      <c r="AE91" s="53"/>
      <c r="AF91" s="56"/>
      <c r="AG91" s="54"/>
      <c r="AH91" s="54"/>
      <c r="AI91" s="54"/>
      <c r="AJ91" s="54"/>
      <c r="AK91" s="131">
        <v>11</v>
      </c>
    </row>
    <row r="92" s="131" customFormat="1" ht="11.5" customHeight="1">
      <c r="A92" s="705"/>
      <c r="B92" s="705"/>
      <c r="C92" s="705"/>
      <c r="D92" s="705"/>
      <c r="E92" s="705"/>
      <c r="F92" s="57"/>
      <c r="G92" s="57"/>
      <c r="H92" s="131"/>
      <c r="N92" s="53"/>
      <c r="P92" s="53"/>
      <c r="Q92" s="57"/>
      <c r="R92" s="57"/>
      <c r="S92" s="53"/>
      <c r="T92" s="53"/>
      <c r="U92" s="53"/>
      <c r="V92" s="53"/>
      <c r="W92" s="57"/>
      <c r="X92" s="53"/>
      <c r="Y92" s="53"/>
      <c r="Z92" s="706"/>
      <c r="AA92" s="53"/>
      <c r="AB92" s="53"/>
      <c r="AC92" s="53"/>
      <c r="AD92" s="53"/>
      <c r="AE92" s="53"/>
      <c r="AF92" s="56"/>
      <c r="AG92" s="54"/>
      <c r="AH92" s="54"/>
      <c r="AI92" s="54"/>
      <c r="AJ92" s="54"/>
      <c r="AK92" s="131">
        <v>11</v>
      </c>
    </row>
    <row r="93" s="131" customFormat="1" ht="11.5" customHeight="1">
      <c r="A93" s="705"/>
      <c r="B93" s="705"/>
      <c r="C93" s="705"/>
      <c r="D93" s="705"/>
      <c r="E93" s="705"/>
      <c r="F93" s="57"/>
      <c r="G93" s="57"/>
      <c r="H93" s="131"/>
      <c r="N93" s="53"/>
      <c r="P93" s="53"/>
      <c r="Q93" s="57"/>
      <c r="R93" s="57"/>
      <c r="S93" s="53"/>
      <c r="T93" s="53"/>
      <c r="U93" s="53"/>
      <c r="V93" s="53"/>
      <c r="W93" s="57"/>
      <c r="X93" s="53"/>
      <c r="Y93" s="53"/>
      <c r="Z93" s="706"/>
      <c r="AA93" s="53"/>
      <c r="AB93" s="53"/>
      <c r="AC93" s="53"/>
      <c r="AD93" s="53"/>
      <c r="AE93" s="53"/>
      <c r="AF93" s="56"/>
      <c r="AG93" s="54"/>
      <c r="AH93" s="54"/>
      <c r="AI93" s="54"/>
      <c r="AJ93" s="54"/>
      <c r="AK93" s="131">
        <v>11</v>
      </c>
    </row>
    <row r="94" s="131" customFormat="1" ht="11.5" customHeight="1">
      <c r="A94" s="705"/>
      <c r="B94" s="705"/>
      <c r="C94" s="705"/>
      <c r="D94" s="705"/>
      <c r="E94" s="705"/>
      <c r="F94" s="57"/>
      <c r="G94" s="57"/>
      <c r="H94" s="131"/>
      <c r="N94" s="53"/>
      <c r="P94" s="53"/>
      <c r="Q94" s="57"/>
      <c r="R94" s="57"/>
      <c r="S94" s="53"/>
      <c r="T94" s="53"/>
      <c r="U94" s="53"/>
      <c r="V94" s="53"/>
      <c r="W94" s="57"/>
      <c r="X94" s="53"/>
      <c r="Y94" s="53"/>
      <c r="Z94" s="706"/>
      <c r="AA94" s="53"/>
      <c r="AB94" s="53"/>
      <c r="AC94" s="53"/>
      <c r="AD94" s="53"/>
      <c r="AE94" s="53"/>
      <c r="AF94" s="56"/>
      <c r="AG94" s="54"/>
      <c r="AH94" s="54"/>
      <c r="AI94" s="54"/>
      <c r="AJ94" s="54"/>
      <c r="AK94" s="131">
        <v>11</v>
      </c>
    </row>
    <row r="95" s="131" customFormat="1" ht="11.5" customHeight="1">
      <c r="A95" s="705"/>
      <c r="B95" s="705"/>
      <c r="C95" s="705"/>
      <c r="D95" s="705"/>
      <c r="E95" s="705"/>
      <c r="F95" s="57"/>
      <c r="G95" s="57"/>
      <c r="H95" s="131"/>
      <c r="N95" s="53"/>
      <c r="P95" s="53"/>
      <c r="Q95" s="57"/>
      <c r="R95" s="57"/>
      <c r="S95" s="53"/>
      <c r="T95" s="53"/>
      <c r="U95" s="53"/>
      <c r="V95" s="53"/>
      <c r="W95" s="57"/>
      <c r="X95" s="53"/>
      <c r="Y95" s="53"/>
      <c r="Z95" s="706"/>
      <c r="AA95" s="53"/>
      <c r="AB95" s="53"/>
      <c r="AC95" s="53"/>
      <c r="AD95" s="53"/>
      <c r="AE95" s="53"/>
      <c r="AF95" s="56"/>
      <c r="AG95" s="54"/>
      <c r="AH95" s="54"/>
      <c r="AI95" s="54"/>
      <c r="AJ95" s="54"/>
      <c r="AK95" s="131">
        <v>11</v>
      </c>
    </row>
    <row r="96" s="131" customFormat="1" ht="11.5" customHeight="1">
      <c r="A96" s="705"/>
      <c r="B96" s="705"/>
      <c r="C96" s="705"/>
      <c r="D96" s="705"/>
      <c r="E96" s="705"/>
      <c r="F96" s="57"/>
      <c r="G96" s="57"/>
      <c r="H96" s="131"/>
      <c r="N96" s="53"/>
      <c r="P96" s="53"/>
      <c r="Q96" s="57"/>
      <c r="R96" s="57"/>
      <c r="S96" s="53"/>
      <c r="T96" s="53"/>
      <c r="U96" s="53"/>
      <c r="V96" s="53"/>
      <c r="W96" s="57"/>
      <c r="X96" s="53"/>
      <c r="Y96" s="53"/>
      <c r="Z96" s="706"/>
      <c r="AA96" s="53"/>
      <c r="AB96" s="53"/>
      <c r="AC96" s="53"/>
      <c r="AD96" s="53"/>
      <c r="AE96" s="53"/>
      <c r="AF96" s="56"/>
      <c r="AG96" s="54"/>
      <c r="AH96" s="54"/>
      <c r="AI96" s="54"/>
      <c r="AJ96" s="54"/>
      <c r="AK96" s="131">
        <v>11</v>
      </c>
    </row>
    <row r="97" s="131" customFormat="1" ht="11.5" customHeight="1">
      <c r="A97" s="705"/>
      <c r="B97" s="705"/>
      <c r="C97" s="705"/>
      <c r="D97" s="705"/>
      <c r="E97" s="705"/>
      <c r="F97" s="57"/>
      <c r="G97" s="57"/>
      <c r="H97" s="131"/>
      <c r="N97" s="53"/>
      <c r="P97" s="53"/>
      <c r="Q97" s="57"/>
      <c r="R97" s="57"/>
      <c r="S97" s="53"/>
      <c r="T97" s="53"/>
      <c r="U97" s="53"/>
      <c r="V97" s="53"/>
      <c r="W97" s="57"/>
      <c r="X97" s="53"/>
      <c r="Y97" s="53"/>
      <c r="Z97" s="706"/>
      <c r="AA97" s="53"/>
      <c r="AB97" s="53"/>
      <c r="AC97" s="53"/>
      <c r="AD97" s="53"/>
      <c r="AE97" s="53"/>
      <c r="AF97" s="56"/>
      <c r="AG97" s="54"/>
      <c r="AH97" s="54"/>
      <c r="AI97" s="54"/>
      <c r="AJ97" s="54"/>
      <c r="AK97" s="131">
        <v>11</v>
      </c>
    </row>
    <row r="98" s="131" customFormat="1" ht="11.5" customHeight="1">
      <c r="A98" s="705"/>
      <c r="B98" s="705"/>
      <c r="C98" s="705"/>
      <c r="D98" s="705"/>
      <c r="E98" s="705"/>
      <c r="F98" s="57"/>
      <c r="G98" s="57"/>
      <c r="H98" s="131"/>
      <c r="N98" s="53"/>
      <c r="P98" s="53"/>
      <c r="Q98" s="57"/>
      <c r="R98" s="57"/>
      <c r="S98" s="53"/>
      <c r="T98" s="53"/>
      <c r="U98" s="53"/>
      <c r="V98" s="53"/>
      <c r="W98" s="57"/>
      <c r="X98" s="53"/>
      <c r="Y98" s="53"/>
      <c r="Z98" s="706"/>
      <c r="AA98" s="53"/>
      <c r="AB98" s="53"/>
      <c r="AC98" s="53"/>
      <c r="AD98" s="53"/>
      <c r="AE98" s="53"/>
      <c r="AF98" s="56"/>
      <c r="AG98" s="54"/>
      <c r="AH98" s="54"/>
      <c r="AI98" s="54"/>
      <c r="AJ98" s="54"/>
      <c r="AK98" s="131">
        <v>11</v>
      </c>
    </row>
    <row r="99" s="131" customFormat="1" ht="11.5" customHeight="1">
      <c r="A99" s="705"/>
      <c r="B99" s="705"/>
      <c r="C99" s="705"/>
      <c r="D99" s="705"/>
      <c r="E99" s="705"/>
      <c r="F99" s="57"/>
      <c r="G99" s="57"/>
      <c r="H99" s="131"/>
      <c r="N99" s="53"/>
      <c r="P99" s="53"/>
      <c r="Q99" s="57"/>
      <c r="R99" s="57"/>
      <c r="S99" s="53"/>
      <c r="T99" s="53"/>
      <c r="U99" s="53"/>
      <c r="V99" s="53"/>
      <c r="W99" s="57"/>
      <c r="X99" s="53"/>
      <c r="Y99" s="53"/>
      <c r="Z99" s="706"/>
      <c r="AA99" s="53"/>
      <c r="AB99" s="53"/>
      <c r="AC99" s="53"/>
      <c r="AD99" s="53"/>
      <c r="AE99" s="53"/>
      <c r="AF99" s="56"/>
      <c r="AG99" s="54"/>
      <c r="AH99" s="54"/>
      <c r="AI99" s="54"/>
      <c r="AJ99" s="54"/>
      <c r="AK99" s="131">
        <v>11</v>
      </c>
    </row>
    <row r="100" s="131" customFormat="1" ht="11.5" customHeight="1">
      <c r="A100" s="705"/>
      <c r="B100" s="705"/>
      <c r="C100" s="705"/>
      <c r="D100" s="705"/>
      <c r="E100" s="705"/>
      <c r="F100" s="57"/>
      <c r="G100" s="57"/>
      <c r="H100" s="131"/>
      <c r="N100" s="53"/>
      <c r="P100" s="53"/>
      <c r="Q100" s="57"/>
      <c r="R100" s="57"/>
      <c r="S100" s="53"/>
      <c r="T100" s="53"/>
      <c r="U100" s="53"/>
      <c r="V100" s="53"/>
      <c r="W100" s="57"/>
      <c r="X100" s="53"/>
      <c r="Y100" s="53"/>
      <c r="Z100" s="706"/>
      <c r="AA100" s="53"/>
      <c r="AB100" s="53"/>
      <c r="AC100" s="53"/>
      <c r="AD100" s="53"/>
      <c r="AE100" s="53"/>
      <c r="AF100" s="56"/>
      <c r="AG100" s="54"/>
      <c r="AH100" s="54"/>
      <c r="AI100" s="54"/>
      <c r="AJ100" s="54"/>
      <c r="AK100" s="131">
        <v>11</v>
      </c>
    </row>
    <row r="101" s="131" customFormat="1" ht="11.5" customHeight="1">
      <c r="A101" s="705"/>
      <c r="B101" s="705"/>
      <c r="C101" s="705"/>
      <c r="D101" s="705"/>
      <c r="E101" s="705"/>
      <c r="F101" s="57"/>
      <c r="G101" s="57"/>
      <c r="H101" s="131"/>
      <c r="N101" s="53"/>
      <c r="P101" s="53"/>
      <c r="Q101" s="57"/>
      <c r="R101" s="57"/>
      <c r="S101" s="53"/>
      <c r="T101" s="53"/>
      <c r="U101" s="53"/>
      <c r="V101" s="53"/>
      <c r="W101" s="57"/>
      <c r="X101" s="53"/>
      <c r="Y101" s="53"/>
      <c r="Z101" s="706"/>
      <c r="AA101" s="53"/>
      <c r="AB101" s="53"/>
      <c r="AC101" s="53"/>
      <c r="AD101" s="53"/>
      <c r="AE101" s="53"/>
      <c r="AF101" s="56"/>
      <c r="AG101" s="54"/>
      <c r="AH101" s="54"/>
      <c r="AI101" s="54"/>
      <c r="AJ101" s="54"/>
      <c r="AK101" s="131">
        <v>11</v>
      </c>
    </row>
    <row r="102" s="131" customFormat="1" ht="11.5" customHeight="1">
      <c r="A102" s="705"/>
      <c r="B102" s="705"/>
      <c r="C102" s="705"/>
      <c r="D102" s="705"/>
      <c r="E102" s="705"/>
      <c r="F102" s="57"/>
      <c r="G102" s="57"/>
      <c r="H102" s="131"/>
      <c r="N102" s="53"/>
      <c r="P102" s="53"/>
      <c r="Q102" s="57"/>
      <c r="R102" s="57"/>
      <c r="S102" s="53"/>
      <c r="T102" s="53"/>
      <c r="U102" s="53"/>
      <c r="V102" s="53"/>
      <c r="W102" s="57"/>
      <c r="X102" s="53"/>
      <c r="Y102" s="53"/>
      <c r="Z102" s="706"/>
      <c r="AA102" s="53"/>
      <c r="AB102" s="53"/>
      <c r="AC102" s="53"/>
      <c r="AD102" s="53"/>
      <c r="AE102" s="53"/>
      <c r="AF102" s="56"/>
      <c r="AG102" s="54"/>
      <c r="AH102" s="54"/>
      <c r="AI102" s="54"/>
      <c r="AJ102" s="54"/>
      <c r="AK102" s="131">
        <v>11</v>
      </c>
    </row>
    <row r="103" s="131" customFormat="1" ht="11.5" customHeight="1">
      <c r="A103" s="705"/>
      <c r="B103" s="705"/>
      <c r="C103" s="705"/>
      <c r="D103" s="705"/>
      <c r="E103" s="705"/>
      <c r="F103" s="57"/>
      <c r="G103" s="57"/>
      <c r="H103" s="131"/>
      <c r="N103" s="53"/>
      <c r="P103" s="53"/>
      <c r="Q103" s="57"/>
      <c r="R103" s="57"/>
      <c r="S103" s="53"/>
      <c r="T103" s="53"/>
      <c r="U103" s="53"/>
      <c r="V103" s="53"/>
      <c r="W103" s="57"/>
      <c r="X103" s="53"/>
      <c r="Y103" s="53"/>
      <c r="Z103" s="706"/>
      <c r="AA103" s="53"/>
      <c r="AB103" s="53"/>
      <c r="AC103" s="53"/>
      <c r="AD103" s="53"/>
      <c r="AE103" s="53"/>
      <c r="AF103" s="56"/>
      <c r="AG103" s="54"/>
      <c r="AH103" s="54"/>
      <c r="AI103" s="54"/>
      <c r="AJ103" s="54"/>
      <c r="AK103" s="131">
        <v>11</v>
      </c>
    </row>
    <row r="104" s="131" customFormat="1" ht="11.5" customHeight="1">
      <c r="A104" s="705"/>
      <c r="B104" s="705"/>
      <c r="C104" s="705"/>
      <c r="D104" s="705"/>
      <c r="E104" s="705"/>
      <c r="F104" s="57"/>
      <c r="G104" s="57"/>
      <c r="H104" s="131"/>
      <c r="N104" s="53"/>
      <c r="P104" s="53"/>
      <c r="Q104" s="57"/>
      <c r="R104" s="57"/>
      <c r="S104" s="53"/>
      <c r="T104" s="53"/>
      <c r="U104" s="53"/>
      <c r="V104" s="53"/>
      <c r="W104" s="57"/>
      <c r="X104" s="53"/>
      <c r="Y104" s="53"/>
      <c r="Z104" s="706"/>
      <c r="AA104" s="53"/>
      <c r="AB104" s="53"/>
      <c r="AC104" s="53"/>
      <c r="AD104" s="53"/>
      <c r="AE104" s="53"/>
      <c r="AF104" s="56"/>
      <c r="AG104" s="54"/>
      <c r="AH104" s="54"/>
      <c r="AI104" s="54"/>
      <c r="AJ104" s="54"/>
      <c r="AK104" s="131">
        <v>11</v>
      </c>
    </row>
    <row r="105" s="131" customFormat="1" ht="11.5" customHeight="1">
      <c r="A105" s="705"/>
      <c r="B105" s="705"/>
      <c r="C105" s="705"/>
      <c r="D105" s="705"/>
      <c r="E105" s="705"/>
      <c r="F105" s="57"/>
      <c r="G105" s="57"/>
      <c r="H105" s="131"/>
      <c r="N105" s="53"/>
      <c r="P105" s="53"/>
      <c r="Q105" s="57"/>
      <c r="R105" s="57"/>
      <c r="S105" s="53"/>
      <c r="T105" s="53"/>
      <c r="U105" s="53"/>
      <c r="V105" s="53"/>
      <c r="W105" s="57"/>
      <c r="X105" s="53"/>
      <c r="Y105" s="53"/>
      <c r="Z105" s="706"/>
      <c r="AA105" s="53"/>
      <c r="AB105" s="53"/>
      <c r="AC105" s="53"/>
      <c r="AD105" s="53"/>
      <c r="AE105" s="53"/>
      <c r="AF105" s="56"/>
      <c r="AG105" s="54"/>
      <c r="AH105" s="54"/>
      <c r="AI105" s="54"/>
      <c r="AJ105" s="54"/>
      <c r="AK105" s="131">
        <v>11</v>
      </c>
    </row>
    <row r="106" s="131" customFormat="1" ht="11.5" customHeight="1">
      <c r="A106" s="705"/>
      <c r="B106" s="705"/>
      <c r="C106" s="705"/>
      <c r="D106" s="705"/>
      <c r="E106" s="705"/>
      <c r="F106" s="57"/>
      <c r="G106" s="57"/>
      <c r="H106" s="131"/>
      <c r="N106" s="53"/>
      <c r="P106" s="53"/>
      <c r="Q106" s="57"/>
      <c r="R106" s="57"/>
      <c r="S106" s="53"/>
      <c r="T106" s="53"/>
      <c r="U106" s="53"/>
      <c r="V106" s="53"/>
      <c r="W106" s="57"/>
      <c r="X106" s="53"/>
      <c r="Y106" s="53"/>
      <c r="Z106" s="706"/>
      <c r="AA106" s="53"/>
      <c r="AB106" s="53"/>
      <c r="AC106" s="53"/>
      <c r="AD106" s="53"/>
      <c r="AE106" s="53"/>
      <c r="AF106" s="56"/>
      <c r="AG106" s="54"/>
      <c r="AH106" s="54"/>
      <c r="AI106" s="54"/>
      <c r="AJ106" s="54"/>
      <c r="AK106" s="131">
        <v>11</v>
      </c>
    </row>
    <row r="107" s="131" customFormat="1" ht="11.5" customHeight="1">
      <c r="A107" s="705"/>
      <c r="B107" s="705"/>
      <c r="C107" s="705"/>
      <c r="D107" s="705"/>
      <c r="E107" s="705"/>
      <c r="F107" s="57"/>
      <c r="G107" s="57"/>
      <c r="H107" s="131"/>
      <c r="N107" s="53"/>
      <c r="P107" s="53"/>
      <c r="Q107" s="57"/>
      <c r="R107" s="57"/>
      <c r="S107" s="53"/>
      <c r="T107" s="53"/>
      <c r="U107" s="53"/>
      <c r="V107" s="53"/>
      <c r="W107" s="57"/>
      <c r="X107" s="53"/>
      <c r="Y107" s="53"/>
      <c r="Z107" s="706"/>
      <c r="AA107" s="53"/>
      <c r="AB107" s="53"/>
      <c r="AC107" s="53"/>
      <c r="AD107" s="53"/>
      <c r="AE107" s="53"/>
      <c r="AF107" s="56"/>
      <c r="AG107" s="54"/>
      <c r="AH107" s="54"/>
      <c r="AI107" s="54"/>
      <c r="AJ107" s="54"/>
      <c r="AK107" s="131">
        <v>11</v>
      </c>
    </row>
    <row r="108" s="131" customFormat="1" ht="11.5" customHeight="1">
      <c r="A108" s="705"/>
      <c r="B108" s="705"/>
      <c r="C108" s="705"/>
      <c r="D108" s="705"/>
      <c r="E108" s="705"/>
      <c r="F108" s="57"/>
      <c r="G108" s="57"/>
      <c r="H108" s="131"/>
      <c r="N108" s="53"/>
      <c r="P108" s="53"/>
      <c r="Q108" s="57"/>
      <c r="R108" s="57"/>
      <c r="S108" s="53"/>
      <c r="T108" s="53"/>
      <c r="U108" s="53"/>
      <c r="V108" s="53"/>
      <c r="W108" s="57"/>
      <c r="X108" s="53"/>
      <c r="Y108" s="53"/>
      <c r="Z108" s="706"/>
      <c r="AA108" s="53"/>
      <c r="AB108" s="53"/>
      <c r="AC108" s="53"/>
      <c r="AD108" s="53"/>
      <c r="AE108" s="53"/>
      <c r="AF108" s="56"/>
      <c r="AG108" s="54"/>
      <c r="AH108" s="54"/>
      <c r="AI108" s="54"/>
      <c r="AJ108" s="54"/>
      <c r="AK108" s="131">
        <v>11</v>
      </c>
    </row>
    <row r="109" s="131" customFormat="1" ht="11.5" customHeight="1">
      <c r="A109" s="705"/>
      <c r="B109" s="705"/>
      <c r="C109" s="705"/>
      <c r="D109" s="705"/>
      <c r="E109" s="705"/>
      <c r="F109" s="57"/>
      <c r="G109" s="57"/>
      <c r="H109" s="131"/>
      <c r="N109" s="53"/>
      <c r="P109" s="53"/>
      <c r="Q109" s="57"/>
      <c r="R109" s="57"/>
      <c r="S109" s="53"/>
      <c r="T109" s="53"/>
      <c r="U109" s="53"/>
      <c r="V109" s="53"/>
      <c r="W109" s="57"/>
      <c r="X109" s="53"/>
      <c r="Y109" s="53"/>
      <c r="Z109" s="706"/>
      <c r="AA109" s="53"/>
      <c r="AB109" s="53"/>
      <c r="AC109" s="53"/>
      <c r="AD109" s="53"/>
      <c r="AE109" s="53"/>
      <c r="AF109" s="56"/>
      <c r="AG109" s="54"/>
      <c r="AH109" s="54"/>
      <c r="AI109" s="54"/>
      <c r="AJ109" s="54"/>
      <c r="AK109" s="131">
        <v>11</v>
      </c>
    </row>
    <row r="110" s="131" customFormat="1" ht="11.5" customHeight="1">
      <c r="A110" s="705"/>
      <c r="B110" s="705"/>
      <c r="C110" s="705"/>
      <c r="D110" s="705"/>
      <c r="E110" s="705"/>
      <c r="F110" s="57"/>
      <c r="G110" s="57"/>
      <c r="H110" s="131"/>
      <c r="N110" s="53"/>
      <c r="P110" s="53"/>
      <c r="Q110" s="57"/>
      <c r="R110" s="57"/>
      <c r="S110" s="53"/>
      <c r="T110" s="53"/>
      <c r="U110" s="53"/>
      <c r="V110" s="53"/>
      <c r="W110" s="57"/>
      <c r="X110" s="53"/>
      <c r="Y110" s="53"/>
      <c r="Z110" s="706"/>
      <c r="AA110" s="53"/>
      <c r="AB110" s="53"/>
      <c r="AC110" s="53"/>
      <c r="AD110" s="53"/>
      <c r="AE110" s="53"/>
      <c r="AF110" s="56"/>
      <c r="AG110" s="54"/>
      <c r="AH110" s="54"/>
      <c r="AI110" s="54"/>
      <c r="AJ110" s="54"/>
      <c r="AK110" s="131">
        <v>11</v>
      </c>
    </row>
    <row r="111" s="131" customFormat="1" ht="11.5" customHeight="1">
      <c r="A111" s="705"/>
      <c r="B111" s="705"/>
      <c r="C111" s="705"/>
      <c r="D111" s="705"/>
      <c r="E111" s="705"/>
      <c r="F111" s="57"/>
      <c r="G111" s="57"/>
      <c r="H111" s="131"/>
      <c r="N111" s="53"/>
      <c r="P111" s="53"/>
      <c r="Q111" s="57"/>
      <c r="R111" s="57"/>
      <c r="S111" s="53"/>
      <c r="T111" s="53"/>
      <c r="U111" s="53"/>
      <c r="V111" s="53"/>
      <c r="W111" s="57"/>
      <c r="X111" s="53"/>
      <c r="Y111" s="53"/>
      <c r="Z111" s="706"/>
      <c r="AA111" s="53"/>
      <c r="AB111" s="53"/>
      <c r="AC111" s="53"/>
      <c r="AD111" s="53"/>
      <c r="AE111" s="53"/>
      <c r="AF111" s="56"/>
      <c r="AG111" s="54"/>
      <c r="AH111" s="54"/>
      <c r="AI111" s="54"/>
      <c r="AJ111" s="54"/>
      <c r="AK111" s="131">
        <v>11</v>
      </c>
    </row>
    <row r="112" s="131" customFormat="1" ht="11.5" customHeight="1">
      <c r="A112" s="705"/>
      <c r="B112" s="705"/>
      <c r="C112" s="705"/>
      <c r="D112" s="705"/>
      <c r="E112" s="705"/>
      <c r="F112" s="57"/>
      <c r="G112" s="57"/>
      <c r="H112" s="131"/>
      <c r="N112" s="53"/>
      <c r="P112" s="53"/>
      <c r="Q112" s="57"/>
      <c r="R112" s="57"/>
      <c r="S112" s="53"/>
      <c r="T112" s="53"/>
      <c r="U112" s="53"/>
      <c r="V112" s="53"/>
      <c r="W112" s="57"/>
      <c r="X112" s="53"/>
      <c r="Y112" s="53"/>
      <c r="Z112" s="706"/>
      <c r="AA112" s="53"/>
      <c r="AB112" s="53"/>
      <c r="AC112" s="53"/>
      <c r="AD112" s="53"/>
      <c r="AE112" s="53"/>
      <c r="AF112" s="56"/>
      <c r="AG112" s="54"/>
      <c r="AH112" s="54"/>
      <c r="AI112" s="54"/>
      <c r="AJ112" s="54"/>
      <c r="AK112" s="131">
        <v>11</v>
      </c>
    </row>
    <row r="113" s="131" customFormat="1" ht="11.5" customHeight="1">
      <c r="A113" s="705"/>
      <c r="B113" s="705"/>
      <c r="C113" s="705"/>
      <c r="D113" s="705"/>
      <c r="E113" s="705"/>
      <c r="F113" s="57"/>
      <c r="G113" s="57"/>
      <c r="H113" s="131"/>
      <c r="N113" s="53"/>
      <c r="P113" s="53"/>
      <c r="Q113" s="57"/>
      <c r="R113" s="57"/>
      <c r="S113" s="53"/>
      <c r="T113" s="53"/>
      <c r="U113" s="53"/>
      <c r="V113" s="53"/>
      <c r="W113" s="57"/>
      <c r="X113" s="53"/>
      <c r="Y113" s="53"/>
      <c r="Z113" s="706"/>
      <c r="AA113" s="53"/>
      <c r="AB113" s="53"/>
      <c r="AC113" s="53"/>
      <c r="AD113" s="53"/>
      <c r="AE113" s="53"/>
      <c r="AF113" s="56"/>
      <c r="AG113" s="54"/>
      <c r="AH113" s="54"/>
      <c r="AI113" s="54"/>
      <c r="AJ113" s="54"/>
      <c r="AK113" s="131">
        <v>11</v>
      </c>
    </row>
    <row r="114" s="131" customFormat="1" ht="11.5" customHeight="1">
      <c r="A114" s="705"/>
      <c r="B114" s="705"/>
      <c r="C114" s="705"/>
      <c r="D114" s="705"/>
      <c r="E114" s="705"/>
      <c r="F114" s="57"/>
      <c r="G114" s="57"/>
      <c r="H114" s="131"/>
      <c r="N114" s="53"/>
      <c r="P114" s="53"/>
      <c r="Q114" s="57"/>
      <c r="R114" s="57"/>
      <c r="S114" s="53"/>
      <c r="T114" s="53"/>
      <c r="U114" s="53"/>
      <c r="V114" s="53"/>
      <c r="W114" s="57"/>
      <c r="X114" s="53"/>
      <c r="Y114" s="53"/>
      <c r="Z114" s="706"/>
      <c r="AA114" s="53"/>
      <c r="AB114" s="53"/>
      <c r="AC114" s="53"/>
      <c r="AD114" s="53"/>
      <c r="AE114" s="53"/>
      <c r="AF114" s="56"/>
      <c r="AG114" s="54"/>
      <c r="AH114" s="54"/>
      <c r="AI114" s="54"/>
      <c r="AJ114" s="54"/>
      <c r="AK114" s="131">
        <v>11</v>
      </c>
    </row>
    <row r="115" s="131" customFormat="1" ht="11.5" customHeight="1">
      <c r="A115" s="705"/>
      <c r="B115" s="705"/>
      <c r="C115" s="705"/>
      <c r="D115" s="705"/>
      <c r="E115" s="705"/>
      <c r="F115" s="57"/>
      <c r="G115" s="57"/>
      <c r="H115" s="131"/>
      <c r="N115" s="53"/>
      <c r="P115" s="53"/>
      <c r="Q115" s="57"/>
      <c r="R115" s="57"/>
      <c r="S115" s="53"/>
      <c r="T115" s="53"/>
      <c r="U115" s="53"/>
      <c r="V115" s="53"/>
      <c r="W115" s="57"/>
      <c r="X115" s="53"/>
      <c r="Y115" s="53"/>
      <c r="Z115" s="706"/>
      <c r="AA115" s="53"/>
      <c r="AB115" s="53"/>
      <c r="AC115" s="53"/>
      <c r="AD115" s="53"/>
      <c r="AE115" s="53"/>
      <c r="AF115" s="56"/>
      <c r="AG115" s="54"/>
      <c r="AH115" s="54"/>
      <c r="AI115" s="54"/>
      <c r="AJ115" s="54"/>
      <c r="AK115" s="131">
        <v>11</v>
      </c>
    </row>
    <row r="116" s="131" customFormat="1" ht="11.5" customHeight="1">
      <c r="A116" s="705"/>
      <c r="B116" s="705"/>
      <c r="C116" s="705"/>
      <c r="D116" s="705"/>
      <c r="E116" s="705"/>
      <c r="F116" s="57"/>
      <c r="G116" s="57"/>
      <c r="H116" s="131"/>
      <c r="N116" s="53"/>
      <c r="P116" s="53"/>
      <c r="Q116" s="57"/>
      <c r="R116" s="57"/>
      <c r="S116" s="53"/>
      <c r="T116" s="53"/>
      <c r="U116" s="53"/>
      <c r="V116" s="53"/>
      <c r="W116" s="57"/>
      <c r="X116" s="53"/>
      <c r="Y116" s="53"/>
      <c r="Z116" s="706"/>
      <c r="AA116" s="53"/>
      <c r="AB116" s="53"/>
      <c r="AC116" s="53"/>
      <c r="AD116" s="53"/>
      <c r="AE116" s="53"/>
      <c r="AF116" s="56"/>
      <c r="AG116" s="54"/>
      <c r="AH116" s="54"/>
      <c r="AI116" s="54"/>
      <c r="AJ116" s="54"/>
      <c r="AK116" s="131">
        <v>11</v>
      </c>
    </row>
    <row r="117" s="131" customFormat="1" ht="11.5" customHeight="1">
      <c r="A117" s="705"/>
      <c r="B117" s="705"/>
      <c r="C117" s="705"/>
      <c r="D117" s="705"/>
      <c r="E117" s="705"/>
      <c r="F117" s="57"/>
      <c r="G117" s="57"/>
      <c r="H117" s="131"/>
      <c r="N117" s="53"/>
      <c r="P117" s="53"/>
      <c r="Q117" s="57"/>
      <c r="R117" s="57"/>
      <c r="S117" s="53"/>
      <c r="T117" s="53"/>
      <c r="U117" s="53"/>
      <c r="V117" s="53"/>
      <c r="W117" s="57"/>
      <c r="X117" s="53"/>
      <c r="Y117" s="53"/>
      <c r="Z117" s="706"/>
      <c r="AA117" s="53"/>
      <c r="AB117" s="53"/>
      <c r="AC117" s="53"/>
      <c r="AD117" s="53"/>
      <c r="AE117" s="53"/>
      <c r="AF117" s="56"/>
      <c r="AG117" s="54"/>
      <c r="AH117" s="54"/>
      <c r="AI117" s="54"/>
      <c r="AJ117" s="54"/>
      <c r="AK117" s="131">
        <v>11</v>
      </c>
    </row>
    <row r="118" s="131" customFormat="1" ht="11.5" customHeight="1">
      <c r="A118" s="705"/>
      <c r="B118" s="705"/>
      <c r="C118" s="705"/>
      <c r="D118" s="705"/>
      <c r="E118" s="705"/>
      <c r="F118" s="57"/>
      <c r="G118" s="57"/>
      <c r="H118" s="131"/>
      <c r="N118" s="53"/>
      <c r="P118" s="53"/>
      <c r="Q118" s="57"/>
      <c r="R118" s="57"/>
      <c r="S118" s="53"/>
      <c r="T118" s="53"/>
      <c r="U118" s="53"/>
      <c r="V118" s="53"/>
      <c r="W118" s="57"/>
      <c r="X118" s="53"/>
      <c r="Y118" s="53"/>
      <c r="Z118" s="706"/>
      <c r="AA118" s="53"/>
      <c r="AB118" s="53"/>
      <c r="AC118" s="53"/>
      <c r="AD118" s="53"/>
      <c r="AE118" s="53"/>
      <c r="AF118" s="56"/>
      <c r="AG118" s="54"/>
      <c r="AH118" s="54"/>
      <c r="AI118" s="54"/>
      <c r="AJ118" s="54"/>
      <c r="AK118" s="131">
        <v>11</v>
      </c>
    </row>
    <row r="119" s="131" customFormat="1" ht="11.5" customHeight="1">
      <c r="A119" s="705"/>
      <c r="B119" s="705"/>
      <c r="C119" s="705"/>
      <c r="D119" s="705"/>
      <c r="E119" s="705"/>
      <c r="F119" s="57"/>
      <c r="G119" s="57"/>
      <c r="H119" s="131"/>
      <c r="N119" s="53"/>
      <c r="P119" s="53"/>
      <c r="Q119" s="57"/>
      <c r="R119" s="57"/>
      <c r="S119" s="53"/>
      <c r="T119" s="53"/>
      <c r="U119" s="53"/>
      <c r="V119" s="53"/>
      <c r="W119" s="57"/>
      <c r="X119" s="53"/>
      <c r="Y119" s="53"/>
      <c r="Z119" s="706"/>
      <c r="AA119" s="53"/>
      <c r="AB119" s="53"/>
      <c r="AC119" s="53"/>
      <c r="AD119" s="53"/>
      <c r="AE119" s="53"/>
      <c r="AF119" s="56"/>
      <c r="AG119" s="54"/>
      <c r="AH119" s="54"/>
      <c r="AI119" s="54"/>
      <c r="AJ119" s="54"/>
      <c r="AK119" s="131">
        <v>11</v>
      </c>
    </row>
    <row r="120" s="131" customFormat="1" ht="11.5" customHeight="1">
      <c r="A120" s="705"/>
      <c r="B120" s="705"/>
      <c r="C120" s="705"/>
      <c r="D120" s="705"/>
      <c r="E120" s="705"/>
      <c r="F120" s="57"/>
      <c r="G120" s="57"/>
      <c r="H120" s="131"/>
      <c r="N120" s="53"/>
      <c r="P120" s="53"/>
      <c r="Q120" s="57"/>
      <c r="R120" s="57"/>
      <c r="S120" s="53"/>
      <c r="T120" s="53"/>
      <c r="U120" s="53"/>
      <c r="V120" s="53"/>
      <c r="W120" s="57"/>
      <c r="X120" s="53"/>
      <c r="Y120" s="53"/>
      <c r="Z120" s="706"/>
      <c r="AA120" s="53"/>
      <c r="AB120" s="53"/>
      <c r="AC120" s="53"/>
      <c r="AD120" s="53"/>
      <c r="AE120" s="53"/>
      <c r="AF120" s="56"/>
      <c r="AG120" s="54"/>
      <c r="AH120" s="54"/>
      <c r="AI120" s="54"/>
      <c r="AJ120" s="54"/>
      <c r="AK120" s="131">
        <v>11</v>
      </c>
    </row>
    <row r="121" s="131" customFormat="1" ht="11.5" customHeight="1">
      <c r="A121" s="705"/>
      <c r="B121" s="705"/>
      <c r="C121" s="705"/>
      <c r="D121" s="705"/>
      <c r="E121" s="705"/>
      <c r="F121" s="57"/>
      <c r="G121" s="57"/>
      <c r="H121" s="131"/>
      <c r="N121" s="53"/>
      <c r="P121" s="53"/>
      <c r="Q121" s="57"/>
      <c r="R121" s="57"/>
      <c r="S121" s="53"/>
      <c r="T121" s="53"/>
      <c r="U121" s="53"/>
      <c r="V121" s="53"/>
      <c r="W121" s="57"/>
      <c r="X121" s="53"/>
      <c r="Y121" s="53"/>
      <c r="Z121" s="706"/>
      <c r="AA121" s="53"/>
      <c r="AB121" s="53"/>
      <c r="AC121" s="53"/>
      <c r="AD121" s="53"/>
      <c r="AE121" s="53"/>
      <c r="AF121" s="56"/>
      <c r="AG121" s="54"/>
      <c r="AH121" s="54"/>
      <c r="AI121" s="54"/>
      <c r="AJ121" s="54"/>
      <c r="AK121" s="131">
        <v>11</v>
      </c>
    </row>
    <row r="122" s="131" customFormat="1" ht="11.5" customHeight="1">
      <c r="A122" s="705"/>
      <c r="B122" s="705"/>
      <c r="C122" s="705"/>
      <c r="D122" s="705"/>
      <c r="E122" s="705"/>
      <c r="F122" s="57"/>
      <c r="G122" s="57"/>
      <c r="H122" s="131"/>
      <c r="N122" s="53"/>
      <c r="P122" s="53"/>
      <c r="Q122" s="57"/>
      <c r="R122" s="57"/>
      <c r="S122" s="53"/>
      <c r="T122" s="53"/>
      <c r="U122" s="53"/>
      <c r="V122" s="53"/>
      <c r="W122" s="57"/>
      <c r="X122" s="53"/>
      <c r="Y122" s="53"/>
      <c r="Z122" s="706"/>
      <c r="AA122" s="53"/>
      <c r="AB122" s="53"/>
      <c r="AC122" s="53"/>
      <c r="AD122" s="53"/>
      <c r="AE122" s="53"/>
      <c r="AF122" s="56"/>
      <c r="AG122" s="54"/>
      <c r="AH122" s="54"/>
      <c r="AI122" s="54"/>
      <c r="AJ122" s="54"/>
      <c r="AK122" s="131">
        <v>11</v>
      </c>
    </row>
    <row r="123" s="131" customFormat="1" ht="11.5" customHeight="1">
      <c r="A123" s="705"/>
      <c r="B123" s="705"/>
      <c r="C123" s="705"/>
      <c r="D123" s="705"/>
      <c r="E123" s="705"/>
      <c r="F123" s="57"/>
      <c r="G123" s="57"/>
      <c r="H123" s="131"/>
      <c r="N123" s="53"/>
      <c r="P123" s="53"/>
      <c r="Q123" s="57"/>
      <c r="R123" s="57"/>
      <c r="S123" s="53"/>
      <c r="T123" s="53"/>
      <c r="U123" s="53"/>
      <c r="V123" s="53"/>
      <c r="W123" s="57"/>
      <c r="X123" s="53"/>
      <c r="Y123" s="53"/>
      <c r="Z123" s="706"/>
      <c r="AA123" s="53"/>
      <c r="AB123" s="53"/>
      <c r="AC123" s="53"/>
      <c r="AD123" s="53"/>
      <c r="AE123" s="53"/>
      <c r="AF123" s="56"/>
      <c r="AG123" s="54"/>
      <c r="AH123" s="54"/>
      <c r="AI123" s="54"/>
      <c r="AJ123" s="54"/>
      <c r="AK123" s="131">
        <v>11</v>
      </c>
    </row>
    <row r="124" s="131" customFormat="1" ht="11.5" customHeight="1">
      <c r="A124" s="705"/>
      <c r="B124" s="705"/>
      <c r="C124" s="705"/>
      <c r="D124" s="705"/>
      <c r="E124" s="705"/>
      <c r="F124" s="57"/>
      <c r="G124" s="57"/>
      <c r="H124" s="131"/>
      <c r="N124" s="53"/>
      <c r="P124" s="53"/>
      <c r="Q124" s="57"/>
      <c r="R124" s="57"/>
      <c r="S124" s="53"/>
      <c r="T124" s="53"/>
      <c r="U124" s="53"/>
      <c r="V124" s="53"/>
      <c r="W124" s="57"/>
      <c r="X124" s="53"/>
      <c r="Y124" s="53"/>
      <c r="Z124" s="706"/>
      <c r="AA124" s="53"/>
      <c r="AB124" s="53"/>
      <c r="AC124" s="53"/>
      <c r="AD124" s="53"/>
      <c r="AE124" s="53"/>
      <c r="AF124" s="56"/>
      <c r="AG124" s="54"/>
      <c r="AH124" s="54"/>
      <c r="AI124" s="54"/>
      <c r="AJ124" s="54"/>
      <c r="AK124" s="131">
        <v>11</v>
      </c>
    </row>
    <row r="125" s="131" customFormat="1" ht="11.5" customHeight="1">
      <c r="A125" s="705"/>
      <c r="B125" s="705"/>
      <c r="C125" s="705"/>
      <c r="D125" s="705"/>
      <c r="E125" s="705"/>
      <c r="F125" s="57"/>
      <c r="G125" s="57"/>
      <c r="H125" s="131"/>
      <c r="N125" s="53"/>
      <c r="P125" s="53"/>
      <c r="Q125" s="57"/>
      <c r="R125" s="57"/>
      <c r="S125" s="53"/>
      <c r="T125" s="53"/>
      <c r="U125" s="53"/>
      <c r="V125" s="53"/>
      <c r="W125" s="57"/>
      <c r="X125" s="53"/>
      <c r="Y125" s="53"/>
      <c r="Z125" s="706"/>
      <c r="AA125" s="53"/>
      <c r="AB125" s="53"/>
      <c r="AC125" s="53"/>
      <c r="AD125" s="53"/>
      <c r="AE125" s="53"/>
      <c r="AF125" s="56"/>
      <c r="AG125" s="54"/>
      <c r="AH125" s="54"/>
      <c r="AI125" s="54"/>
      <c r="AJ125" s="54"/>
      <c r="AK125" s="131">
        <v>11</v>
      </c>
    </row>
    <row r="126" s="131" customFormat="1" ht="11.5" customHeight="1">
      <c r="A126" s="705"/>
      <c r="B126" s="705"/>
      <c r="C126" s="705"/>
      <c r="D126" s="705"/>
      <c r="E126" s="705"/>
      <c r="F126" s="57"/>
      <c r="G126" s="57"/>
      <c r="H126" s="131"/>
      <c r="N126" s="53"/>
      <c r="P126" s="53"/>
      <c r="Q126" s="57"/>
      <c r="R126" s="57"/>
      <c r="S126" s="53"/>
      <c r="T126" s="53"/>
      <c r="U126" s="53"/>
      <c r="V126" s="53"/>
      <c r="W126" s="57"/>
      <c r="X126" s="53"/>
      <c r="Y126" s="53"/>
      <c r="Z126" s="706"/>
      <c r="AA126" s="53"/>
      <c r="AB126" s="53"/>
      <c r="AC126" s="53"/>
      <c r="AD126" s="53"/>
      <c r="AE126" s="53"/>
      <c r="AF126" s="56"/>
      <c r="AG126" s="54"/>
      <c r="AH126" s="54"/>
      <c r="AI126" s="54"/>
      <c r="AJ126" s="54"/>
      <c r="AK126" s="131">
        <v>11</v>
      </c>
    </row>
    <row r="127" s="131" customFormat="1" ht="11.5" customHeight="1">
      <c r="A127" s="705"/>
      <c r="B127" s="705"/>
      <c r="C127" s="705"/>
      <c r="D127" s="705"/>
      <c r="E127" s="705"/>
      <c r="F127" s="57"/>
      <c r="G127" s="57"/>
      <c r="H127" s="131"/>
      <c r="N127" s="53"/>
      <c r="P127" s="53"/>
      <c r="Q127" s="57"/>
      <c r="R127" s="57"/>
      <c r="S127" s="53"/>
      <c r="T127" s="53"/>
      <c r="U127" s="53"/>
      <c r="V127" s="53"/>
      <c r="W127" s="57"/>
      <c r="X127" s="53"/>
      <c r="Y127" s="53"/>
      <c r="Z127" s="706"/>
      <c r="AA127" s="53"/>
      <c r="AB127" s="53"/>
      <c r="AC127" s="53"/>
      <c r="AD127" s="53"/>
      <c r="AE127" s="53"/>
      <c r="AF127" s="56"/>
      <c r="AG127" s="54"/>
      <c r="AH127" s="54"/>
      <c r="AI127" s="54"/>
      <c r="AJ127" s="54"/>
      <c r="AK127" s="131">
        <v>11</v>
      </c>
    </row>
    <row r="128" s="131" customFormat="1" ht="11.5" customHeight="1">
      <c r="A128" s="705"/>
      <c r="B128" s="705"/>
      <c r="C128" s="705"/>
      <c r="D128" s="705"/>
      <c r="E128" s="705"/>
      <c r="F128" s="57"/>
      <c r="G128" s="57"/>
      <c r="H128" s="131"/>
      <c r="N128" s="53"/>
      <c r="P128" s="53"/>
      <c r="Q128" s="57"/>
      <c r="R128" s="57"/>
      <c r="S128" s="53"/>
      <c r="T128" s="53"/>
      <c r="U128" s="53"/>
      <c r="V128" s="53"/>
      <c r="W128" s="57"/>
      <c r="X128" s="53"/>
      <c r="Y128" s="53"/>
      <c r="Z128" s="706"/>
      <c r="AA128" s="53"/>
      <c r="AB128" s="53"/>
      <c r="AC128" s="53"/>
      <c r="AD128" s="53"/>
      <c r="AE128" s="53"/>
      <c r="AF128" s="56"/>
      <c r="AG128" s="54"/>
      <c r="AH128" s="54"/>
      <c r="AI128" s="54"/>
      <c r="AJ128" s="54"/>
      <c r="AK128" s="131">
        <v>11</v>
      </c>
    </row>
    <row r="129" s="131" customFormat="1" ht="11.5" customHeight="1">
      <c r="A129" s="705"/>
      <c r="B129" s="705"/>
      <c r="C129" s="705"/>
      <c r="D129" s="705"/>
      <c r="E129" s="705"/>
      <c r="F129" s="57"/>
      <c r="G129" s="57"/>
      <c r="H129" s="131"/>
      <c r="N129" s="53"/>
      <c r="P129" s="53"/>
      <c r="Q129" s="57"/>
      <c r="R129" s="57"/>
      <c r="S129" s="53"/>
      <c r="T129" s="53"/>
      <c r="U129" s="53"/>
      <c r="V129" s="53"/>
      <c r="W129" s="57"/>
      <c r="X129" s="53"/>
      <c r="Y129" s="53"/>
      <c r="Z129" s="706"/>
      <c r="AA129" s="53"/>
      <c r="AB129" s="53"/>
      <c r="AC129" s="53"/>
      <c r="AD129" s="53"/>
      <c r="AE129" s="53"/>
      <c r="AF129" s="56"/>
      <c r="AG129" s="54"/>
      <c r="AH129" s="54"/>
      <c r="AI129" s="54"/>
      <c r="AJ129" s="54"/>
      <c r="AK129" s="131">
        <v>11</v>
      </c>
    </row>
    <row r="130" s="131" customFormat="1" ht="11.5" customHeight="1">
      <c r="A130" s="705"/>
      <c r="B130" s="705"/>
      <c r="C130" s="705"/>
      <c r="D130" s="705"/>
      <c r="E130" s="705"/>
      <c r="F130" s="57"/>
      <c r="G130" s="57"/>
      <c r="H130" s="131"/>
      <c r="N130" s="53"/>
      <c r="P130" s="53"/>
      <c r="Q130" s="57"/>
      <c r="R130" s="57"/>
      <c r="S130" s="53"/>
      <c r="T130" s="53"/>
      <c r="U130" s="53"/>
      <c r="V130" s="53"/>
      <c r="W130" s="57"/>
      <c r="X130" s="53"/>
      <c r="Y130" s="53"/>
      <c r="Z130" s="706"/>
      <c r="AA130" s="53"/>
      <c r="AB130" s="53"/>
      <c r="AC130" s="53"/>
      <c r="AD130" s="53"/>
      <c r="AE130" s="53"/>
      <c r="AF130" s="56"/>
      <c r="AG130" s="54"/>
      <c r="AH130" s="54"/>
      <c r="AI130" s="54"/>
      <c r="AJ130" s="54"/>
      <c r="AK130" s="131">
        <v>11</v>
      </c>
    </row>
    <row r="131" s="131" customFormat="1" ht="11.5" customHeight="1">
      <c r="A131" s="705"/>
      <c r="B131" s="705"/>
      <c r="C131" s="705"/>
      <c r="D131" s="705"/>
      <c r="E131" s="705"/>
      <c r="F131" s="57"/>
      <c r="G131" s="57"/>
      <c r="H131" s="131"/>
      <c r="N131" s="53"/>
      <c r="P131" s="53"/>
      <c r="Q131" s="57"/>
      <c r="R131" s="57"/>
      <c r="S131" s="53"/>
      <c r="T131" s="53"/>
      <c r="U131" s="53"/>
      <c r="V131" s="53"/>
      <c r="W131" s="57"/>
      <c r="X131" s="53"/>
      <c r="Y131" s="53"/>
      <c r="Z131" s="706"/>
      <c r="AA131" s="53"/>
      <c r="AB131" s="53"/>
      <c r="AC131" s="53"/>
      <c r="AD131" s="53"/>
      <c r="AE131" s="53"/>
      <c r="AF131" s="56"/>
      <c r="AG131" s="54"/>
      <c r="AH131" s="54"/>
      <c r="AI131" s="54"/>
      <c r="AJ131" s="54"/>
      <c r="AK131" s="131">
        <v>11</v>
      </c>
    </row>
    <row r="132" s="131" customFormat="1" ht="11.5" customHeight="1">
      <c r="A132" s="705"/>
      <c r="B132" s="705"/>
      <c r="C132" s="705"/>
      <c r="D132" s="705"/>
      <c r="E132" s="705"/>
      <c r="F132" s="57"/>
      <c r="G132" s="57"/>
      <c r="H132" s="131"/>
      <c r="N132" s="53"/>
      <c r="P132" s="53"/>
      <c r="Q132" s="57"/>
      <c r="R132" s="57"/>
      <c r="S132" s="53"/>
      <c r="T132" s="53"/>
      <c r="U132" s="53"/>
      <c r="V132" s="53"/>
      <c r="W132" s="57"/>
      <c r="X132" s="53"/>
      <c r="Y132" s="53"/>
      <c r="Z132" s="706"/>
      <c r="AA132" s="53"/>
      <c r="AB132" s="53"/>
      <c r="AC132" s="53"/>
      <c r="AD132" s="53"/>
      <c r="AE132" s="53"/>
      <c r="AF132" s="56"/>
      <c r="AG132" s="54"/>
      <c r="AH132" s="54"/>
      <c r="AI132" s="54"/>
      <c r="AJ132" s="54"/>
      <c r="AK132" s="131">
        <v>11</v>
      </c>
    </row>
    <row r="133" s="131" customFormat="1" ht="11.5" customHeight="1">
      <c r="A133" s="705"/>
      <c r="B133" s="705"/>
      <c r="C133" s="705"/>
      <c r="D133" s="705"/>
      <c r="E133" s="705"/>
      <c r="F133" s="57"/>
      <c r="G133" s="57"/>
      <c r="H133" s="131"/>
      <c r="N133" s="53"/>
      <c r="P133" s="53"/>
      <c r="Q133" s="57"/>
      <c r="R133" s="57"/>
      <c r="S133" s="53"/>
      <c r="T133" s="53"/>
      <c r="U133" s="53"/>
      <c r="V133" s="53"/>
      <c r="W133" s="57"/>
      <c r="X133" s="53"/>
      <c r="Y133" s="53"/>
      <c r="Z133" s="706"/>
      <c r="AA133" s="53"/>
      <c r="AB133" s="53"/>
      <c r="AC133" s="53"/>
      <c r="AD133" s="53"/>
      <c r="AE133" s="53"/>
      <c r="AF133" s="56"/>
      <c r="AG133" s="54"/>
      <c r="AH133" s="54"/>
      <c r="AI133" s="54"/>
      <c r="AJ133" s="54"/>
      <c r="AK133" s="131">
        <v>11</v>
      </c>
    </row>
    <row r="134" s="131" customFormat="1" ht="11.5" customHeight="1">
      <c r="A134" s="705"/>
      <c r="B134" s="705"/>
      <c r="C134" s="705"/>
      <c r="D134" s="705"/>
      <c r="E134" s="705"/>
      <c r="F134" s="57"/>
      <c r="G134" s="57"/>
      <c r="H134" s="131"/>
      <c r="N134" s="53"/>
      <c r="P134" s="53"/>
      <c r="Q134" s="57"/>
      <c r="R134" s="57"/>
      <c r="S134" s="53"/>
      <c r="T134" s="53"/>
      <c r="U134" s="53"/>
      <c r="V134" s="53"/>
      <c r="W134" s="57"/>
      <c r="X134" s="53"/>
      <c r="Y134" s="53"/>
      <c r="Z134" s="706"/>
      <c r="AA134" s="53"/>
      <c r="AB134" s="53"/>
      <c r="AC134" s="53"/>
      <c r="AD134" s="53"/>
      <c r="AE134" s="53"/>
      <c r="AF134" s="56"/>
      <c r="AG134" s="54"/>
      <c r="AH134" s="54"/>
      <c r="AI134" s="54"/>
      <c r="AJ134" s="54"/>
      <c r="AK134" s="131">
        <v>11</v>
      </c>
    </row>
    <row r="135" s="131" customFormat="1" ht="11.5" customHeight="1">
      <c r="A135" s="705"/>
      <c r="B135" s="705"/>
      <c r="C135" s="705"/>
      <c r="D135" s="705"/>
      <c r="E135" s="705"/>
      <c r="F135" s="57"/>
      <c r="G135" s="57"/>
      <c r="H135" s="131"/>
      <c r="N135" s="53"/>
      <c r="P135" s="53"/>
      <c r="Q135" s="57"/>
      <c r="R135" s="57"/>
      <c r="S135" s="53"/>
      <c r="T135" s="53"/>
      <c r="U135" s="53"/>
      <c r="V135" s="53"/>
      <c r="W135" s="57"/>
      <c r="X135" s="53"/>
      <c r="Y135" s="53"/>
      <c r="Z135" s="706"/>
      <c r="AA135" s="53"/>
      <c r="AB135" s="53"/>
      <c r="AC135" s="53"/>
      <c r="AD135" s="53"/>
      <c r="AE135" s="53"/>
      <c r="AF135" s="56"/>
      <c r="AG135" s="54"/>
      <c r="AH135" s="54"/>
      <c r="AI135" s="54"/>
      <c r="AJ135" s="54"/>
      <c r="AK135" s="131">
        <v>11</v>
      </c>
    </row>
    <row r="136" s="131" customFormat="1" ht="11.5" customHeight="1">
      <c r="A136" s="705"/>
      <c r="B136" s="705"/>
      <c r="C136" s="705"/>
      <c r="D136" s="705"/>
      <c r="E136" s="705"/>
      <c r="F136" s="57"/>
      <c r="G136" s="57"/>
      <c r="H136" s="131"/>
      <c r="N136" s="53"/>
      <c r="P136" s="53"/>
      <c r="Q136" s="57"/>
      <c r="R136" s="57"/>
      <c r="S136" s="53"/>
      <c r="T136" s="53"/>
      <c r="U136" s="53"/>
      <c r="V136" s="53"/>
      <c r="W136" s="57"/>
      <c r="X136" s="53"/>
      <c r="Y136" s="53"/>
      <c r="Z136" s="706"/>
      <c r="AA136" s="53"/>
      <c r="AB136" s="53"/>
      <c r="AC136" s="53"/>
      <c r="AD136" s="53"/>
      <c r="AE136" s="53"/>
      <c r="AF136" s="56"/>
      <c r="AG136" s="54"/>
      <c r="AH136" s="54"/>
      <c r="AI136" s="54"/>
      <c r="AJ136" s="54"/>
      <c r="AK136" s="131">
        <v>11</v>
      </c>
    </row>
    <row r="137" s="131" customFormat="1" ht="11.5" customHeight="1">
      <c r="A137" s="705"/>
      <c r="B137" s="705"/>
      <c r="C137" s="705"/>
      <c r="D137" s="705"/>
      <c r="E137" s="705"/>
      <c r="F137" s="57"/>
      <c r="G137" s="57"/>
      <c r="H137" s="131"/>
      <c r="N137" s="53"/>
      <c r="P137" s="53"/>
      <c r="Q137" s="57"/>
      <c r="R137" s="57"/>
      <c r="S137" s="53"/>
      <c r="T137" s="53"/>
      <c r="U137" s="53"/>
      <c r="V137" s="53"/>
      <c r="W137" s="57"/>
      <c r="X137" s="53"/>
      <c r="Y137" s="53"/>
      <c r="Z137" s="706"/>
      <c r="AA137" s="53"/>
      <c r="AB137" s="53"/>
      <c r="AC137" s="53"/>
      <c r="AD137" s="53"/>
      <c r="AE137" s="53"/>
      <c r="AF137" s="56"/>
      <c r="AG137" s="54"/>
      <c r="AH137" s="54"/>
      <c r="AI137" s="54"/>
      <c r="AJ137" s="54"/>
      <c r="AK137" s="131">
        <v>11</v>
      </c>
    </row>
    <row r="138" s="131" customFormat="1" ht="11.5" customHeight="1">
      <c r="A138" s="705"/>
      <c r="B138" s="705"/>
      <c r="C138" s="705"/>
      <c r="D138" s="705"/>
      <c r="E138" s="705"/>
      <c r="F138" s="57"/>
      <c r="G138" s="57"/>
      <c r="H138" s="131"/>
      <c r="N138" s="53"/>
      <c r="P138" s="53"/>
      <c r="Q138" s="57"/>
      <c r="R138" s="57"/>
      <c r="S138" s="53"/>
      <c r="T138" s="53"/>
      <c r="U138" s="53"/>
      <c r="V138" s="53"/>
      <c r="W138" s="57"/>
      <c r="X138" s="53"/>
      <c r="Y138" s="53"/>
      <c r="Z138" s="706"/>
      <c r="AA138" s="53"/>
      <c r="AB138" s="53"/>
      <c r="AC138" s="53"/>
      <c r="AD138" s="53"/>
      <c r="AE138" s="53"/>
      <c r="AF138" s="56"/>
      <c r="AG138" s="54"/>
      <c r="AH138" s="54"/>
      <c r="AI138" s="54"/>
      <c r="AJ138" s="54"/>
      <c r="AK138" s="131">
        <v>11</v>
      </c>
    </row>
    <row r="139" s="131" customFormat="1" ht="11.5" customHeight="1">
      <c r="A139" s="705"/>
      <c r="B139" s="705"/>
      <c r="C139" s="705"/>
      <c r="D139" s="705"/>
      <c r="E139" s="705"/>
      <c r="F139" s="57"/>
      <c r="G139" s="57"/>
      <c r="H139" s="131"/>
      <c r="N139" s="53"/>
      <c r="P139" s="53"/>
      <c r="Q139" s="57"/>
      <c r="R139" s="57"/>
      <c r="S139" s="53"/>
      <c r="T139" s="53"/>
      <c r="U139" s="53"/>
      <c r="V139" s="53"/>
      <c r="W139" s="57"/>
      <c r="X139" s="53"/>
      <c r="Y139" s="53"/>
      <c r="Z139" s="706"/>
      <c r="AA139" s="53"/>
      <c r="AB139" s="53"/>
      <c r="AC139" s="53"/>
      <c r="AD139" s="53"/>
      <c r="AE139" s="53"/>
      <c r="AF139" s="56"/>
      <c r="AG139" s="54"/>
      <c r="AH139" s="54"/>
      <c r="AI139" s="54"/>
      <c r="AJ139" s="54"/>
      <c r="AK139" s="131">
        <v>11</v>
      </c>
    </row>
    <row r="140" s="131" customFormat="1" ht="11.5" customHeight="1">
      <c r="A140" s="705"/>
      <c r="B140" s="705"/>
      <c r="C140" s="705"/>
      <c r="D140" s="705"/>
      <c r="E140" s="705"/>
      <c r="F140" s="57"/>
      <c r="G140" s="57"/>
      <c r="H140" s="131"/>
      <c r="N140" s="53"/>
      <c r="P140" s="53"/>
      <c r="Q140" s="57"/>
      <c r="R140" s="57"/>
      <c r="S140" s="53"/>
      <c r="T140" s="53"/>
      <c r="U140" s="53"/>
      <c r="V140" s="53"/>
      <c r="W140" s="57"/>
      <c r="X140" s="53"/>
      <c r="Y140" s="53"/>
      <c r="Z140" s="706"/>
      <c r="AA140" s="53"/>
      <c r="AB140" s="53"/>
      <c r="AC140" s="53"/>
      <c r="AD140" s="53"/>
      <c r="AE140" s="53"/>
      <c r="AF140" s="56"/>
      <c r="AG140" s="54"/>
      <c r="AH140" s="54"/>
      <c r="AI140" s="54"/>
      <c r="AJ140" s="54"/>
      <c r="AK140" s="131">
        <v>11</v>
      </c>
    </row>
    <row r="141" s="131" customFormat="1" ht="11.5" customHeight="1">
      <c r="A141" s="705"/>
      <c r="B141" s="705"/>
      <c r="C141" s="705"/>
      <c r="D141" s="705"/>
      <c r="E141" s="705"/>
      <c r="F141" s="57"/>
      <c r="G141" s="57"/>
      <c r="H141" s="131"/>
      <c r="N141" s="53"/>
      <c r="P141" s="53"/>
      <c r="Q141" s="57"/>
      <c r="R141" s="57"/>
      <c r="S141" s="53"/>
      <c r="T141" s="53"/>
      <c r="U141" s="53"/>
      <c r="V141" s="53"/>
      <c r="W141" s="57"/>
      <c r="X141" s="53"/>
      <c r="Y141" s="53"/>
      <c r="Z141" s="706"/>
      <c r="AA141" s="53"/>
      <c r="AB141" s="53"/>
      <c r="AC141" s="53"/>
      <c r="AD141" s="53"/>
      <c r="AE141" s="53"/>
      <c r="AF141" s="56"/>
      <c r="AG141" s="54"/>
      <c r="AH141" s="54"/>
      <c r="AI141" s="54"/>
      <c r="AJ141" s="54"/>
      <c r="AK141" s="131">
        <v>11</v>
      </c>
    </row>
    <row r="142" s="131" customFormat="1" ht="11.5" customHeight="1">
      <c r="A142" s="705"/>
      <c r="B142" s="705"/>
      <c r="C142" s="705"/>
      <c r="D142" s="705"/>
      <c r="E142" s="705"/>
      <c r="F142" s="57"/>
      <c r="G142" s="57"/>
      <c r="H142" s="131"/>
      <c r="N142" s="53"/>
      <c r="P142" s="53"/>
      <c r="Q142" s="57"/>
      <c r="R142" s="57"/>
      <c r="S142" s="53"/>
      <c r="T142" s="53"/>
      <c r="U142" s="53"/>
      <c r="V142" s="53"/>
      <c r="W142" s="57"/>
      <c r="X142" s="53"/>
      <c r="Y142" s="53"/>
      <c r="Z142" s="706"/>
      <c r="AA142" s="53"/>
      <c r="AB142" s="53"/>
      <c r="AC142" s="53"/>
      <c r="AD142" s="53"/>
      <c r="AE142" s="53"/>
      <c r="AF142" s="56"/>
      <c r="AG142" s="54"/>
      <c r="AH142" s="54"/>
      <c r="AI142" s="54"/>
      <c r="AJ142" s="54"/>
      <c r="AK142" s="131">
        <v>11</v>
      </c>
    </row>
    <row r="143" s="131" customFormat="1" ht="11.5" customHeight="1">
      <c r="A143" s="705"/>
      <c r="B143" s="705"/>
      <c r="C143" s="705"/>
      <c r="D143" s="705"/>
      <c r="E143" s="705"/>
      <c r="F143" s="57"/>
      <c r="G143" s="57"/>
      <c r="H143" s="131"/>
      <c r="N143" s="53"/>
      <c r="P143" s="53"/>
      <c r="Q143" s="57"/>
      <c r="R143" s="57"/>
      <c r="S143" s="53"/>
      <c r="T143" s="53"/>
      <c r="U143" s="53"/>
      <c r="V143" s="53"/>
      <c r="W143" s="57"/>
      <c r="X143" s="53"/>
      <c r="Y143" s="53"/>
      <c r="Z143" s="706"/>
      <c r="AA143" s="53"/>
      <c r="AB143" s="53"/>
      <c r="AC143" s="53"/>
      <c r="AD143" s="53"/>
      <c r="AE143" s="53"/>
      <c r="AF143" s="56"/>
      <c r="AG143" s="54"/>
      <c r="AH143" s="54"/>
      <c r="AI143" s="54"/>
      <c r="AJ143" s="54"/>
      <c r="AK143" s="131">
        <v>11</v>
      </c>
    </row>
    <row r="144" s="131" customFormat="1" ht="11.5" customHeight="1">
      <c r="A144" s="705"/>
      <c r="B144" s="705"/>
      <c r="C144" s="705"/>
      <c r="D144" s="705"/>
      <c r="E144" s="705"/>
      <c r="F144" s="57"/>
      <c r="G144" s="57"/>
      <c r="H144" s="131"/>
      <c r="N144" s="53"/>
      <c r="P144" s="53"/>
      <c r="Q144" s="57"/>
      <c r="R144" s="57"/>
      <c r="S144" s="53"/>
      <c r="T144" s="53"/>
      <c r="U144" s="53"/>
      <c r="V144" s="53"/>
      <c r="W144" s="57"/>
      <c r="X144" s="53"/>
      <c r="Y144" s="53"/>
      <c r="Z144" s="706"/>
      <c r="AA144" s="53"/>
      <c r="AB144" s="53"/>
      <c r="AC144" s="53"/>
      <c r="AD144" s="53"/>
      <c r="AE144" s="53"/>
      <c r="AF144" s="56"/>
      <c r="AG144" s="54"/>
      <c r="AH144" s="54"/>
      <c r="AI144" s="54"/>
      <c r="AJ144" s="54"/>
      <c r="AK144" s="131">
        <v>11</v>
      </c>
    </row>
    <row r="145" s="131" customFormat="1" ht="11.5" customHeight="1">
      <c r="A145" s="705"/>
      <c r="B145" s="705"/>
      <c r="C145" s="705"/>
      <c r="D145" s="705"/>
      <c r="E145" s="705"/>
      <c r="F145" s="57"/>
      <c r="G145" s="57"/>
      <c r="H145" s="131"/>
      <c r="N145" s="53"/>
      <c r="P145" s="53"/>
      <c r="Q145" s="57"/>
      <c r="R145" s="57"/>
      <c r="S145" s="53"/>
      <c r="T145" s="53"/>
      <c r="U145" s="53"/>
      <c r="V145" s="53"/>
      <c r="W145" s="57"/>
      <c r="X145" s="53"/>
      <c r="Y145" s="53"/>
      <c r="Z145" s="706"/>
      <c r="AA145" s="53"/>
      <c r="AB145" s="53"/>
      <c r="AC145" s="53"/>
      <c r="AD145" s="53"/>
      <c r="AE145" s="53"/>
      <c r="AF145" s="56"/>
      <c r="AG145" s="54"/>
      <c r="AH145" s="54"/>
      <c r="AI145" s="54"/>
      <c r="AJ145" s="54"/>
      <c r="AK145" s="131">
        <v>11</v>
      </c>
    </row>
    <row r="146" s="131" customFormat="1" ht="11.5" customHeight="1">
      <c r="A146" s="705"/>
      <c r="B146" s="705"/>
      <c r="C146" s="705"/>
      <c r="D146" s="705"/>
      <c r="E146" s="705"/>
      <c r="F146" s="57"/>
      <c r="G146" s="57"/>
      <c r="H146" s="131"/>
      <c r="N146" s="53"/>
      <c r="P146" s="53"/>
      <c r="Q146" s="57"/>
      <c r="R146" s="57"/>
      <c r="S146" s="53"/>
      <c r="T146" s="53"/>
      <c r="U146" s="53"/>
      <c r="V146" s="53"/>
      <c r="W146" s="57"/>
      <c r="X146" s="53"/>
      <c r="Y146" s="53"/>
      <c r="Z146" s="706"/>
      <c r="AA146" s="53"/>
      <c r="AB146" s="53"/>
      <c r="AC146" s="53"/>
      <c r="AD146" s="53"/>
      <c r="AE146" s="53"/>
      <c r="AF146" s="56"/>
      <c r="AG146" s="54"/>
      <c r="AH146" s="54"/>
      <c r="AI146" s="54"/>
      <c r="AJ146" s="54"/>
      <c r="AK146" s="131">
        <v>11</v>
      </c>
    </row>
    <row r="147" s="131" customFormat="1" ht="11.5" customHeight="1">
      <c r="A147" s="705"/>
      <c r="B147" s="705"/>
      <c r="C147" s="705"/>
      <c r="D147" s="705"/>
      <c r="E147" s="705"/>
      <c r="F147" s="57"/>
      <c r="G147" s="57"/>
      <c r="H147" s="131"/>
      <c r="N147" s="53"/>
      <c r="P147" s="53"/>
      <c r="Q147" s="57"/>
      <c r="R147" s="57"/>
      <c r="S147" s="53"/>
      <c r="T147" s="53"/>
      <c r="U147" s="53"/>
      <c r="V147" s="53"/>
      <c r="W147" s="57"/>
      <c r="X147" s="53"/>
      <c r="Y147" s="53"/>
      <c r="Z147" s="706"/>
      <c r="AA147" s="53"/>
      <c r="AB147" s="53"/>
      <c r="AC147" s="53"/>
      <c r="AD147" s="53"/>
      <c r="AE147" s="53"/>
      <c r="AF147" s="56"/>
      <c r="AG147" s="54"/>
      <c r="AH147" s="54"/>
      <c r="AI147" s="54"/>
      <c r="AJ147" s="54"/>
      <c r="AK147" s="131">
        <v>11</v>
      </c>
    </row>
    <row r="148" s="131" customFormat="1" ht="11.5" customHeight="1">
      <c r="A148" s="705"/>
      <c r="B148" s="705"/>
      <c r="C148" s="705"/>
      <c r="D148" s="705"/>
      <c r="E148" s="705"/>
      <c r="F148" s="57"/>
      <c r="G148" s="57"/>
      <c r="H148" s="131"/>
      <c r="N148" s="53"/>
      <c r="P148" s="53"/>
      <c r="Q148" s="57"/>
      <c r="R148" s="57"/>
      <c r="S148" s="53"/>
      <c r="T148" s="53"/>
      <c r="U148" s="53"/>
      <c r="V148" s="53"/>
      <c r="W148" s="57"/>
      <c r="X148" s="53"/>
      <c r="Y148" s="53"/>
      <c r="Z148" s="706"/>
      <c r="AA148" s="53"/>
      <c r="AB148" s="53"/>
      <c r="AC148" s="53"/>
      <c r="AD148" s="53"/>
      <c r="AE148" s="53"/>
      <c r="AF148" s="56"/>
      <c r="AG148" s="54"/>
      <c r="AH148" s="54"/>
      <c r="AI148" s="54"/>
      <c r="AJ148" s="54"/>
      <c r="AK148" s="131">
        <v>11</v>
      </c>
    </row>
    <row r="149" s="131" customFormat="1" ht="11.5" customHeight="1">
      <c r="A149" s="705"/>
      <c r="B149" s="705"/>
      <c r="C149" s="705"/>
      <c r="D149" s="705"/>
      <c r="E149" s="705"/>
      <c r="F149" s="57"/>
      <c r="G149" s="57"/>
      <c r="H149" s="131"/>
      <c r="N149" s="53"/>
      <c r="P149" s="53"/>
      <c r="Q149" s="57"/>
      <c r="R149" s="57"/>
      <c r="S149" s="53"/>
      <c r="T149" s="53"/>
      <c r="U149" s="53"/>
      <c r="V149" s="53"/>
      <c r="W149" s="57"/>
      <c r="X149" s="53"/>
      <c r="Y149" s="53"/>
      <c r="Z149" s="706"/>
      <c r="AA149" s="53"/>
      <c r="AB149" s="53"/>
      <c r="AC149" s="53"/>
      <c r="AD149" s="53"/>
      <c r="AE149" s="53"/>
      <c r="AF149" s="56"/>
      <c r="AG149" s="54"/>
      <c r="AH149" s="54"/>
      <c r="AI149" s="54"/>
      <c r="AJ149" s="54"/>
      <c r="AK149" s="131">
        <v>11</v>
      </c>
    </row>
    <row r="150" s="131" customFormat="1" ht="11.5" customHeight="1">
      <c r="A150" s="705"/>
      <c r="B150" s="705"/>
      <c r="C150" s="705"/>
      <c r="D150" s="705"/>
      <c r="E150" s="705"/>
      <c r="F150" s="57"/>
      <c r="G150" s="57"/>
      <c r="H150" s="131"/>
      <c r="N150" s="53"/>
      <c r="P150" s="53"/>
      <c r="Q150" s="57"/>
      <c r="R150" s="57"/>
      <c r="S150" s="53"/>
      <c r="T150" s="53"/>
      <c r="U150" s="53"/>
      <c r="V150" s="53"/>
      <c r="W150" s="57"/>
      <c r="X150" s="53"/>
      <c r="Y150" s="53"/>
      <c r="Z150" s="706"/>
      <c r="AA150" s="53"/>
      <c r="AB150" s="53"/>
      <c r="AC150" s="53"/>
      <c r="AD150" s="53"/>
      <c r="AE150" s="53"/>
      <c r="AF150" s="56"/>
      <c r="AG150" s="54"/>
      <c r="AH150" s="54"/>
      <c r="AI150" s="54"/>
      <c r="AJ150" s="54"/>
      <c r="AK150" s="131">
        <v>11</v>
      </c>
    </row>
    <row r="151" s="131" customFormat="1" ht="11.5" customHeight="1">
      <c r="A151" s="705"/>
      <c r="B151" s="705"/>
      <c r="C151" s="705"/>
      <c r="D151" s="705"/>
      <c r="E151" s="705"/>
      <c r="F151" s="57"/>
      <c r="G151" s="57"/>
      <c r="H151" s="131"/>
      <c r="N151" s="53"/>
      <c r="P151" s="53"/>
      <c r="Q151" s="57"/>
      <c r="R151" s="57"/>
      <c r="S151" s="53"/>
      <c r="T151" s="53"/>
      <c r="U151" s="53"/>
      <c r="V151" s="53"/>
      <c r="W151" s="57"/>
      <c r="X151" s="53"/>
      <c r="Y151" s="53"/>
      <c r="Z151" s="706"/>
      <c r="AA151" s="53"/>
      <c r="AB151" s="53"/>
      <c r="AC151" s="53"/>
      <c r="AD151" s="53"/>
      <c r="AE151" s="53"/>
      <c r="AF151" s="56"/>
      <c r="AG151" s="54"/>
      <c r="AH151" s="54"/>
      <c r="AI151" s="54"/>
      <c r="AJ151" s="54"/>
      <c r="AK151" s="131">
        <v>11</v>
      </c>
    </row>
    <row r="152" s="131" customFormat="1" ht="11.5" customHeight="1">
      <c r="A152" s="705"/>
      <c r="B152" s="705"/>
      <c r="C152" s="705"/>
      <c r="D152" s="705"/>
      <c r="E152" s="705"/>
      <c r="F152" s="57"/>
      <c r="G152" s="57"/>
      <c r="H152" s="131"/>
      <c r="N152" s="53"/>
      <c r="P152" s="53"/>
      <c r="Q152" s="57"/>
      <c r="R152" s="57"/>
      <c r="S152" s="53"/>
      <c r="T152" s="53"/>
      <c r="U152" s="53"/>
      <c r="V152" s="53"/>
      <c r="W152" s="57"/>
      <c r="X152" s="53"/>
      <c r="Y152" s="53"/>
      <c r="Z152" s="706"/>
      <c r="AA152" s="53"/>
      <c r="AB152" s="53"/>
      <c r="AC152" s="53"/>
      <c r="AD152" s="53"/>
      <c r="AE152" s="53"/>
      <c r="AF152" s="56"/>
      <c r="AG152" s="54"/>
      <c r="AH152" s="54"/>
      <c r="AI152" s="54"/>
      <c r="AJ152" s="54"/>
      <c r="AK152" s="131">
        <v>11</v>
      </c>
    </row>
    <row r="153" s="131" customFormat="1" ht="11.5" customHeight="1">
      <c r="A153" s="705"/>
      <c r="B153" s="705"/>
      <c r="C153" s="705"/>
      <c r="D153" s="705"/>
      <c r="E153" s="705"/>
      <c r="F153" s="57"/>
      <c r="G153" s="57"/>
      <c r="H153" s="131"/>
      <c r="N153" s="53"/>
      <c r="P153" s="53"/>
      <c r="Q153" s="57"/>
      <c r="R153" s="57"/>
      <c r="S153" s="53"/>
      <c r="T153" s="53"/>
      <c r="U153" s="53"/>
      <c r="V153" s="53"/>
      <c r="W153" s="57"/>
      <c r="X153" s="53"/>
      <c r="Y153" s="53"/>
      <c r="Z153" s="706"/>
      <c r="AA153" s="53"/>
      <c r="AB153" s="53"/>
      <c r="AC153" s="53"/>
      <c r="AD153" s="53"/>
      <c r="AE153" s="53"/>
      <c r="AF153" s="56"/>
      <c r="AG153" s="54"/>
      <c r="AH153" s="54"/>
      <c r="AI153" s="54"/>
      <c r="AJ153" s="54"/>
      <c r="AK153" s="131">
        <v>11</v>
      </c>
    </row>
    <row r="154" s="131" customFormat="1" ht="11.5" customHeight="1">
      <c r="A154" s="705"/>
      <c r="B154" s="705"/>
      <c r="C154" s="705"/>
      <c r="D154" s="705"/>
      <c r="E154" s="705"/>
      <c r="F154" s="57"/>
      <c r="G154" s="57"/>
      <c r="H154" s="131"/>
      <c r="N154" s="53"/>
      <c r="P154" s="53"/>
      <c r="Q154" s="57"/>
      <c r="R154" s="57"/>
      <c r="S154" s="53"/>
      <c r="T154" s="53"/>
      <c r="U154" s="53"/>
      <c r="V154" s="53"/>
      <c r="W154" s="57"/>
      <c r="X154" s="53"/>
      <c r="Y154" s="53"/>
      <c r="Z154" s="706"/>
      <c r="AA154" s="53"/>
      <c r="AB154" s="53"/>
      <c r="AC154" s="53"/>
      <c r="AD154" s="53"/>
      <c r="AE154" s="53"/>
      <c r="AF154" s="56"/>
      <c r="AG154" s="54"/>
      <c r="AH154" s="54"/>
      <c r="AI154" s="54"/>
      <c r="AJ154" s="54"/>
      <c r="AK154" s="131">
        <v>11</v>
      </c>
    </row>
    <row r="155" s="131" customFormat="1" ht="11.5" customHeight="1">
      <c r="A155" s="705"/>
      <c r="B155" s="705"/>
      <c r="C155" s="705"/>
      <c r="D155" s="705"/>
      <c r="E155" s="705"/>
      <c r="F155" s="57"/>
      <c r="G155" s="57"/>
      <c r="H155" s="131"/>
      <c r="N155" s="53"/>
      <c r="P155" s="53"/>
      <c r="Q155" s="57"/>
      <c r="R155" s="57"/>
      <c r="S155" s="53"/>
      <c r="T155" s="53"/>
      <c r="U155" s="53"/>
      <c r="V155" s="53"/>
      <c r="W155" s="57"/>
      <c r="X155" s="53"/>
      <c r="Y155" s="53"/>
      <c r="Z155" s="706"/>
      <c r="AA155" s="53"/>
      <c r="AB155" s="53"/>
      <c r="AC155" s="53"/>
      <c r="AD155" s="53"/>
      <c r="AE155" s="53"/>
      <c r="AF155" s="56"/>
      <c r="AG155" s="54"/>
      <c r="AH155" s="54"/>
      <c r="AI155" s="54"/>
      <c r="AJ155" s="54"/>
      <c r="AK155" s="131">
        <v>11</v>
      </c>
    </row>
    <row r="156" s="131" customFormat="1" ht="11.5" customHeight="1">
      <c r="A156" s="705"/>
      <c r="B156" s="705"/>
      <c r="C156" s="705"/>
      <c r="D156" s="705"/>
      <c r="E156" s="705"/>
      <c r="F156" s="57"/>
      <c r="G156" s="57"/>
      <c r="H156" s="131"/>
      <c r="N156" s="53"/>
      <c r="P156" s="53"/>
      <c r="Q156" s="57"/>
      <c r="R156" s="57"/>
      <c r="S156" s="53"/>
      <c r="T156" s="53"/>
      <c r="U156" s="53"/>
      <c r="V156" s="53"/>
      <c r="W156" s="57"/>
      <c r="X156" s="53"/>
      <c r="Y156" s="53"/>
      <c r="Z156" s="706"/>
      <c r="AA156" s="53"/>
      <c r="AB156" s="53"/>
      <c r="AC156" s="53"/>
      <c r="AD156" s="53"/>
      <c r="AE156" s="53"/>
      <c r="AF156" s="56"/>
      <c r="AG156" s="54"/>
      <c r="AH156" s="54"/>
      <c r="AI156" s="54"/>
      <c r="AJ156" s="54"/>
      <c r="AK156" s="131">
        <v>11</v>
      </c>
    </row>
    <row r="157" s="131" customFormat="1" ht="11.5" customHeight="1">
      <c r="A157" s="705"/>
      <c r="B157" s="705"/>
      <c r="C157" s="705"/>
      <c r="D157" s="705"/>
      <c r="E157" s="705"/>
      <c r="F157" s="57"/>
      <c r="G157" s="57"/>
      <c r="H157" s="131"/>
      <c r="N157" s="53"/>
      <c r="P157" s="53"/>
      <c r="Q157" s="57"/>
      <c r="R157" s="57"/>
      <c r="S157" s="53"/>
      <c r="T157" s="53"/>
      <c r="U157" s="53"/>
      <c r="V157" s="53"/>
      <c r="W157" s="57"/>
      <c r="X157" s="53"/>
      <c r="Y157" s="53"/>
      <c r="Z157" s="706"/>
      <c r="AA157" s="53"/>
      <c r="AB157" s="53"/>
      <c r="AC157" s="53"/>
      <c r="AD157" s="53"/>
      <c r="AE157" s="53"/>
      <c r="AF157" s="56"/>
      <c r="AG157" s="54"/>
      <c r="AH157" s="54"/>
      <c r="AI157" s="54"/>
      <c r="AJ157" s="54"/>
      <c r="AK157" s="131">
        <v>11</v>
      </c>
    </row>
    <row r="158" s="131" customFormat="1" ht="11.5" customHeight="1">
      <c r="A158" s="705"/>
      <c r="B158" s="705"/>
      <c r="C158" s="705"/>
      <c r="D158" s="705"/>
      <c r="E158" s="705"/>
      <c r="F158" s="57"/>
      <c r="G158" s="57"/>
      <c r="H158" s="131"/>
      <c r="N158" s="53"/>
      <c r="P158" s="53"/>
      <c r="Q158" s="57"/>
      <c r="R158" s="57"/>
      <c r="S158" s="53"/>
      <c r="T158" s="53"/>
      <c r="U158" s="53"/>
      <c r="V158" s="53"/>
      <c r="W158" s="57"/>
      <c r="X158" s="53"/>
      <c r="Y158" s="53"/>
      <c r="Z158" s="706"/>
      <c r="AA158" s="53"/>
      <c r="AB158" s="53"/>
      <c r="AC158" s="53"/>
      <c r="AD158" s="53"/>
      <c r="AE158" s="53"/>
      <c r="AF158" s="56"/>
      <c r="AG158" s="54"/>
      <c r="AH158" s="54"/>
      <c r="AI158" s="54"/>
      <c r="AJ158" s="54"/>
      <c r="AK158" s="131">
        <v>11</v>
      </c>
    </row>
    <row r="159" s="131" customFormat="1" ht="11.5" customHeight="1">
      <c r="A159" s="705"/>
      <c r="B159" s="705"/>
      <c r="C159" s="705"/>
      <c r="D159" s="705"/>
      <c r="E159" s="705"/>
      <c r="F159" s="57"/>
      <c r="G159" s="57"/>
      <c r="H159" s="131"/>
      <c r="N159" s="53"/>
      <c r="P159" s="53"/>
      <c r="Q159" s="57"/>
      <c r="R159" s="57"/>
      <c r="S159" s="53"/>
      <c r="T159" s="53"/>
      <c r="U159" s="53"/>
      <c r="V159" s="53"/>
      <c r="W159" s="57"/>
      <c r="X159" s="53"/>
      <c r="Y159" s="53"/>
      <c r="Z159" s="706"/>
      <c r="AA159" s="53"/>
      <c r="AB159" s="53"/>
      <c r="AC159" s="53"/>
      <c r="AD159" s="53"/>
      <c r="AE159" s="53"/>
      <c r="AF159" s="56"/>
      <c r="AG159" s="54"/>
      <c r="AH159" s="54"/>
      <c r="AI159" s="54"/>
      <c r="AJ159" s="54"/>
      <c r="AK159" s="131">
        <v>11</v>
      </c>
    </row>
    <row r="160" s="131" customFormat="1" ht="11.5" customHeight="1">
      <c r="A160" s="705"/>
      <c r="B160" s="705"/>
      <c r="C160" s="705"/>
      <c r="D160" s="705"/>
      <c r="E160" s="705"/>
      <c r="F160" s="57"/>
      <c r="G160" s="57"/>
      <c r="H160" s="131"/>
      <c r="N160" s="53"/>
      <c r="P160" s="53"/>
      <c r="Q160" s="57"/>
      <c r="R160" s="57"/>
      <c r="S160" s="53"/>
      <c r="T160" s="53"/>
      <c r="U160" s="53"/>
      <c r="V160" s="53"/>
      <c r="W160" s="57"/>
      <c r="X160" s="53"/>
      <c r="Y160" s="53"/>
      <c r="Z160" s="706"/>
      <c r="AA160" s="53"/>
      <c r="AB160" s="53"/>
      <c r="AC160" s="53"/>
      <c r="AD160" s="53"/>
      <c r="AE160" s="53"/>
      <c r="AF160" s="56"/>
      <c r="AG160" s="54"/>
      <c r="AH160" s="54"/>
      <c r="AI160" s="54"/>
      <c r="AJ160" s="54"/>
      <c r="AK160" s="131">
        <v>11</v>
      </c>
    </row>
    <row r="161" s="131" customFormat="1" ht="11.5" customHeight="1">
      <c r="A161" s="705"/>
      <c r="B161" s="705"/>
      <c r="C161" s="705"/>
      <c r="D161" s="705"/>
      <c r="E161" s="705"/>
      <c r="F161" s="57"/>
      <c r="G161" s="57"/>
      <c r="H161" s="131"/>
      <c r="N161" s="53"/>
      <c r="P161" s="53"/>
      <c r="Q161" s="57"/>
      <c r="R161" s="57"/>
      <c r="S161" s="53"/>
      <c r="T161" s="53"/>
      <c r="U161" s="53"/>
      <c r="V161" s="53"/>
      <c r="W161" s="57"/>
      <c r="X161" s="53"/>
      <c r="Y161" s="53"/>
      <c r="Z161" s="706"/>
      <c r="AA161" s="53"/>
      <c r="AB161" s="53"/>
      <c r="AC161" s="53"/>
      <c r="AD161" s="53"/>
      <c r="AE161" s="53"/>
      <c r="AF161" s="56"/>
      <c r="AG161" s="54"/>
      <c r="AH161" s="54"/>
      <c r="AI161" s="54"/>
      <c r="AJ161" s="54"/>
      <c r="AK161" s="131">
        <v>11</v>
      </c>
    </row>
    <row r="162" s="131" customFormat="1" ht="11.5" customHeight="1">
      <c r="A162" s="705"/>
      <c r="B162" s="705"/>
      <c r="C162" s="705"/>
      <c r="D162" s="705"/>
      <c r="E162" s="705"/>
      <c r="F162" s="57"/>
      <c r="G162" s="57"/>
      <c r="H162" s="131"/>
      <c r="N162" s="53"/>
      <c r="P162" s="53"/>
      <c r="Q162" s="57"/>
      <c r="R162" s="57"/>
      <c r="S162" s="53"/>
      <c r="T162" s="53"/>
      <c r="U162" s="53"/>
      <c r="V162" s="53"/>
      <c r="W162" s="57"/>
      <c r="X162" s="53"/>
      <c r="Y162" s="53"/>
      <c r="Z162" s="706"/>
      <c r="AA162" s="53"/>
      <c r="AB162" s="53"/>
      <c r="AC162" s="53"/>
      <c r="AD162" s="53"/>
      <c r="AE162" s="53"/>
      <c r="AF162" s="56"/>
      <c r="AG162" s="54"/>
      <c r="AH162" s="54"/>
      <c r="AI162" s="54"/>
      <c r="AJ162" s="54"/>
      <c r="AK162" s="131">
        <v>11</v>
      </c>
    </row>
    <row r="163" s="131" customFormat="1" ht="11.5" customHeight="1">
      <c r="A163" s="705"/>
      <c r="B163" s="705"/>
      <c r="C163" s="705"/>
      <c r="D163" s="705"/>
      <c r="E163" s="705"/>
      <c r="F163" s="57"/>
      <c r="G163" s="57"/>
      <c r="H163" s="131"/>
      <c r="N163" s="53"/>
      <c r="P163" s="53"/>
      <c r="Q163" s="57"/>
      <c r="R163" s="57"/>
      <c r="S163" s="53"/>
      <c r="T163" s="53"/>
      <c r="U163" s="53"/>
      <c r="V163" s="53"/>
      <c r="W163" s="57"/>
      <c r="X163" s="53"/>
      <c r="Y163" s="53"/>
      <c r="Z163" s="706"/>
      <c r="AA163" s="53"/>
      <c r="AB163" s="53"/>
      <c r="AC163" s="53"/>
      <c r="AD163" s="53"/>
      <c r="AE163" s="53"/>
      <c r="AF163" s="56"/>
      <c r="AG163" s="54"/>
      <c r="AH163" s="54"/>
      <c r="AI163" s="54"/>
      <c r="AJ163" s="54"/>
      <c r="AK163" s="131">
        <v>11</v>
      </c>
    </row>
    <row r="164" s="131" customFormat="1" ht="11.5" customHeight="1">
      <c r="A164" s="705"/>
      <c r="B164" s="705"/>
      <c r="C164" s="705"/>
      <c r="D164" s="705"/>
      <c r="E164" s="705"/>
      <c r="F164" s="57"/>
      <c r="G164" s="57"/>
      <c r="H164" s="131"/>
      <c r="N164" s="53"/>
      <c r="P164" s="53"/>
      <c r="Q164" s="57"/>
      <c r="R164" s="57"/>
      <c r="S164" s="53"/>
      <c r="T164" s="53"/>
      <c r="U164" s="53"/>
      <c r="V164" s="53"/>
      <c r="W164" s="57"/>
      <c r="X164" s="53"/>
      <c r="Y164" s="53"/>
      <c r="Z164" s="706"/>
      <c r="AA164" s="53"/>
      <c r="AB164" s="53"/>
      <c r="AC164" s="53"/>
      <c r="AD164" s="53"/>
      <c r="AE164" s="53"/>
      <c r="AF164" s="56"/>
      <c r="AG164" s="54"/>
      <c r="AH164" s="54"/>
      <c r="AI164" s="54"/>
      <c r="AJ164" s="54"/>
      <c r="AK164" s="131">
        <v>11</v>
      </c>
    </row>
    <row r="165" s="131" customFormat="1" ht="11.5" customHeight="1">
      <c r="A165" s="705"/>
      <c r="B165" s="705"/>
      <c r="C165" s="705"/>
      <c r="D165" s="705"/>
      <c r="E165" s="705"/>
      <c r="F165" s="57"/>
      <c r="G165" s="57"/>
      <c r="H165" s="131"/>
      <c r="N165" s="53"/>
      <c r="P165" s="53"/>
      <c r="Q165" s="57"/>
      <c r="R165" s="57"/>
      <c r="S165" s="53"/>
      <c r="T165" s="53"/>
      <c r="U165" s="53"/>
      <c r="V165" s="53"/>
      <c r="W165" s="57"/>
      <c r="X165" s="53"/>
      <c r="Y165" s="53"/>
      <c r="Z165" s="706"/>
      <c r="AA165" s="53"/>
      <c r="AB165" s="53"/>
      <c r="AC165" s="53"/>
      <c r="AD165" s="53"/>
      <c r="AE165" s="53"/>
      <c r="AF165" s="56"/>
      <c r="AG165" s="54"/>
      <c r="AH165" s="54"/>
      <c r="AI165" s="54"/>
      <c r="AJ165" s="54"/>
      <c r="AK165" s="131">
        <v>11</v>
      </c>
    </row>
    <row r="166" s="131" customFormat="1" ht="11.5" customHeight="1">
      <c r="A166" s="705"/>
      <c r="B166" s="705"/>
      <c r="C166" s="705"/>
      <c r="D166" s="705"/>
      <c r="E166" s="705"/>
      <c r="F166" s="57"/>
      <c r="G166" s="57"/>
      <c r="H166" s="131"/>
      <c r="N166" s="53"/>
      <c r="P166" s="53"/>
      <c r="Q166" s="57"/>
      <c r="R166" s="57"/>
      <c r="S166" s="53"/>
      <c r="T166" s="53"/>
      <c r="U166" s="53"/>
      <c r="V166" s="53"/>
      <c r="W166" s="57"/>
      <c r="X166" s="53"/>
      <c r="Y166" s="53"/>
      <c r="Z166" s="706"/>
      <c r="AA166" s="53"/>
      <c r="AB166" s="53"/>
      <c r="AC166" s="53"/>
      <c r="AD166" s="53"/>
      <c r="AE166" s="53"/>
      <c r="AF166" s="56"/>
      <c r="AG166" s="54"/>
      <c r="AH166" s="54"/>
      <c r="AI166" s="54"/>
      <c r="AJ166" s="54"/>
      <c r="AK166" s="131">
        <v>11</v>
      </c>
    </row>
    <row r="167" s="131" customFormat="1" ht="11.5" customHeight="1">
      <c r="A167" s="705"/>
      <c r="B167" s="705"/>
      <c r="C167" s="705"/>
      <c r="D167" s="705"/>
      <c r="E167" s="705"/>
      <c r="F167" s="57"/>
      <c r="G167" s="57"/>
      <c r="H167" s="131"/>
      <c r="N167" s="53"/>
      <c r="P167" s="53"/>
      <c r="Q167" s="57"/>
      <c r="R167" s="57"/>
      <c r="S167" s="53"/>
      <c r="T167" s="53"/>
      <c r="U167" s="53"/>
      <c r="V167" s="53"/>
      <c r="W167" s="57"/>
      <c r="X167" s="53"/>
      <c r="Y167" s="53"/>
      <c r="Z167" s="706"/>
      <c r="AA167" s="53"/>
      <c r="AB167" s="53"/>
      <c r="AC167" s="53"/>
      <c r="AD167" s="53"/>
      <c r="AE167" s="53"/>
      <c r="AF167" s="56"/>
      <c r="AG167" s="54"/>
      <c r="AH167" s="54"/>
      <c r="AI167" s="54"/>
      <c r="AJ167" s="54"/>
      <c r="AK167" s="131">
        <v>11</v>
      </c>
    </row>
    <row r="168" s="131" customFormat="1" ht="11.5" customHeight="1">
      <c r="A168" s="705"/>
      <c r="B168" s="705"/>
      <c r="C168" s="705"/>
      <c r="D168" s="705"/>
      <c r="E168" s="705"/>
      <c r="F168" s="57"/>
      <c r="G168" s="57"/>
      <c r="H168" s="131"/>
      <c r="N168" s="53"/>
      <c r="P168" s="53"/>
      <c r="Q168" s="57"/>
      <c r="R168" s="57"/>
      <c r="S168" s="53"/>
      <c r="T168" s="53"/>
      <c r="U168" s="53"/>
      <c r="V168" s="53"/>
      <c r="W168" s="57"/>
      <c r="X168" s="53"/>
      <c r="Y168" s="53"/>
      <c r="Z168" s="706"/>
      <c r="AA168" s="53"/>
      <c r="AB168" s="53"/>
      <c r="AC168" s="53"/>
      <c r="AD168" s="53"/>
      <c r="AE168" s="53"/>
      <c r="AF168" s="56"/>
      <c r="AG168" s="54"/>
      <c r="AH168" s="54"/>
      <c r="AI168" s="54"/>
      <c r="AJ168" s="54"/>
      <c r="AK168" s="131">
        <v>11</v>
      </c>
    </row>
    <row r="169" s="131" customFormat="1" ht="11.5" customHeight="1">
      <c r="A169" s="705"/>
      <c r="B169" s="705"/>
      <c r="C169" s="705"/>
      <c r="D169" s="705"/>
      <c r="E169" s="705"/>
      <c r="F169" s="57"/>
      <c r="G169" s="57"/>
      <c r="H169" s="131"/>
      <c r="N169" s="53"/>
      <c r="P169" s="53"/>
      <c r="Q169" s="57"/>
      <c r="R169" s="57"/>
      <c r="S169" s="53"/>
      <c r="T169" s="53"/>
      <c r="U169" s="53"/>
      <c r="V169" s="53"/>
      <c r="W169" s="57"/>
      <c r="X169" s="53"/>
      <c r="Y169" s="53"/>
      <c r="Z169" s="706"/>
      <c r="AA169" s="53"/>
      <c r="AB169" s="53"/>
      <c r="AC169" s="53"/>
      <c r="AD169" s="53"/>
      <c r="AE169" s="53"/>
      <c r="AF169" s="56"/>
      <c r="AG169" s="54"/>
      <c r="AH169" s="54"/>
      <c r="AI169" s="54"/>
      <c r="AJ169" s="54"/>
      <c r="AK169" s="131">
        <v>11</v>
      </c>
    </row>
    <row r="170" s="131" customFormat="1" ht="11.5" customHeight="1">
      <c r="A170" s="705"/>
      <c r="B170" s="705"/>
      <c r="C170" s="705"/>
      <c r="D170" s="705"/>
      <c r="E170" s="705"/>
      <c r="F170" s="57"/>
      <c r="G170" s="57"/>
      <c r="H170" s="131"/>
      <c r="N170" s="53"/>
      <c r="P170" s="53"/>
      <c r="Q170" s="57"/>
      <c r="R170" s="57"/>
      <c r="S170" s="53"/>
      <c r="T170" s="53"/>
      <c r="U170" s="53"/>
      <c r="V170" s="53"/>
      <c r="W170" s="57"/>
      <c r="X170" s="53"/>
      <c r="Y170" s="53"/>
      <c r="Z170" s="706"/>
      <c r="AA170" s="53"/>
      <c r="AB170" s="53"/>
      <c r="AC170" s="53"/>
      <c r="AD170" s="53"/>
      <c r="AE170" s="53"/>
      <c r="AF170" s="56"/>
      <c r="AG170" s="54"/>
      <c r="AH170" s="54"/>
      <c r="AI170" s="54"/>
      <c r="AJ170" s="54"/>
      <c r="AK170" s="131">
        <v>11</v>
      </c>
    </row>
    <row r="171" s="131" customFormat="1" ht="11.5" customHeight="1">
      <c r="A171" s="705"/>
      <c r="B171" s="705"/>
      <c r="C171" s="705"/>
      <c r="D171" s="705"/>
      <c r="E171" s="705"/>
      <c r="F171" s="57"/>
      <c r="G171" s="57"/>
      <c r="H171" s="131"/>
      <c r="N171" s="53"/>
      <c r="P171" s="53"/>
      <c r="Q171" s="57"/>
      <c r="R171" s="57"/>
      <c r="S171" s="53"/>
      <c r="T171" s="53"/>
      <c r="U171" s="53"/>
      <c r="V171" s="53"/>
      <c r="W171" s="57"/>
      <c r="X171" s="53"/>
      <c r="Y171" s="53"/>
      <c r="Z171" s="706"/>
      <c r="AA171" s="53"/>
      <c r="AB171" s="53"/>
      <c r="AC171" s="53"/>
      <c r="AD171" s="53"/>
      <c r="AE171" s="53"/>
      <c r="AF171" s="56"/>
      <c r="AG171" s="54"/>
      <c r="AH171" s="54"/>
      <c r="AI171" s="54"/>
      <c r="AJ171" s="54"/>
      <c r="AK171" s="131">
        <v>11</v>
      </c>
    </row>
    <row r="172" s="131" customFormat="1" ht="11.5" customHeight="1">
      <c r="A172" s="705"/>
      <c r="B172" s="705"/>
      <c r="C172" s="705"/>
      <c r="D172" s="705"/>
      <c r="E172" s="705"/>
      <c r="F172" s="57"/>
      <c r="G172" s="57"/>
      <c r="H172" s="131"/>
      <c r="N172" s="53"/>
      <c r="P172" s="53"/>
      <c r="Q172" s="57"/>
      <c r="R172" s="57"/>
      <c r="S172" s="53"/>
      <c r="T172" s="53"/>
      <c r="U172" s="53"/>
      <c r="V172" s="53"/>
      <c r="W172" s="57"/>
      <c r="X172" s="53"/>
      <c r="Y172" s="53"/>
      <c r="Z172" s="706"/>
      <c r="AA172" s="53"/>
      <c r="AB172" s="53"/>
      <c r="AC172" s="53"/>
      <c r="AD172" s="53"/>
      <c r="AE172" s="53"/>
      <c r="AF172" s="56"/>
      <c r="AG172" s="54"/>
      <c r="AH172" s="54"/>
      <c r="AI172" s="54"/>
      <c r="AJ172" s="54"/>
      <c r="AK172" s="131">
        <v>11</v>
      </c>
    </row>
    <row r="173" s="131" customFormat="1" ht="11.5" customHeight="1">
      <c r="A173" s="705"/>
      <c r="B173" s="705"/>
      <c r="C173" s="705"/>
      <c r="D173" s="705"/>
      <c r="E173" s="705"/>
      <c r="F173" s="57"/>
      <c r="G173" s="57"/>
      <c r="H173" s="131"/>
      <c r="N173" s="53"/>
      <c r="P173" s="53"/>
      <c r="Q173" s="57"/>
      <c r="R173" s="57"/>
      <c r="S173" s="53"/>
      <c r="T173" s="53"/>
      <c r="U173" s="53"/>
      <c r="V173" s="53"/>
      <c r="W173" s="57"/>
      <c r="X173" s="53"/>
      <c r="Y173" s="53"/>
      <c r="Z173" s="706"/>
      <c r="AA173" s="53"/>
      <c r="AB173" s="53"/>
      <c r="AC173" s="53"/>
      <c r="AD173" s="53"/>
      <c r="AE173" s="53"/>
      <c r="AF173" s="56"/>
      <c r="AG173" s="54"/>
      <c r="AH173" s="54"/>
      <c r="AI173" s="54"/>
      <c r="AJ173" s="54"/>
      <c r="AK173" s="131">
        <v>11</v>
      </c>
    </row>
    <row r="174" s="131" customFormat="1" ht="11.5" customHeight="1">
      <c r="A174" s="705"/>
      <c r="B174" s="705"/>
      <c r="C174" s="705"/>
      <c r="D174" s="705"/>
      <c r="E174" s="705"/>
      <c r="F174" s="57"/>
      <c r="G174" s="57"/>
      <c r="H174" s="131"/>
      <c r="N174" s="53"/>
      <c r="P174" s="53"/>
      <c r="Q174" s="57"/>
      <c r="R174" s="57"/>
      <c r="S174" s="53"/>
      <c r="T174" s="53"/>
      <c r="U174" s="53"/>
      <c r="V174" s="53"/>
      <c r="W174" s="57"/>
      <c r="X174" s="53"/>
      <c r="Y174" s="53"/>
      <c r="Z174" s="706"/>
      <c r="AA174" s="53"/>
      <c r="AB174" s="53"/>
      <c r="AC174" s="53"/>
      <c r="AD174" s="53"/>
      <c r="AE174" s="53"/>
      <c r="AF174" s="56"/>
      <c r="AG174" s="54"/>
      <c r="AH174" s="54"/>
      <c r="AI174" s="54"/>
      <c r="AJ174" s="54"/>
      <c r="AK174" s="131">
        <v>11</v>
      </c>
    </row>
    <row r="175" s="131" customFormat="1" ht="11.5" customHeight="1">
      <c r="A175" s="705"/>
      <c r="B175" s="705"/>
      <c r="C175" s="705"/>
      <c r="D175" s="705"/>
      <c r="E175" s="705"/>
      <c r="F175" s="57"/>
      <c r="G175" s="57"/>
      <c r="H175" s="131"/>
      <c r="N175" s="53"/>
      <c r="P175" s="53"/>
      <c r="Q175" s="57"/>
      <c r="R175" s="57"/>
      <c r="S175" s="53"/>
      <c r="T175" s="53"/>
      <c r="U175" s="53"/>
      <c r="V175" s="53"/>
      <c r="W175" s="57"/>
      <c r="X175" s="53"/>
      <c r="Y175" s="53"/>
      <c r="Z175" s="706"/>
      <c r="AA175" s="53"/>
      <c r="AB175" s="53"/>
      <c r="AC175" s="53"/>
      <c r="AD175" s="53"/>
      <c r="AE175" s="53"/>
      <c r="AF175" s="56"/>
      <c r="AG175" s="54"/>
      <c r="AH175" s="54"/>
      <c r="AI175" s="54"/>
      <c r="AJ175" s="54"/>
      <c r="AK175" s="131">
        <v>11</v>
      </c>
    </row>
    <row r="176" s="131" customFormat="1" ht="11.5" customHeight="1">
      <c r="A176" s="705"/>
      <c r="B176" s="705"/>
      <c r="C176" s="705"/>
      <c r="D176" s="705"/>
      <c r="E176" s="705"/>
      <c r="F176" s="57"/>
      <c r="G176" s="57"/>
      <c r="H176" s="131"/>
      <c r="N176" s="53"/>
      <c r="P176" s="53"/>
      <c r="Q176" s="57"/>
      <c r="R176" s="57"/>
      <c r="S176" s="53"/>
      <c r="T176" s="53"/>
      <c r="U176" s="53"/>
      <c r="V176" s="53"/>
      <c r="W176" s="57"/>
      <c r="X176" s="53"/>
      <c r="Y176" s="53"/>
      <c r="Z176" s="706"/>
      <c r="AA176" s="53"/>
      <c r="AB176" s="53"/>
      <c r="AC176" s="53"/>
      <c r="AD176" s="53"/>
      <c r="AE176" s="53"/>
      <c r="AF176" s="56"/>
      <c r="AG176" s="54"/>
      <c r="AH176" s="54"/>
      <c r="AI176" s="54"/>
      <c r="AJ176" s="54"/>
      <c r="AK176" s="131">
        <v>11</v>
      </c>
    </row>
    <row r="177" s="131" customFormat="1" ht="11.5" customHeight="1">
      <c r="A177" s="705"/>
      <c r="B177" s="705"/>
      <c r="C177" s="705"/>
      <c r="D177" s="705"/>
      <c r="E177" s="705"/>
      <c r="F177" s="57"/>
      <c r="G177" s="57"/>
      <c r="H177" s="131"/>
      <c r="N177" s="53"/>
      <c r="P177" s="53"/>
      <c r="Q177" s="57"/>
      <c r="R177" s="57"/>
      <c r="S177" s="53"/>
      <c r="T177" s="53"/>
      <c r="U177" s="53"/>
      <c r="V177" s="53"/>
      <c r="W177" s="57"/>
      <c r="X177" s="53"/>
      <c r="Y177" s="53"/>
      <c r="Z177" s="706"/>
      <c r="AA177" s="53"/>
      <c r="AB177" s="53"/>
      <c r="AC177" s="53"/>
      <c r="AD177" s="53"/>
      <c r="AE177" s="53"/>
      <c r="AF177" s="56"/>
      <c r="AG177" s="54"/>
      <c r="AH177" s="54"/>
      <c r="AI177" s="54"/>
      <c r="AJ177" s="54"/>
      <c r="AK177" s="131">
        <v>11</v>
      </c>
    </row>
    <row r="178" s="131" customFormat="1" ht="11.5" customHeight="1">
      <c r="A178" s="705"/>
      <c r="B178" s="705"/>
      <c r="C178" s="705"/>
      <c r="D178" s="705"/>
      <c r="E178" s="705"/>
      <c r="F178" s="57"/>
      <c r="G178" s="57"/>
      <c r="H178" s="131"/>
      <c r="N178" s="53"/>
      <c r="P178" s="53"/>
      <c r="Q178" s="57"/>
      <c r="R178" s="57"/>
      <c r="S178" s="53"/>
      <c r="T178" s="53"/>
      <c r="U178" s="53"/>
      <c r="V178" s="53"/>
      <c r="W178" s="57"/>
      <c r="X178" s="53"/>
      <c r="Y178" s="53"/>
      <c r="Z178" s="706"/>
      <c r="AA178" s="53"/>
      <c r="AB178" s="53"/>
      <c r="AC178" s="53"/>
      <c r="AD178" s="53"/>
      <c r="AE178" s="53"/>
      <c r="AF178" s="56"/>
      <c r="AG178" s="54"/>
      <c r="AH178" s="54"/>
      <c r="AI178" s="54"/>
      <c r="AJ178" s="54"/>
      <c r="AK178" s="131">
        <v>11</v>
      </c>
    </row>
    <row r="179" s="131" customFormat="1" ht="11.5" customHeight="1">
      <c r="A179" s="705"/>
      <c r="B179" s="705"/>
      <c r="C179" s="705"/>
      <c r="D179" s="705"/>
      <c r="E179" s="705"/>
      <c r="F179" s="57"/>
      <c r="G179" s="57"/>
      <c r="H179" s="131"/>
      <c r="N179" s="53"/>
      <c r="P179" s="53"/>
      <c r="Q179" s="57"/>
      <c r="R179" s="57"/>
      <c r="S179" s="53"/>
      <c r="T179" s="53"/>
      <c r="U179" s="53"/>
      <c r="V179" s="53"/>
      <c r="W179" s="57"/>
      <c r="X179" s="53"/>
      <c r="Y179" s="53"/>
      <c r="Z179" s="706"/>
      <c r="AA179" s="53"/>
      <c r="AB179" s="53"/>
      <c r="AC179" s="53"/>
      <c r="AD179" s="53"/>
      <c r="AE179" s="53"/>
      <c r="AF179" s="56"/>
      <c r="AG179" s="54"/>
      <c r="AH179" s="54"/>
      <c r="AI179" s="54"/>
      <c r="AJ179" s="54"/>
      <c r="AK179" s="131">
        <v>11</v>
      </c>
    </row>
    <row r="180" s="131" customFormat="1" ht="11.5" customHeight="1">
      <c r="A180" s="705"/>
      <c r="B180" s="705"/>
      <c r="C180" s="705"/>
      <c r="D180" s="705"/>
      <c r="E180" s="705"/>
      <c r="F180" s="57"/>
      <c r="G180" s="57"/>
      <c r="H180" s="131"/>
      <c r="N180" s="53"/>
      <c r="P180" s="53"/>
      <c r="Q180" s="57"/>
      <c r="R180" s="57"/>
      <c r="S180" s="53"/>
      <c r="T180" s="53"/>
      <c r="U180" s="53"/>
      <c r="V180" s="53"/>
      <c r="W180" s="57"/>
      <c r="X180" s="53"/>
      <c r="Y180" s="53"/>
      <c r="Z180" s="706"/>
      <c r="AA180" s="53"/>
      <c r="AB180" s="53"/>
      <c r="AC180" s="53"/>
      <c r="AD180" s="53"/>
      <c r="AE180" s="53"/>
      <c r="AF180" s="56"/>
      <c r="AG180" s="54"/>
      <c r="AH180" s="54"/>
      <c r="AI180" s="54"/>
      <c r="AJ180" s="54"/>
      <c r="AK180" s="131">
        <v>11</v>
      </c>
    </row>
    <row r="181" s="131" customFormat="1" ht="11.5" customHeight="1">
      <c r="A181" s="705"/>
      <c r="B181" s="705"/>
      <c r="C181" s="705"/>
      <c r="D181" s="705"/>
      <c r="E181" s="705"/>
      <c r="F181" s="57"/>
      <c r="G181" s="57"/>
      <c r="H181" s="131"/>
      <c r="N181" s="53"/>
      <c r="P181" s="53"/>
      <c r="Q181" s="57"/>
      <c r="R181" s="57"/>
      <c r="S181" s="53"/>
      <c r="T181" s="53"/>
      <c r="U181" s="53"/>
      <c r="V181" s="53"/>
      <c r="W181" s="57"/>
      <c r="X181" s="53"/>
      <c r="Y181" s="53"/>
      <c r="Z181" s="706"/>
      <c r="AA181" s="53"/>
      <c r="AB181" s="53"/>
      <c r="AC181" s="53"/>
      <c r="AD181" s="53"/>
      <c r="AE181" s="53"/>
      <c r="AF181" s="56"/>
      <c r="AG181" s="54"/>
      <c r="AH181" s="54"/>
      <c r="AI181" s="54"/>
      <c r="AJ181" s="54"/>
      <c r="AK181" s="131">
        <v>11</v>
      </c>
    </row>
    <row r="182" s="131" customFormat="1" ht="11.5" customHeight="1">
      <c r="A182" s="705"/>
      <c r="B182" s="705"/>
      <c r="C182" s="705"/>
      <c r="D182" s="705"/>
      <c r="E182" s="705"/>
      <c r="F182" s="57"/>
      <c r="G182" s="57"/>
      <c r="H182" s="131"/>
      <c r="N182" s="53"/>
      <c r="P182" s="53"/>
      <c r="Q182" s="57"/>
      <c r="R182" s="57"/>
      <c r="S182" s="53"/>
      <c r="T182" s="53"/>
      <c r="U182" s="53"/>
      <c r="V182" s="53"/>
      <c r="W182" s="57"/>
      <c r="X182" s="53"/>
      <c r="Y182" s="53"/>
      <c r="Z182" s="706"/>
      <c r="AA182" s="53"/>
      <c r="AB182" s="53"/>
      <c r="AC182" s="53"/>
      <c r="AD182" s="53"/>
      <c r="AE182" s="53"/>
      <c r="AF182" s="56"/>
      <c r="AG182" s="54"/>
      <c r="AH182" s="54"/>
      <c r="AI182" s="54"/>
      <c r="AJ182" s="54"/>
      <c r="AK182" s="131">
        <v>11</v>
      </c>
    </row>
    <row r="183" s="131" customFormat="1" ht="11.5" customHeight="1">
      <c r="A183" s="705"/>
      <c r="B183" s="705"/>
      <c r="C183" s="705"/>
      <c r="D183" s="705"/>
      <c r="E183" s="705"/>
      <c r="F183" s="57"/>
      <c r="G183" s="57"/>
      <c r="H183" s="131"/>
      <c r="N183" s="53"/>
      <c r="P183" s="53"/>
      <c r="Q183" s="57"/>
      <c r="R183" s="57"/>
      <c r="S183" s="53"/>
      <c r="T183" s="53"/>
      <c r="U183" s="53"/>
      <c r="V183" s="53"/>
      <c r="W183" s="57"/>
      <c r="X183" s="53"/>
      <c r="Y183" s="53"/>
      <c r="Z183" s="706"/>
      <c r="AA183" s="53"/>
      <c r="AB183" s="53"/>
      <c r="AC183" s="53"/>
      <c r="AD183" s="53"/>
      <c r="AE183" s="53"/>
      <c r="AF183" s="56"/>
      <c r="AG183" s="54"/>
      <c r="AH183" s="54"/>
      <c r="AI183" s="54"/>
      <c r="AJ183" s="54"/>
      <c r="AK183" s="131">
        <v>11</v>
      </c>
    </row>
    <row r="184" s="131" customFormat="1" ht="11.5" customHeight="1">
      <c r="A184" s="705"/>
      <c r="B184" s="705"/>
      <c r="C184" s="705"/>
      <c r="D184" s="705"/>
      <c r="E184" s="705"/>
      <c r="F184" s="57"/>
      <c r="G184" s="57"/>
      <c r="H184" s="131"/>
      <c r="N184" s="53"/>
      <c r="P184" s="53"/>
      <c r="Q184" s="57"/>
      <c r="R184" s="57"/>
      <c r="S184" s="53"/>
      <c r="T184" s="53"/>
      <c r="U184" s="53"/>
      <c r="V184" s="53"/>
      <c r="W184" s="57"/>
      <c r="X184" s="53"/>
      <c r="Y184" s="53"/>
      <c r="Z184" s="706"/>
      <c r="AA184" s="53"/>
      <c r="AB184" s="53"/>
      <c r="AC184" s="53"/>
      <c r="AD184" s="53"/>
      <c r="AE184" s="53"/>
      <c r="AF184" s="56"/>
      <c r="AG184" s="54"/>
      <c r="AH184" s="54"/>
      <c r="AI184" s="54"/>
      <c r="AJ184" s="54"/>
      <c r="AK184" s="131">
        <v>11</v>
      </c>
    </row>
    <row r="185" s="131" customFormat="1" ht="11.5" customHeight="1">
      <c r="A185" s="705"/>
      <c r="B185" s="705"/>
      <c r="C185" s="705"/>
      <c r="D185" s="705"/>
      <c r="E185" s="705"/>
      <c r="F185" s="57"/>
      <c r="G185" s="57"/>
      <c r="H185" s="131"/>
      <c r="N185" s="53"/>
      <c r="P185" s="53"/>
      <c r="Q185" s="57"/>
      <c r="R185" s="57"/>
      <c r="S185" s="53"/>
      <c r="T185" s="53"/>
      <c r="U185" s="53"/>
      <c r="V185" s="53"/>
      <c r="W185" s="57"/>
      <c r="X185" s="53"/>
      <c r="Y185" s="53"/>
      <c r="Z185" s="706"/>
      <c r="AA185" s="53"/>
      <c r="AB185" s="53"/>
      <c r="AC185" s="53"/>
      <c r="AD185" s="53"/>
      <c r="AE185" s="53"/>
      <c r="AF185" s="56"/>
      <c r="AG185" s="54"/>
      <c r="AH185" s="54"/>
      <c r="AI185" s="54"/>
      <c r="AJ185" s="54"/>
      <c r="AK185" s="131">
        <v>11</v>
      </c>
    </row>
    <row r="186" s="131" customFormat="1" ht="11.5" customHeight="1">
      <c r="A186" s="705"/>
      <c r="B186" s="705"/>
      <c r="C186" s="705"/>
      <c r="D186" s="705"/>
      <c r="E186" s="705"/>
      <c r="F186" s="57"/>
      <c r="G186" s="57"/>
      <c r="H186" s="131"/>
      <c r="N186" s="53"/>
      <c r="P186" s="53"/>
      <c r="Q186" s="57"/>
      <c r="R186" s="57"/>
      <c r="S186" s="53"/>
      <c r="T186" s="53"/>
      <c r="U186" s="53"/>
      <c r="V186" s="53"/>
      <c r="W186" s="57"/>
      <c r="X186" s="53"/>
      <c r="Y186" s="53"/>
      <c r="Z186" s="706"/>
      <c r="AA186" s="53"/>
      <c r="AB186" s="53"/>
      <c r="AC186" s="53"/>
      <c r="AD186" s="53"/>
      <c r="AE186" s="53"/>
      <c r="AF186" s="56"/>
      <c r="AG186" s="54"/>
      <c r="AH186" s="54"/>
      <c r="AI186" s="54"/>
      <c r="AJ186" s="54"/>
      <c r="AK186" s="131">
        <v>11</v>
      </c>
    </row>
    <row r="187" s="131" customFormat="1" ht="11.5" customHeight="1">
      <c r="A187" s="705"/>
      <c r="B187" s="705"/>
      <c r="C187" s="705"/>
      <c r="D187" s="705"/>
      <c r="E187" s="705"/>
      <c r="F187" s="57"/>
      <c r="G187" s="57"/>
      <c r="H187" s="131"/>
      <c r="N187" s="53"/>
      <c r="P187" s="53"/>
      <c r="Q187" s="57"/>
      <c r="R187" s="57"/>
      <c r="S187" s="53"/>
      <c r="T187" s="53"/>
      <c r="U187" s="53"/>
      <c r="V187" s="53"/>
      <c r="W187" s="57"/>
      <c r="X187" s="53"/>
      <c r="Y187" s="53"/>
      <c r="Z187" s="706"/>
      <c r="AA187" s="53"/>
      <c r="AB187" s="53"/>
      <c r="AC187" s="53"/>
      <c r="AD187" s="53"/>
      <c r="AE187" s="53"/>
      <c r="AF187" s="56"/>
      <c r="AG187" s="54"/>
      <c r="AH187" s="54"/>
      <c r="AI187" s="54"/>
      <c r="AJ187" s="54"/>
      <c r="AK187" s="131">
        <v>11</v>
      </c>
    </row>
    <row r="188" s="131" customFormat="1" ht="11.5" customHeight="1">
      <c r="A188" s="705"/>
      <c r="B188" s="705"/>
      <c r="C188" s="705"/>
      <c r="D188" s="705"/>
      <c r="E188" s="705"/>
      <c r="F188" s="57"/>
      <c r="G188" s="57"/>
      <c r="H188" s="131"/>
      <c r="N188" s="53"/>
      <c r="P188" s="53"/>
      <c r="Q188" s="57"/>
      <c r="R188" s="57"/>
      <c r="S188" s="53"/>
      <c r="T188" s="53"/>
      <c r="U188" s="53"/>
      <c r="V188" s="53"/>
      <c r="W188" s="57"/>
      <c r="X188" s="53"/>
      <c r="Y188" s="53"/>
      <c r="Z188" s="706"/>
      <c r="AA188" s="53"/>
      <c r="AB188" s="53"/>
      <c r="AC188" s="53"/>
      <c r="AD188" s="53"/>
      <c r="AE188" s="53"/>
      <c r="AF188" s="56"/>
      <c r="AG188" s="54"/>
      <c r="AH188" s="54"/>
      <c r="AI188" s="54"/>
      <c r="AJ188" s="54"/>
      <c r="AK188" s="131">
        <v>11</v>
      </c>
    </row>
    <row r="189" s="131" customFormat="1" ht="11.5" customHeight="1">
      <c r="A189" s="705"/>
      <c r="B189" s="705"/>
      <c r="C189" s="705"/>
      <c r="D189" s="705"/>
      <c r="E189" s="705"/>
      <c r="F189" s="57"/>
      <c r="G189" s="57"/>
      <c r="H189" s="131"/>
      <c r="N189" s="53"/>
      <c r="P189" s="53"/>
      <c r="Q189" s="57"/>
      <c r="R189" s="57"/>
      <c r="S189" s="53"/>
      <c r="T189" s="53"/>
      <c r="U189" s="53"/>
      <c r="V189" s="53"/>
      <c r="W189" s="57"/>
      <c r="X189" s="53"/>
      <c r="Y189" s="53"/>
      <c r="Z189" s="706"/>
      <c r="AA189" s="53"/>
      <c r="AB189" s="53"/>
      <c r="AC189" s="53"/>
      <c r="AD189" s="53"/>
      <c r="AE189" s="53"/>
      <c r="AF189" s="56"/>
      <c r="AG189" s="54"/>
      <c r="AH189" s="54"/>
      <c r="AI189" s="54"/>
      <c r="AJ189" s="54"/>
      <c r="AK189" s="131">
        <v>11</v>
      </c>
    </row>
    <row r="190" ht="11.5" customHeight="1">
      <c r="AK190" s="50">
        <v>11</v>
      </c>
    </row>
    <row r="191" ht="11.5" customHeight="1">
      <c r="AK191" s="50">
        <v>11</v>
      </c>
    </row>
    <row r="192" ht="11.5" customHeight="1">
      <c r="AK192" s="50">
        <v>11</v>
      </c>
    </row>
    <row r="193" ht="11.5" customHeight="1">
      <c r="A193" s="773"/>
      <c r="B193" s="773"/>
      <c r="C193" s="773"/>
      <c r="D193" s="773"/>
      <c r="E193" s="773"/>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73"/>
      <c r="B194" s="773"/>
      <c r="C194" s="773"/>
      <c r="D194" s="773"/>
      <c r="E194" s="773"/>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73"/>
      <c r="B195" s="773"/>
      <c r="C195" s="773"/>
      <c r="D195" s="773"/>
      <c r="E195" s="773"/>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73"/>
      <c r="B196" s="773"/>
      <c r="C196" s="773"/>
      <c r="D196" s="773"/>
      <c r="E196" s="773"/>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73"/>
      <c r="B197" s="773"/>
      <c r="C197" s="773"/>
      <c r="D197" s="773"/>
      <c r="E197" s="773"/>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73"/>
      <c r="B198" s="773"/>
      <c r="C198" s="773"/>
      <c r="D198" s="773"/>
      <c r="E198" s="773"/>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73"/>
      <c r="B199" s="773"/>
      <c r="C199" s="773"/>
      <c r="D199" s="773"/>
      <c r="E199" s="773"/>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73"/>
      <c r="B200" s="773"/>
      <c r="C200" s="773"/>
      <c r="D200" s="773"/>
      <c r="E200" s="773"/>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73"/>
      <c r="B201" s="773"/>
      <c r="C201" s="773"/>
      <c r="D201" s="773"/>
      <c r="E201" s="773"/>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73"/>
      <c r="B202" s="773"/>
      <c r="C202" s="773"/>
      <c r="D202" s="773"/>
      <c r="E202" s="773"/>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73"/>
      <c r="B203" s="773"/>
      <c r="C203" s="773"/>
      <c r="D203" s="773"/>
      <c r="E203" s="773"/>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05" t="s">
        <v>82</v>
      </c>
      <c r="B204" s="705" t="s">
        <v>146</v>
      </c>
      <c r="C204" s="705" t="s">
        <v>146</v>
      </c>
      <c r="D204" s="705" t="s">
        <v>146</v>
      </c>
      <c r="E204" s="705" t="s">
        <v>146</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06">
        <v>8</v>
      </c>
      <c r="AA204" s="53">
        <v>8</v>
      </c>
      <c r="AB204" s="53">
        <v>8</v>
      </c>
      <c r="AC204" s="53">
        <v>8</v>
      </c>
      <c r="AD204" s="53">
        <v>8</v>
      </c>
      <c r="AE204" s="53">
        <v>8</v>
      </c>
      <c r="AF204" s="56">
        <v>8</v>
      </c>
      <c r="AG204" s="56">
        <v>8</v>
      </c>
      <c r="AH204" s="56">
        <v>8</v>
      </c>
      <c r="AI204" s="56">
        <v>8</v>
      </c>
      <c r="AJ204" s="56">
        <v>8</v>
      </c>
      <c r="AK204" s="50">
        <v>11</v>
      </c>
    </row>
  </sheetData>
  <sheetProtection autoFilter="0" deleteColumns="1" deleteRows="1" formatCells="1" formatColumns="1" formatRows="1" insertColumns="1" insertHyperlinks="1" insertRows="1" objects="0" pivotTables="1" scenarios="0" selectLockedCells="0" selectUnlockedCells="0" sheet="1" sort="1"/>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700D2-00B6-4E05-B5B5-003400C9000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E30062-0083-46F1-8C6A-00EE009D0001}"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45005D-00DA-4446-ADE7-00B80037009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FD00A9-0092-4BF3-85E2-00A50004000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78"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9" width="10.00390625"/>
    <col customWidth="1" min="17" max="22" style="50" width="10.00390625"/>
    <col hidden="1" min="23" max="23" style="50" width="10.57421875"/>
  </cols>
  <sheetData>
    <row r="1" ht="22.5" hidden="1" customHeight="1">
      <c r="S1" s="820"/>
      <c r="T1" s="820"/>
      <c r="V1" s="820"/>
      <c r="W1" s="50" t="s">
        <v>14</v>
      </c>
    </row>
    <row r="2" ht="22.5" hidden="1" customHeight="1">
      <c r="B2" s="801" t="s">
        <v>682</v>
      </c>
      <c r="C2" s="801" t="s">
        <v>683</v>
      </c>
      <c r="D2" s="802" t="s">
        <v>622</v>
      </c>
      <c r="E2" s="803">
        <f>I2-3</f>
        <v>-3</v>
      </c>
      <c r="F2" s="803">
        <f>J2</f>
        <v>0</v>
      </c>
      <c r="H2" s="821" t="s">
        <v>684</v>
      </c>
      <c r="I2" s="344"/>
      <c r="J2" s="382"/>
      <c r="K2" s="145" t="s">
        <v>301</v>
      </c>
      <c r="L2" s="470"/>
      <c r="M2" s="822"/>
      <c r="N2" s="129"/>
      <c r="P2" s="50"/>
      <c r="W2" s="50">
        <v>0</v>
      </c>
    </row>
    <row r="3" ht="14.25" hidden="1" customHeight="1">
      <c r="W3" s="50">
        <v>0</v>
      </c>
    </row>
    <row r="4" ht="6.2999999999999998" customHeight="1">
      <c r="H4" s="539"/>
      <c r="I4" s="91"/>
      <c r="J4" s="91"/>
      <c r="K4" s="91"/>
      <c r="L4" s="823"/>
      <c r="M4" s="823"/>
      <c r="W4" s="50">
        <v>6</v>
      </c>
    </row>
    <row r="5" ht="50.25" customHeight="1">
      <c r="H5" s="539"/>
      <c r="I5" s="452" t="s">
        <v>685</v>
      </c>
      <c r="J5" s="452"/>
      <c r="K5" s="452"/>
      <c r="L5" s="452"/>
      <c r="M5" s="239"/>
      <c r="W5" s="50">
        <v>48</v>
      </c>
    </row>
    <row r="6" ht="18" customHeight="1">
      <c r="H6" s="539"/>
      <c r="I6" s="303" t="str">
        <f>IF(org=0,"Не определено",org)</f>
        <v xml:space="preserve">АО "ДГК" СП "Биробиджанская ТЭЦ"</v>
      </c>
      <c r="J6" s="303"/>
      <c r="K6" s="303"/>
      <c r="L6" s="303"/>
      <c r="M6" s="239"/>
      <c r="W6" s="50">
        <v>17</v>
      </c>
    </row>
    <row r="7" ht="14.65" customHeight="1">
      <c r="H7" s="539"/>
      <c r="I7" s="91"/>
      <c r="J7" s="83"/>
      <c r="K7" s="83"/>
      <c r="L7" s="341"/>
      <c r="M7" s="824"/>
      <c r="W7" s="50">
        <v>14</v>
      </c>
    </row>
    <row r="8" ht="14.65" customHeight="1">
      <c r="H8" s="539"/>
      <c r="I8" s="825" t="s">
        <v>295</v>
      </c>
      <c r="J8" s="826"/>
      <c r="K8" s="826"/>
      <c r="L8" s="827"/>
      <c r="M8" s="828" t="s">
        <v>296</v>
      </c>
      <c r="W8" s="50">
        <v>14</v>
      </c>
    </row>
    <row r="9" ht="35.649999999999999" customHeight="1">
      <c r="E9" s="804" t="s">
        <v>613</v>
      </c>
      <c r="F9" s="804" t="s">
        <v>619</v>
      </c>
      <c r="H9" s="539"/>
      <c r="I9" s="347" t="s">
        <v>88</v>
      </c>
      <c r="J9" s="246" t="s">
        <v>297</v>
      </c>
      <c r="K9" s="415" t="s">
        <v>561</v>
      </c>
      <c r="L9" s="246" t="s">
        <v>298</v>
      </c>
      <c r="M9" s="828"/>
      <c r="W9" s="50">
        <v>34</v>
      </c>
    </row>
    <row r="10" ht="35.649999999999999" customHeight="1">
      <c r="B10" s="801" t="s">
        <v>686</v>
      </c>
      <c r="C10" s="801" t="s">
        <v>687</v>
      </c>
      <c r="D10" s="802" t="s">
        <v>622</v>
      </c>
      <c r="E10" s="803" t="s">
        <v>623</v>
      </c>
      <c r="F10" s="803" t="s">
        <v>623</v>
      </c>
      <c r="H10" s="539"/>
      <c r="I10" s="344" t="s">
        <v>106</v>
      </c>
      <c r="J10" s="829" t="s">
        <v>688</v>
      </c>
      <c r="K10" s="145" t="s">
        <v>301</v>
      </c>
      <c r="L10" s="758"/>
      <c r="M10" s="822" t="s">
        <v>689</v>
      </c>
      <c r="W10" s="50">
        <v>34</v>
      </c>
    </row>
    <row r="11" ht="50.25" customHeight="1">
      <c r="B11" s="801" t="s">
        <v>690</v>
      </c>
      <c r="C11" s="801" t="s">
        <v>691</v>
      </c>
      <c r="D11" s="802" t="s">
        <v>622</v>
      </c>
      <c r="E11" s="803" t="s">
        <v>623</v>
      </c>
      <c r="F11" s="803" t="s">
        <v>623</v>
      </c>
      <c r="H11" s="539"/>
      <c r="I11" s="344" t="s">
        <v>107</v>
      </c>
      <c r="J11" s="829" t="s">
        <v>692</v>
      </c>
      <c r="K11" s="145" t="s">
        <v>301</v>
      </c>
      <c r="L11" s="758"/>
      <c r="M11" s="822" t="s">
        <v>689</v>
      </c>
      <c r="W11" s="50">
        <v>48</v>
      </c>
    </row>
    <row r="12" ht="48.25" customHeight="1">
      <c r="B12" s="801" t="s">
        <v>693</v>
      </c>
      <c r="C12" s="801" t="s">
        <v>694</v>
      </c>
      <c r="D12" s="802" t="s">
        <v>622</v>
      </c>
      <c r="E12" s="803" t="s">
        <v>623</v>
      </c>
      <c r="F12" s="803" t="s">
        <v>623</v>
      </c>
      <c r="H12" s="381"/>
      <c r="I12" s="344" t="s">
        <v>90</v>
      </c>
      <c r="J12" s="830" t="s">
        <v>695</v>
      </c>
      <c r="K12" s="145" t="s">
        <v>301</v>
      </c>
      <c r="L12" s="758"/>
      <c r="M12" s="822" t="s">
        <v>696</v>
      </c>
      <c r="N12" s="129"/>
      <c r="P12" s="50"/>
      <c r="W12" s="50">
        <v>46</v>
      </c>
    </row>
    <row r="13" ht="14.65" customHeight="1">
      <c r="E13" s="143"/>
      <c r="H13" s="539"/>
      <c r="I13" s="831"/>
      <c r="J13" s="177" t="s">
        <v>697</v>
      </c>
      <c r="K13" s="235"/>
      <c r="L13" s="832"/>
      <c r="M13" s="822"/>
      <c r="W13" s="50">
        <v>14</v>
      </c>
    </row>
    <row r="14" ht="14.65" customHeight="1">
      <c r="E14" s="143"/>
      <c r="H14" s="539"/>
      <c r="I14" s="775"/>
      <c r="J14" s="833"/>
      <c r="K14" s="834"/>
      <c r="L14" s="835"/>
      <c r="M14" s="574"/>
      <c r="W14" s="50">
        <v>14</v>
      </c>
    </row>
    <row r="15" ht="14.65" customHeight="1">
      <c r="I15" s="476"/>
      <c r="J15" s="574"/>
      <c r="K15" s="574"/>
      <c r="L15" s="574"/>
      <c r="M15" s="574"/>
      <c r="W15" s="50">
        <v>14</v>
      </c>
    </row>
    <row r="16" ht="21" hidden="1" customHeight="1">
      <c r="A16" s="60" t="s">
        <v>82</v>
      </c>
      <c r="B16" s="50">
        <v>9</v>
      </c>
      <c r="C16" s="50">
        <v>9</v>
      </c>
      <c r="D16" s="50">
        <v>9</v>
      </c>
      <c r="E16" s="60" t="s">
        <v>145</v>
      </c>
      <c r="F16" s="60" t="s">
        <v>145</v>
      </c>
      <c r="G16" s="60"/>
      <c r="H16" s="478">
        <v>3</v>
      </c>
      <c r="I16" s="50">
        <v>6</v>
      </c>
      <c r="J16" s="50">
        <v>63</v>
      </c>
      <c r="K16" s="50">
        <v>9</v>
      </c>
      <c r="L16" s="50">
        <v>39</v>
      </c>
      <c r="M16" s="50">
        <v>89</v>
      </c>
      <c r="N16" s="50">
        <v>10</v>
      </c>
      <c r="O16" s="129">
        <v>10</v>
      </c>
      <c r="P16" s="129">
        <v>10</v>
      </c>
      <c r="Q16" s="50">
        <v>10</v>
      </c>
      <c r="R16" s="50">
        <v>10</v>
      </c>
      <c r="S16" s="50">
        <v>10</v>
      </c>
      <c r="T16" s="50">
        <v>10</v>
      </c>
      <c r="U16" s="50">
        <v>10</v>
      </c>
      <c r="V16" s="50">
        <v>10</v>
      </c>
      <c r="W16" s="50">
        <v>23</v>
      </c>
    </row>
  </sheetData>
  <sheetProtection autoFilter="0" deleteColumns="1" deleteRows="1" formatCells="1" formatColumns="0" formatRows="0" insertColumns="1" insertHyperlinks="1" insertRows="1" objects="0" pivotTables="1" scenarios="0" selectLockedCells="0" selectUnlockedCells="0" sheet="1" sort="1"/>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50027-007E-4593-8AA7-00AB00DD005B}"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3300F0-0068-4899-BC62-00050016001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05"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6" width="8.00390625"/>
    <col customWidth="1" min="22" max="26" style="53" width="8.00390625"/>
    <col customWidth="1" min="27" max="31" style="56" width="8.00390625"/>
    <col customWidth="1" hidden="1" min="32" max="32" style="50" width="10.421875"/>
  </cols>
  <sheetData>
    <row r="1" s="53" customFormat="1" ht="22.5" hidden="1" customHeight="1">
      <c r="A1" s="705"/>
      <c r="C1" s="57"/>
      <c r="D1" s="53"/>
      <c r="H1" s="53">
        <v>4</v>
      </c>
      <c r="I1" s="53">
        <v>4</v>
      </c>
      <c r="L1" s="57"/>
      <c r="M1" s="57"/>
      <c r="R1" s="57"/>
      <c r="AF1" s="53" t="s">
        <v>14</v>
      </c>
    </row>
    <row r="2" s="53" customFormat="1" ht="22.5" hidden="1" customHeight="1">
      <c r="A2" s="705"/>
      <c r="C2" s="57"/>
      <c r="D2" s="715"/>
      <c r="E2" s="157"/>
      <c r="F2" s="159"/>
      <c r="G2" s="157" t="s">
        <v>547</v>
      </c>
      <c r="H2" s="507"/>
      <c r="I2" s="507"/>
      <c r="J2" s="716" t="s">
        <v>698</v>
      </c>
      <c r="K2" s="709"/>
      <c r="L2" s="57"/>
      <c r="M2" s="57"/>
      <c r="R2" s="57"/>
      <c r="U2" s="706"/>
      <c r="AA2" s="56"/>
      <c r="AB2" s="56"/>
      <c r="AC2" s="56"/>
      <c r="AD2" s="56"/>
      <c r="AE2" s="56"/>
      <c r="AF2" s="53">
        <v>0</v>
      </c>
    </row>
    <row r="3" ht="11.25" hidden="1" customHeight="1">
      <c r="AF3" s="50">
        <v>0</v>
      </c>
    </row>
    <row r="4" s="56" customFormat="1" ht="11.25" hidden="1" customHeight="1">
      <c r="A4" s="705"/>
      <c r="B4" s="53"/>
      <c r="C4" s="57"/>
      <c r="D4" s="56"/>
      <c r="J4" s="56">
        <v>4</v>
      </c>
      <c r="K4" s="53"/>
      <c r="L4" s="57"/>
      <c r="M4" s="57"/>
      <c r="N4" s="53"/>
      <c r="O4" s="53"/>
      <c r="P4" s="53"/>
      <c r="Q4" s="53"/>
      <c r="R4" s="57"/>
      <c r="S4" s="53"/>
      <c r="T4" s="53"/>
      <c r="U4" s="706"/>
      <c r="V4" s="53"/>
      <c r="W4" s="53"/>
      <c r="X4" s="53"/>
      <c r="Y4" s="53"/>
      <c r="Z4" s="53"/>
      <c r="AF4" s="56">
        <v>0</v>
      </c>
    </row>
    <row r="5" ht="11.5" customHeight="1">
      <c r="AF5" s="50">
        <v>11</v>
      </c>
    </row>
    <row r="6" ht="31.5" customHeight="1">
      <c r="E6" s="298" t="s">
        <v>699</v>
      </c>
      <c r="F6" s="298"/>
      <c r="G6" s="298"/>
      <c r="H6" s="298"/>
      <c r="I6" s="298"/>
      <c r="J6" s="240"/>
      <c r="AF6" s="50">
        <v>30</v>
      </c>
    </row>
    <row r="7" ht="11.5" customHeight="1">
      <c r="E7" s="303" t="str">
        <f>IF(org=0,"Не определено",org)</f>
        <v xml:space="preserve">АО "ДГК" СП "Биробиджанская ТЭЦ"</v>
      </c>
      <c r="F7" s="303"/>
      <c r="G7" s="303"/>
      <c r="H7" s="303"/>
      <c r="I7" s="303"/>
      <c r="AF7" s="50">
        <v>11</v>
      </c>
    </row>
    <row r="8" ht="11.5" customHeight="1">
      <c r="E8" s="719"/>
      <c r="F8" s="719"/>
      <c r="G8" s="719"/>
      <c r="H8" s="719"/>
      <c r="I8" s="719"/>
      <c r="AF8" s="50">
        <v>11</v>
      </c>
    </row>
    <row r="9" s="57" customFormat="1" ht="4.2000000000000002" customHeight="1">
      <c r="A9" s="531"/>
      <c r="D9" s="57"/>
      <c r="H9" s="720"/>
      <c r="I9" s="720" t="s">
        <v>114</v>
      </c>
      <c r="AF9" s="57">
        <v>4</v>
      </c>
    </row>
    <row r="10" ht="11.5" customHeight="1">
      <c r="E10" s="721"/>
      <c r="F10" s="722" t="s">
        <v>102</v>
      </c>
      <c r="G10" s="723"/>
      <c r="H10" s="724" t="str">
        <f>IF(H9="","",INDEX(DIFFERENTIATION_UNMERGE_VD,MATCH(H9,DIFFERENTIATION_ID_DIFF,0)))</f>
        <v/>
      </c>
      <c r="I10" s="724">
        <f>IF(I9="","",INDEX(DIFFERENTIATION_UNMERGE_VD,MATCH(I9,DIFFERENTIATION_ID_DIFF,0)))</f>
        <v>0</v>
      </c>
      <c r="J10" s="157"/>
      <c r="AF10" s="50">
        <v>11</v>
      </c>
    </row>
    <row r="11" ht="11.5" customHeight="1">
      <c r="E11" s="721"/>
      <c r="F11" s="722" t="s">
        <v>559</v>
      </c>
      <c r="G11" s="723"/>
      <c r="H11" s="724" t="str">
        <f>IF(H9="","",INDEX(DIFFERENTIATION_UNMERGE_AREA,MATCH(H9,DIFFERENTIATION_ID_DIFF,0)))</f>
        <v/>
      </c>
      <c r="I11" s="724" t="str">
        <f>IF(I9="","",INDEX(DIFFERENTIATION_UNMERGE_AREA,MATCH(I9,DIFFERENTIATION_ID_DIFF,0)))</f>
        <v/>
      </c>
      <c r="J11" s="157"/>
      <c r="AF11" s="50">
        <v>11</v>
      </c>
    </row>
    <row r="12" ht="1.05" customHeight="1">
      <c r="E12" s="806"/>
      <c r="F12" s="836" t="s">
        <v>560</v>
      </c>
      <c r="G12" s="837"/>
      <c r="H12" s="838" t="str">
        <f>IF(H9="","",INDEX(DIFFERENTIATION_UNMERGE_SYSTEM,MATCH(H9,DIFFERENTIATION_ID_DIFF,0)))</f>
        <v/>
      </c>
      <c r="I12" s="838" t="str">
        <f>IF(I9="","",INDEX(DIFFERENTIATION_UNMERGE_SYSTEM,MATCH(I9,DIFFERENTIATION_ID_DIFF,0)))</f>
        <v xml:space="preserve">без дифференциации</v>
      </c>
      <c r="J12" s="157"/>
      <c r="AF12" s="50">
        <v>1</v>
      </c>
    </row>
    <row r="13" ht="11.5" customHeight="1">
      <c r="E13" s="725" t="s">
        <v>295</v>
      </c>
      <c r="F13" s="726"/>
      <c r="G13" s="726"/>
      <c r="H13" s="722"/>
      <c r="I13" s="722"/>
      <c r="J13" s="157"/>
      <c r="AF13" s="50">
        <v>11</v>
      </c>
    </row>
    <row r="14" ht="24" customHeight="1">
      <c r="E14" s="157" t="s">
        <v>88</v>
      </c>
      <c r="F14" s="157" t="s">
        <v>297</v>
      </c>
      <c r="G14" s="157" t="s">
        <v>561</v>
      </c>
      <c r="H14" s="157" t="s">
        <v>298</v>
      </c>
      <c r="I14" s="157" t="s">
        <v>298</v>
      </c>
      <c r="J14" s="157"/>
      <c r="AF14" s="50">
        <v>23</v>
      </c>
    </row>
    <row r="15" ht="19.949999999999999" customHeight="1">
      <c r="D15" s="125"/>
      <c r="E15" s="809" t="s">
        <v>106</v>
      </c>
      <c r="F15" s="313" t="s">
        <v>700</v>
      </c>
      <c r="G15" s="157" t="s">
        <v>547</v>
      </c>
      <c r="H15" s="727"/>
      <c r="I15" s="727"/>
      <c r="J15" s="485" t="s">
        <v>701</v>
      </c>
      <c r="K15" s="709" t="s">
        <v>625</v>
      </c>
      <c r="AF15" s="50">
        <v>19</v>
      </c>
    </row>
    <row r="16" ht="35.649999999999999" customHeight="1">
      <c r="D16" s="125"/>
      <c r="E16" s="809" t="s">
        <v>107</v>
      </c>
      <c r="F16" s="313" t="s">
        <v>702</v>
      </c>
      <c r="G16" s="157" t="s">
        <v>547</v>
      </c>
      <c r="H16" s="728">
        <f>SUM(H17,H20:H32)</f>
        <v>0</v>
      </c>
      <c r="I16" s="728">
        <f>SUM(I17,I20,I23,I26,I29:I32)</f>
        <v>0</v>
      </c>
      <c r="J16" s="485" t="s">
        <v>703</v>
      </c>
      <c r="K16" s="709" t="s">
        <v>625</v>
      </c>
      <c r="AF16" s="50">
        <v>34</v>
      </c>
    </row>
    <row r="17" ht="19.949999999999999" customHeight="1">
      <c r="D17" s="125"/>
      <c r="E17" s="815" t="s">
        <v>704</v>
      </c>
      <c r="F17" s="673" t="s">
        <v>705</v>
      </c>
      <c r="G17" s="72" t="s">
        <v>547</v>
      </c>
      <c r="H17" s="727"/>
      <c r="I17" s="727"/>
      <c r="J17" s="485" t="s">
        <v>706</v>
      </c>
      <c r="K17" s="709"/>
      <c r="AF17" s="50">
        <v>19</v>
      </c>
    </row>
    <row r="18" ht="24" customHeight="1">
      <c r="D18" s="125"/>
      <c r="E18" s="815" t="s">
        <v>707</v>
      </c>
      <c r="F18" s="743" t="s">
        <v>708</v>
      </c>
      <c r="G18" s="72" t="s">
        <v>547</v>
      </c>
      <c r="H18" s="727"/>
      <c r="I18" s="727"/>
      <c r="J18" s="485" t="s">
        <v>709</v>
      </c>
      <c r="K18" s="709"/>
      <c r="AF18" s="50">
        <v>23</v>
      </c>
    </row>
    <row r="19" ht="35.649999999999999" customHeight="1">
      <c r="D19" s="125"/>
      <c r="E19" s="815" t="s">
        <v>710</v>
      </c>
      <c r="F19" s="743" t="s">
        <v>711</v>
      </c>
      <c r="G19" s="72" t="s">
        <v>547</v>
      </c>
      <c r="H19" s="727"/>
      <c r="I19" s="727"/>
      <c r="J19" s="485"/>
      <c r="K19" s="709"/>
      <c r="AF19" s="50">
        <v>34</v>
      </c>
    </row>
    <row r="20" ht="19.949999999999999" customHeight="1">
      <c r="D20" s="125"/>
      <c r="E20" s="815" t="s">
        <v>302</v>
      </c>
      <c r="F20" s="673" t="s">
        <v>712</v>
      </c>
      <c r="G20" s="72" t="s">
        <v>547</v>
      </c>
      <c r="H20" s="727"/>
      <c r="I20" s="727"/>
      <c r="J20" s="485" t="s">
        <v>713</v>
      </c>
      <c r="K20" s="709"/>
      <c r="AF20" s="50">
        <v>19</v>
      </c>
    </row>
    <row r="21" ht="19.949999999999999" customHeight="1">
      <c r="D21" s="125"/>
      <c r="E21" s="815" t="s">
        <v>714</v>
      </c>
      <c r="F21" s="743" t="s">
        <v>715</v>
      </c>
      <c r="G21" s="72" t="s">
        <v>547</v>
      </c>
      <c r="H21" s="727"/>
      <c r="I21" s="727"/>
      <c r="J21" s="485"/>
      <c r="K21" s="709"/>
      <c r="AF21" s="50">
        <v>19</v>
      </c>
    </row>
    <row r="22" ht="19.949999999999999" customHeight="1">
      <c r="D22" s="125"/>
      <c r="E22" s="815" t="s">
        <v>716</v>
      </c>
      <c r="F22" s="743" t="s">
        <v>717</v>
      </c>
      <c r="G22" s="72" t="s">
        <v>547</v>
      </c>
      <c r="H22" s="727"/>
      <c r="I22" s="727"/>
      <c r="J22" s="485"/>
      <c r="K22" s="709"/>
      <c r="AF22" s="50">
        <v>19</v>
      </c>
    </row>
    <row r="23" ht="24" customHeight="1">
      <c r="D23" s="125"/>
      <c r="E23" s="815" t="s">
        <v>305</v>
      </c>
      <c r="F23" s="673" t="s">
        <v>718</v>
      </c>
      <c r="G23" s="72" t="s">
        <v>547</v>
      </c>
      <c r="H23" s="727"/>
      <c r="I23" s="727"/>
      <c r="J23" s="485" t="s">
        <v>719</v>
      </c>
      <c r="K23" s="709"/>
      <c r="AF23" s="50">
        <v>23</v>
      </c>
    </row>
    <row r="24" ht="19.949999999999999" customHeight="1">
      <c r="D24" s="125"/>
      <c r="E24" s="815" t="s">
        <v>720</v>
      </c>
      <c r="F24" s="743" t="s">
        <v>721</v>
      </c>
      <c r="G24" s="72" t="s">
        <v>547</v>
      </c>
      <c r="H24" s="727"/>
      <c r="I24" s="727"/>
      <c r="J24" s="485"/>
      <c r="K24" s="709"/>
      <c r="AF24" s="50">
        <v>19</v>
      </c>
    </row>
    <row r="25" ht="35.649999999999999" customHeight="1">
      <c r="D25" s="125"/>
      <c r="E25" s="815" t="s">
        <v>722</v>
      </c>
      <c r="F25" s="743" t="s">
        <v>723</v>
      </c>
      <c r="G25" s="72" t="s">
        <v>547</v>
      </c>
      <c r="H25" s="727"/>
      <c r="I25" s="727"/>
      <c r="J25" s="485"/>
      <c r="K25" s="709"/>
      <c r="AF25" s="50">
        <v>34</v>
      </c>
    </row>
    <row r="26" ht="24" customHeight="1">
      <c r="D26" s="125"/>
      <c r="E26" s="815" t="s">
        <v>724</v>
      </c>
      <c r="F26" s="673" t="s">
        <v>725</v>
      </c>
      <c r="G26" s="72" t="s">
        <v>547</v>
      </c>
      <c r="H26" s="727"/>
      <c r="I26" s="727"/>
      <c r="J26" s="485" t="s">
        <v>726</v>
      </c>
      <c r="K26" s="709"/>
      <c r="AF26" s="50">
        <v>23</v>
      </c>
    </row>
    <row r="27" ht="19.949999999999999" customHeight="1">
      <c r="D27" s="125"/>
      <c r="E27" s="817" t="s">
        <v>727</v>
      </c>
      <c r="F27" s="743" t="s">
        <v>728</v>
      </c>
      <c r="G27" s="72" t="s">
        <v>547</v>
      </c>
      <c r="H27" s="813"/>
      <c r="I27" s="813"/>
      <c r="J27" s="485"/>
      <c r="K27" s="709"/>
      <c r="AF27" s="50">
        <v>19</v>
      </c>
    </row>
    <row r="28" ht="19.949999999999999" customHeight="1">
      <c r="D28" s="125"/>
      <c r="E28" s="817" t="s">
        <v>729</v>
      </c>
      <c r="F28" s="743" t="s">
        <v>730</v>
      </c>
      <c r="G28" s="72" t="s">
        <v>547</v>
      </c>
      <c r="H28" s="813"/>
      <c r="I28" s="813"/>
      <c r="J28" s="485"/>
      <c r="K28" s="709"/>
      <c r="AF28" s="50">
        <v>19</v>
      </c>
    </row>
    <row r="29" ht="19.949999999999999" customHeight="1">
      <c r="D29" s="125"/>
      <c r="E29" s="817" t="s">
        <v>731</v>
      </c>
      <c r="F29" s="673" t="s">
        <v>732</v>
      </c>
      <c r="G29" s="72" t="s">
        <v>547</v>
      </c>
      <c r="H29" s="813"/>
      <c r="I29" s="813"/>
      <c r="J29" s="485"/>
      <c r="K29" s="709"/>
      <c r="AF29" s="50">
        <v>19</v>
      </c>
    </row>
    <row r="30" ht="19.949999999999999" customHeight="1">
      <c r="D30" s="125"/>
      <c r="E30" s="817" t="s">
        <v>733</v>
      </c>
      <c r="F30" s="673" t="s">
        <v>734</v>
      </c>
      <c r="G30" s="72" t="s">
        <v>547</v>
      </c>
      <c r="H30" s="813"/>
      <c r="I30" s="813"/>
      <c r="J30" s="485"/>
      <c r="K30" s="709"/>
      <c r="AF30" s="50">
        <v>19</v>
      </c>
    </row>
    <row r="31" ht="19.949999999999999" customHeight="1">
      <c r="D31" s="125"/>
      <c r="E31" s="817" t="s">
        <v>735</v>
      </c>
      <c r="F31" s="673" t="s">
        <v>736</v>
      </c>
      <c r="G31" s="72" t="s">
        <v>547</v>
      </c>
      <c r="H31" s="813"/>
      <c r="I31" s="813"/>
      <c r="J31" s="485"/>
      <c r="K31" s="709"/>
      <c r="AF31" s="50">
        <v>19</v>
      </c>
    </row>
    <row r="32" s="53" customFormat="1" ht="35.649999999999999" customHeight="1">
      <c r="A32" s="705"/>
      <c r="C32" s="57"/>
      <c r="D32" s="125"/>
      <c r="E32" s="817" t="s">
        <v>737</v>
      </c>
      <c r="F32" s="673" t="s">
        <v>738</v>
      </c>
      <c r="G32" s="307" t="s">
        <v>547</v>
      </c>
      <c r="H32" s="750">
        <f>SUM(H33:H34)</f>
        <v>0</v>
      </c>
      <c r="I32" s="750">
        <f>SUM(I33:I34)</f>
        <v>0</v>
      </c>
      <c r="J32" s="485" t="s">
        <v>739</v>
      </c>
      <c r="K32" s="709"/>
      <c r="L32" s="57"/>
      <c r="M32" s="57"/>
      <c r="R32" s="57"/>
      <c r="U32" s="706"/>
      <c r="AA32" s="56"/>
      <c r="AB32" s="56"/>
      <c r="AC32" s="56"/>
      <c r="AD32" s="56"/>
      <c r="AE32" s="56"/>
      <c r="AF32" s="53">
        <v>34</v>
      </c>
    </row>
    <row r="33" s="57" customFormat="1" ht="1.05" customHeight="1">
      <c r="A33" s="531"/>
      <c r="D33" s="531"/>
      <c r="E33" s="158" t="str">
        <f>E32&amp;".0"</f>
        <v>2.8.0</v>
      </c>
      <c r="F33" s="751"/>
      <c r="G33" s="158"/>
      <c r="H33" s="752"/>
      <c r="I33" s="752"/>
      <c r="J33" s="753"/>
      <c r="AF33" s="57">
        <v>1</v>
      </c>
    </row>
    <row r="34" s="53" customFormat="1" ht="19.949999999999999" customHeight="1">
      <c r="A34" s="705"/>
      <c r="C34" s="57"/>
      <c r="D34" s="128"/>
      <c r="E34" s="740"/>
      <c r="F34" s="839" t="s">
        <v>572</v>
      </c>
      <c r="G34" s="741"/>
      <c r="H34" s="742"/>
      <c r="I34" s="742"/>
      <c r="J34" s="549" t="s">
        <v>740</v>
      </c>
      <c r="K34" s="709"/>
      <c r="L34" s="57"/>
      <c r="M34" s="57"/>
      <c r="R34" s="57"/>
      <c r="U34" s="706"/>
      <c r="AA34" s="56"/>
      <c r="AB34" s="56"/>
      <c r="AC34" s="56"/>
      <c r="AD34" s="56"/>
      <c r="AE34" s="56"/>
      <c r="AF34" s="53">
        <v>19</v>
      </c>
    </row>
    <row r="35" ht="60" customHeight="1">
      <c r="D35" s="125"/>
      <c r="E35" s="817" t="s">
        <v>741</v>
      </c>
      <c r="F35" s="673" t="s">
        <v>742</v>
      </c>
      <c r="G35" s="72" t="s">
        <v>547</v>
      </c>
      <c r="H35" s="813"/>
      <c r="I35" s="813"/>
      <c r="J35" s="485" t="s">
        <v>743</v>
      </c>
      <c r="K35" s="709"/>
      <c r="AF35" s="50">
        <v>57</v>
      </c>
    </row>
    <row r="36" s="53" customFormat="1" ht="24" customHeight="1">
      <c r="A36" s="745" t="s">
        <v>573</v>
      </c>
      <c r="C36" s="57"/>
      <c r="D36" s="125"/>
      <c r="E36" s="815" t="s">
        <v>90</v>
      </c>
      <c r="F36" s="313" t="s">
        <v>744</v>
      </c>
      <c r="G36" s="72" t="s">
        <v>547</v>
      </c>
      <c r="H36" s="727"/>
      <c r="I36" s="727"/>
      <c r="J36" s="485" t="s">
        <v>745</v>
      </c>
      <c r="K36" s="709"/>
      <c r="L36" s="57"/>
      <c r="M36" s="57"/>
      <c r="R36" s="57"/>
      <c r="U36" s="706"/>
      <c r="AA36" s="56"/>
      <c r="AB36" s="56"/>
      <c r="AC36" s="56"/>
      <c r="AD36" s="56"/>
      <c r="AE36" s="56"/>
      <c r="AF36" s="53">
        <v>23</v>
      </c>
    </row>
    <row r="37" s="53" customFormat="1" ht="35.649999999999999" customHeight="1">
      <c r="A37" s="745"/>
      <c r="C37" s="57"/>
      <c r="D37" s="125"/>
      <c r="E37" s="815" t="s">
        <v>319</v>
      </c>
      <c r="F37" s="673" t="s">
        <v>746</v>
      </c>
      <c r="G37" s="72"/>
      <c r="H37" s="727"/>
      <c r="I37" s="727"/>
      <c r="J37" s="485"/>
      <c r="K37" s="709"/>
      <c r="L37" s="57"/>
      <c r="M37" s="57"/>
      <c r="R37" s="57"/>
      <c r="U37" s="706"/>
      <c r="AA37" s="56"/>
      <c r="AB37" s="56"/>
      <c r="AC37" s="56"/>
      <c r="AD37" s="56"/>
      <c r="AE37" s="56"/>
      <c r="AF37" s="53">
        <v>34</v>
      </c>
    </row>
    <row r="38" s="53" customFormat="1" ht="19.949999999999999" customHeight="1">
      <c r="A38" s="705"/>
      <c r="C38" s="57"/>
      <c r="D38" s="746"/>
      <c r="E38" s="815" t="s">
        <v>91</v>
      </c>
      <c r="F38" s="313" t="s">
        <v>747</v>
      </c>
      <c r="G38" s="72" t="s">
        <v>547</v>
      </c>
      <c r="H38" s="727"/>
      <c r="I38" s="727"/>
      <c r="J38" s="485" t="s">
        <v>748</v>
      </c>
      <c r="K38" s="709"/>
      <c r="L38" s="57"/>
      <c r="M38" s="57"/>
      <c r="R38" s="57"/>
      <c r="U38" s="706"/>
      <c r="AA38" s="56"/>
      <c r="AB38" s="56"/>
      <c r="AC38" s="56"/>
      <c r="AD38" s="56"/>
      <c r="AE38" s="56"/>
      <c r="AF38" s="53">
        <v>19</v>
      </c>
    </row>
    <row r="39" s="53" customFormat="1" ht="24" customHeight="1">
      <c r="A39" s="705"/>
      <c r="C39" s="57"/>
      <c r="D39" s="746"/>
      <c r="E39" s="815" t="s">
        <v>749</v>
      </c>
      <c r="F39" s="673" t="s">
        <v>750</v>
      </c>
      <c r="G39" s="72" t="s">
        <v>547</v>
      </c>
      <c r="H39" s="727"/>
      <c r="I39" s="727"/>
      <c r="J39" s="485" t="s">
        <v>751</v>
      </c>
      <c r="K39" s="709"/>
      <c r="L39" s="57"/>
      <c r="M39" s="57"/>
      <c r="R39" s="57"/>
      <c r="U39" s="706"/>
      <c r="AA39" s="56"/>
      <c r="AB39" s="56"/>
      <c r="AC39" s="56"/>
      <c r="AD39" s="56"/>
      <c r="AE39" s="56"/>
      <c r="AF39" s="53">
        <v>23</v>
      </c>
    </row>
    <row r="40" s="53" customFormat="1" ht="24" customHeight="1">
      <c r="A40" s="705"/>
      <c r="C40" s="57"/>
      <c r="D40" s="125"/>
      <c r="E40" s="815" t="s">
        <v>752</v>
      </c>
      <c r="F40" s="743" t="s">
        <v>753</v>
      </c>
      <c r="G40" s="72" t="s">
        <v>547</v>
      </c>
      <c r="H40" s="727"/>
      <c r="I40" s="727"/>
      <c r="J40" s="485" t="s">
        <v>754</v>
      </c>
      <c r="K40" s="709"/>
      <c r="L40" s="57"/>
      <c r="M40" s="57"/>
      <c r="R40" s="57"/>
      <c r="U40" s="706"/>
      <c r="AA40" s="56"/>
      <c r="AB40" s="56"/>
      <c r="AC40" s="56"/>
      <c r="AD40" s="56"/>
      <c r="AE40" s="56"/>
      <c r="AF40" s="53">
        <v>23</v>
      </c>
    </row>
    <row r="41" s="53" customFormat="1" ht="24" customHeight="1">
      <c r="A41" s="705"/>
      <c r="C41" s="57"/>
      <c r="D41" s="125"/>
      <c r="E41" s="815" t="s">
        <v>755</v>
      </c>
      <c r="F41" s="743" t="s">
        <v>756</v>
      </c>
      <c r="G41" s="72" t="s">
        <v>547</v>
      </c>
      <c r="H41" s="727"/>
      <c r="I41" s="727"/>
      <c r="J41" s="485" t="s">
        <v>757</v>
      </c>
      <c r="K41" s="709"/>
      <c r="L41" s="57"/>
      <c r="M41" s="57"/>
      <c r="R41" s="57"/>
      <c r="U41" s="706"/>
      <c r="AA41" s="56"/>
      <c r="AB41" s="56"/>
      <c r="AC41" s="56"/>
      <c r="AD41" s="56"/>
      <c r="AE41" s="56"/>
      <c r="AF41" s="53">
        <v>23</v>
      </c>
    </row>
    <row r="42" s="53" customFormat="1" ht="24" customHeight="1">
      <c r="A42" s="705"/>
      <c r="C42" s="57"/>
      <c r="D42" s="125"/>
      <c r="E42" s="815" t="s">
        <v>758</v>
      </c>
      <c r="F42" s="743" t="s">
        <v>759</v>
      </c>
      <c r="G42" s="72" t="s">
        <v>547</v>
      </c>
      <c r="H42" s="727"/>
      <c r="I42" s="727"/>
      <c r="J42" s="485" t="s">
        <v>760</v>
      </c>
      <c r="K42" s="709"/>
      <c r="L42" s="57"/>
      <c r="M42" s="57"/>
      <c r="R42" s="57"/>
      <c r="U42" s="706"/>
      <c r="AA42" s="56"/>
      <c r="AB42" s="56"/>
      <c r="AC42" s="56"/>
      <c r="AD42" s="56"/>
      <c r="AE42" s="56"/>
      <c r="AF42" s="53">
        <v>23</v>
      </c>
    </row>
    <row r="43" s="53" customFormat="1" ht="35.649999999999999" customHeight="1">
      <c r="A43" s="705"/>
      <c r="C43" s="57" t="s">
        <v>583</v>
      </c>
      <c r="D43" s="125"/>
      <c r="E43" s="815" t="s">
        <v>108</v>
      </c>
      <c r="F43" s="313" t="s">
        <v>624</v>
      </c>
      <c r="G43" s="157" t="s">
        <v>761</v>
      </c>
      <c r="H43" s="758"/>
      <c r="I43" s="758"/>
      <c r="J43" s="485" t="s">
        <v>762</v>
      </c>
      <c r="K43" s="709"/>
      <c r="L43" s="57"/>
      <c r="M43" s="57"/>
      <c r="R43" s="57"/>
      <c r="U43" s="706"/>
      <c r="AA43" s="56"/>
      <c r="AB43" s="56"/>
      <c r="AC43" s="56"/>
      <c r="AD43" s="56"/>
      <c r="AE43" s="56"/>
      <c r="AF43" s="53">
        <v>34</v>
      </c>
    </row>
    <row r="44" s="53" customFormat="1" ht="35.649999999999999" customHeight="1">
      <c r="A44" s="705"/>
      <c r="C44" s="57"/>
      <c r="D44" s="125"/>
      <c r="E44" s="815" t="s">
        <v>92</v>
      </c>
      <c r="F44" s="313" t="s">
        <v>763</v>
      </c>
      <c r="G44" s="72" t="s">
        <v>764</v>
      </c>
      <c r="H44" s="717"/>
      <c r="I44" s="717"/>
      <c r="J44" s="485" t="s">
        <v>765</v>
      </c>
      <c r="K44" s="709"/>
      <c r="L44" s="57"/>
      <c r="M44" s="57"/>
      <c r="R44" s="57"/>
      <c r="U44" s="706"/>
      <c r="AA44" s="56"/>
      <c r="AB44" s="56"/>
      <c r="AC44" s="56"/>
      <c r="AD44" s="56"/>
      <c r="AE44" s="56"/>
      <c r="AF44" s="53">
        <v>34</v>
      </c>
    </row>
    <row r="45" s="53" customFormat="1" ht="24" customHeight="1">
      <c r="A45" s="705"/>
      <c r="C45" s="57"/>
      <c r="D45" s="125"/>
      <c r="E45" s="815" t="s">
        <v>93</v>
      </c>
      <c r="F45" s="313" t="s">
        <v>766</v>
      </c>
      <c r="G45" s="72" t="s">
        <v>767</v>
      </c>
      <c r="H45" s="717"/>
      <c r="I45" s="717"/>
      <c r="J45" s="485" t="s">
        <v>768</v>
      </c>
      <c r="K45" s="709"/>
      <c r="L45" s="57"/>
      <c r="M45" s="57"/>
      <c r="R45" s="57"/>
      <c r="U45" s="706"/>
      <c r="AA45" s="56"/>
      <c r="AB45" s="56"/>
      <c r="AC45" s="56"/>
      <c r="AD45" s="56"/>
      <c r="AE45" s="56"/>
      <c r="AF45" s="53">
        <v>23</v>
      </c>
    </row>
    <row r="46" s="53" customFormat="1" ht="19.949999999999999" customHeight="1">
      <c r="A46" s="705"/>
      <c r="C46" s="57"/>
      <c r="D46" s="125"/>
      <c r="E46" s="815" t="s">
        <v>109</v>
      </c>
      <c r="F46" s="313" t="s">
        <v>769</v>
      </c>
      <c r="G46" s="72" t="s">
        <v>585</v>
      </c>
      <c r="H46" s="747"/>
      <c r="I46" s="747"/>
      <c r="J46" s="485"/>
      <c r="K46" s="709"/>
      <c r="L46" s="57"/>
      <c r="M46" s="57"/>
      <c r="R46" s="57"/>
      <c r="U46" s="706"/>
      <c r="AA46" s="56"/>
      <c r="AB46" s="56"/>
      <c r="AC46" s="56"/>
      <c r="AD46" s="56"/>
      <c r="AE46" s="56"/>
      <c r="AF46" s="53">
        <v>19</v>
      </c>
    </row>
    <row r="47" ht="11.5" customHeight="1">
      <c r="D47" s="125"/>
      <c r="AF47" s="50">
        <v>11</v>
      </c>
    </row>
    <row r="48" s="131" customFormat="1" ht="11.5" customHeight="1">
      <c r="A48" s="705"/>
      <c r="B48" s="57"/>
      <c r="C48" s="57"/>
      <c r="D48" s="131"/>
      <c r="K48" s="53"/>
      <c r="L48" s="57"/>
      <c r="M48" s="57"/>
      <c r="N48" s="53"/>
      <c r="O48" s="53"/>
      <c r="P48" s="53"/>
      <c r="Q48" s="53"/>
      <c r="R48" s="57"/>
      <c r="S48" s="53"/>
      <c r="T48" s="53"/>
      <c r="U48" s="706"/>
      <c r="V48" s="53"/>
      <c r="W48" s="53"/>
      <c r="X48" s="53"/>
      <c r="Y48" s="53"/>
      <c r="Z48" s="53"/>
      <c r="AA48" s="56"/>
      <c r="AB48" s="54"/>
      <c r="AC48" s="54"/>
      <c r="AD48" s="54"/>
      <c r="AE48" s="54"/>
      <c r="AF48" s="131">
        <v>11</v>
      </c>
    </row>
    <row r="49" s="131" customFormat="1" ht="11.5" customHeight="1">
      <c r="A49" s="705"/>
      <c r="B49" s="57"/>
      <c r="C49" s="57"/>
      <c r="D49" s="131"/>
      <c r="K49" s="53"/>
      <c r="L49" s="57"/>
      <c r="M49" s="57"/>
      <c r="N49" s="53"/>
      <c r="O49" s="53"/>
      <c r="P49" s="53"/>
      <c r="Q49" s="53"/>
      <c r="R49" s="57"/>
      <c r="S49" s="53"/>
      <c r="T49" s="53"/>
      <c r="U49" s="706"/>
      <c r="V49" s="53"/>
      <c r="W49" s="53"/>
      <c r="X49" s="53"/>
      <c r="Y49" s="53"/>
      <c r="Z49" s="53"/>
      <c r="AA49" s="56"/>
      <c r="AB49" s="54"/>
      <c r="AC49" s="54"/>
      <c r="AD49" s="54"/>
      <c r="AE49" s="54"/>
      <c r="AF49" s="131">
        <v>11</v>
      </c>
    </row>
    <row r="50" s="131" customFormat="1" ht="11.5" customHeight="1">
      <c r="A50" s="705"/>
      <c r="B50" s="57"/>
      <c r="C50" s="57"/>
      <c r="D50" s="131"/>
      <c r="H50" s="54"/>
      <c r="I50" s="54"/>
      <c r="K50" s="53"/>
      <c r="L50" s="57"/>
      <c r="M50" s="57"/>
      <c r="N50" s="53"/>
      <c r="O50" s="53"/>
      <c r="P50" s="53"/>
      <c r="Q50" s="53"/>
      <c r="R50" s="57"/>
      <c r="S50" s="53"/>
      <c r="T50" s="53"/>
      <c r="U50" s="706"/>
      <c r="V50" s="53"/>
      <c r="W50" s="53"/>
      <c r="X50" s="53"/>
      <c r="Y50" s="53"/>
      <c r="Z50" s="53"/>
      <c r="AA50" s="56"/>
      <c r="AB50" s="54"/>
      <c r="AC50" s="54"/>
      <c r="AD50" s="54"/>
      <c r="AE50" s="54"/>
      <c r="AF50" s="131">
        <v>11</v>
      </c>
    </row>
    <row r="51" s="131" customFormat="1" ht="11.5" customHeight="1">
      <c r="A51" s="705"/>
      <c r="B51" s="57"/>
      <c r="C51" s="57"/>
      <c r="D51" s="131"/>
      <c r="K51" s="53"/>
      <c r="L51" s="57"/>
      <c r="M51" s="57"/>
      <c r="N51" s="53"/>
      <c r="O51" s="53"/>
      <c r="P51" s="53"/>
      <c r="Q51" s="53"/>
      <c r="R51" s="57"/>
      <c r="S51" s="53"/>
      <c r="T51" s="53"/>
      <c r="U51" s="706"/>
      <c r="V51" s="53"/>
      <c r="W51" s="53"/>
      <c r="X51" s="53"/>
      <c r="Y51" s="53"/>
      <c r="Z51" s="53"/>
      <c r="AA51" s="56"/>
      <c r="AB51" s="54"/>
      <c r="AC51" s="54"/>
      <c r="AD51" s="54"/>
      <c r="AE51" s="54"/>
      <c r="AF51" s="131">
        <v>11</v>
      </c>
    </row>
    <row r="52" s="131" customFormat="1" ht="11.5" customHeight="1">
      <c r="A52" s="705"/>
      <c r="B52" s="57"/>
      <c r="C52" s="57"/>
      <c r="D52" s="131"/>
      <c r="K52" s="53"/>
      <c r="L52" s="57"/>
      <c r="M52" s="57"/>
      <c r="N52" s="53"/>
      <c r="O52" s="53"/>
      <c r="P52" s="53"/>
      <c r="Q52" s="53"/>
      <c r="R52" s="57"/>
      <c r="S52" s="53"/>
      <c r="T52" s="53"/>
      <c r="U52" s="706"/>
      <c r="V52" s="53"/>
      <c r="W52" s="53"/>
      <c r="X52" s="53"/>
      <c r="Y52" s="53"/>
      <c r="Z52" s="53"/>
      <c r="AA52" s="56"/>
      <c r="AB52" s="54"/>
      <c r="AC52" s="54"/>
      <c r="AD52" s="54"/>
      <c r="AE52" s="54"/>
      <c r="AF52" s="131">
        <v>11</v>
      </c>
    </row>
    <row r="53" s="131" customFormat="1" ht="11.5" customHeight="1">
      <c r="A53" s="705"/>
      <c r="B53" s="57"/>
      <c r="C53" s="57"/>
      <c r="D53" s="131"/>
      <c r="K53" s="53"/>
      <c r="L53" s="57"/>
      <c r="M53" s="57"/>
      <c r="N53" s="53"/>
      <c r="O53" s="53"/>
      <c r="P53" s="53"/>
      <c r="Q53" s="53"/>
      <c r="R53" s="57"/>
      <c r="S53" s="53"/>
      <c r="T53" s="53"/>
      <c r="U53" s="706"/>
      <c r="V53" s="53"/>
      <c r="W53" s="53"/>
      <c r="X53" s="53"/>
      <c r="Y53" s="53"/>
      <c r="Z53" s="53"/>
      <c r="AA53" s="56"/>
      <c r="AB53" s="54"/>
      <c r="AC53" s="54"/>
      <c r="AD53" s="54"/>
      <c r="AE53" s="54"/>
      <c r="AF53" s="131">
        <v>11</v>
      </c>
    </row>
    <row r="54" s="131" customFormat="1" ht="11.5" customHeight="1">
      <c r="A54" s="705"/>
      <c r="B54" s="57"/>
      <c r="C54" s="57"/>
      <c r="D54" s="131"/>
      <c r="K54" s="53"/>
      <c r="L54" s="57"/>
      <c r="M54" s="57"/>
      <c r="N54" s="53"/>
      <c r="O54" s="53"/>
      <c r="P54" s="53"/>
      <c r="Q54" s="53"/>
      <c r="R54" s="57"/>
      <c r="S54" s="53"/>
      <c r="T54" s="53"/>
      <c r="U54" s="706"/>
      <c r="V54" s="53"/>
      <c r="W54" s="53"/>
      <c r="X54" s="53"/>
      <c r="Y54" s="53"/>
      <c r="Z54" s="53"/>
      <c r="AA54" s="56"/>
      <c r="AB54" s="54"/>
      <c r="AC54" s="54"/>
      <c r="AD54" s="54"/>
      <c r="AE54" s="54"/>
      <c r="AF54" s="131">
        <v>11</v>
      </c>
    </row>
    <row r="55" s="131" customFormat="1" ht="11.5" customHeight="1">
      <c r="A55" s="705"/>
      <c r="B55" s="57"/>
      <c r="C55" s="57"/>
      <c r="D55" s="131"/>
      <c r="K55" s="53"/>
      <c r="L55" s="57"/>
      <c r="M55" s="57"/>
      <c r="N55" s="53"/>
      <c r="O55" s="53"/>
      <c r="P55" s="53"/>
      <c r="Q55" s="53"/>
      <c r="R55" s="57"/>
      <c r="S55" s="53"/>
      <c r="T55" s="53"/>
      <c r="U55" s="706"/>
      <c r="V55" s="53"/>
      <c r="W55" s="53"/>
      <c r="X55" s="53"/>
      <c r="Y55" s="53"/>
      <c r="Z55" s="53"/>
      <c r="AA55" s="56"/>
      <c r="AB55" s="54"/>
      <c r="AC55" s="54"/>
      <c r="AD55" s="54"/>
      <c r="AE55" s="54"/>
      <c r="AF55" s="131">
        <v>11</v>
      </c>
    </row>
    <row r="56" s="131" customFormat="1" ht="11.5" customHeight="1">
      <c r="A56" s="705"/>
      <c r="B56" s="57"/>
      <c r="C56" s="57"/>
      <c r="D56" s="131"/>
      <c r="K56" s="53"/>
      <c r="L56" s="57"/>
      <c r="M56" s="57"/>
      <c r="N56" s="53"/>
      <c r="O56" s="53"/>
      <c r="P56" s="53"/>
      <c r="Q56" s="53"/>
      <c r="R56" s="57"/>
      <c r="S56" s="53"/>
      <c r="T56" s="53"/>
      <c r="U56" s="706"/>
      <c r="V56" s="53"/>
      <c r="W56" s="53"/>
      <c r="X56" s="53"/>
      <c r="Y56" s="53"/>
      <c r="Z56" s="53"/>
      <c r="AA56" s="56"/>
      <c r="AB56" s="54"/>
      <c r="AC56" s="54"/>
      <c r="AD56" s="54"/>
      <c r="AE56" s="54"/>
      <c r="AF56" s="131">
        <v>11</v>
      </c>
    </row>
    <row r="57" s="131" customFormat="1" ht="11.5" customHeight="1">
      <c r="A57" s="705"/>
      <c r="B57" s="57"/>
      <c r="C57" s="57"/>
      <c r="D57" s="131"/>
      <c r="K57" s="53"/>
      <c r="L57" s="57"/>
      <c r="M57" s="57"/>
      <c r="N57" s="53"/>
      <c r="O57" s="53"/>
      <c r="P57" s="53"/>
      <c r="Q57" s="53"/>
      <c r="R57" s="57"/>
      <c r="S57" s="53"/>
      <c r="T57" s="53"/>
      <c r="U57" s="706"/>
      <c r="V57" s="53"/>
      <c r="W57" s="53"/>
      <c r="X57" s="53"/>
      <c r="Y57" s="53"/>
      <c r="Z57" s="53"/>
      <c r="AA57" s="56"/>
      <c r="AB57" s="54"/>
      <c r="AC57" s="54"/>
      <c r="AD57" s="54"/>
      <c r="AE57" s="54"/>
      <c r="AF57" s="131">
        <v>11</v>
      </c>
    </row>
    <row r="58" s="131" customFormat="1" ht="11.5" customHeight="1">
      <c r="A58" s="705"/>
      <c r="B58" s="57"/>
      <c r="C58" s="57"/>
      <c r="D58" s="131"/>
      <c r="K58" s="53"/>
      <c r="L58" s="57"/>
      <c r="M58" s="57"/>
      <c r="N58" s="53"/>
      <c r="O58" s="53"/>
      <c r="P58" s="53"/>
      <c r="Q58" s="53"/>
      <c r="R58" s="57"/>
      <c r="S58" s="53"/>
      <c r="T58" s="53"/>
      <c r="U58" s="706"/>
      <c r="V58" s="53"/>
      <c r="W58" s="53"/>
      <c r="X58" s="53"/>
      <c r="Y58" s="53"/>
      <c r="Z58" s="53"/>
      <c r="AA58" s="56"/>
      <c r="AB58" s="54"/>
      <c r="AC58" s="54"/>
      <c r="AD58" s="54"/>
      <c r="AE58" s="54"/>
      <c r="AF58" s="131">
        <v>11</v>
      </c>
    </row>
    <row r="59" s="131" customFormat="1" ht="11.5" customHeight="1">
      <c r="A59" s="705"/>
      <c r="B59" s="57"/>
      <c r="C59" s="57"/>
      <c r="D59" s="131"/>
      <c r="K59" s="53"/>
      <c r="L59" s="57"/>
      <c r="M59" s="57"/>
      <c r="N59" s="53"/>
      <c r="O59" s="53"/>
      <c r="P59" s="53"/>
      <c r="Q59" s="53"/>
      <c r="R59" s="57"/>
      <c r="S59" s="53"/>
      <c r="T59" s="53"/>
      <c r="U59" s="706"/>
      <c r="V59" s="53"/>
      <c r="W59" s="53"/>
      <c r="X59" s="53"/>
      <c r="Y59" s="53"/>
      <c r="Z59" s="53"/>
      <c r="AA59" s="56"/>
      <c r="AB59" s="54"/>
      <c r="AC59" s="54"/>
      <c r="AD59" s="54"/>
      <c r="AE59" s="54"/>
      <c r="AF59" s="131">
        <v>11</v>
      </c>
    </row>
    <row r="60" s="131" customFormat="1" ht="11.5" customHeight="1">
      <c r="A60" s="705"/>
      <c r="B60" s="57"/>
      <c r="C60" s="57"/>
      <c r="D60" s="131"/>
      <c r="K60" s="53"/>
      <c r="L60" s="57"/>
      <c r="M60" s="57"/>
      <c r="N60" s="53"/>
      <c r="O60" s="53"/>
      <c r="P60" s="53"/>
      <c r="Q60" s="53"/>
      <c r="R60" s="57"/>
      <c r="S60" s="53"/>
      <c r="T60" s="53"/>
      <c r="U60" s="706"/>
      <c r="V60" s="53"/>
      <c r="W60" s="53"/>
      <c r="X60" s="53"/>
      <c r="Y60" s="53"/>
      <c r="Z60" s="53"/>
      <c r="AA60" s="56"/>
      <c r="AB60" s="54"/>
      <c r="AC60" s="54"/>
      <c r="AD60" s="54"/>
      <c r="AE60" s="54"/>
      <c r="AF60" s="131">
        <v>11</v>
      </c>
    </row>
    <row r="61" s="131" customFormat="1" ht="11.5" customHeight="1">
      <c r="A61" s="705"/>
      <c r="B61" s="57"/>
      <c r="C61" s="57"/>
      <c r="D61" s="131"/>
      <c r="K61" s="53"/>
      <c r="L61" s="57"/>
      <c r="M61" s="57"/>
      <c r="N61" s="53"/>
      <c r="O61" s="53"/>
      <c r="P61" s="53"/>
      <c r="Q61" s="53"/>
      <c r="R61" s="57"/>
      <c r="S61" s="53"/>
      <c r="T61" s="53"/>
      <c r="U61" s="706"/>
      <c r="V61" s="53"/>
      <c r="W61" s="53"/>
      <c r="X61" s="53"/>
      <c r="Y61" s="53"/>
      <c r="Z61" s="53"/>
      <c r="AA61" s="56"/>
      <c r="AB61" s="54"/>
      <c r="AC61" s="54"/>
      <c r="AD61" s="54"/>
      <c r="AE61" s="54"/>
      <c r="AF61" s="131">
        <v>11</v>
      </c>
    </row>
    <row r="62" s="131" customFormat="1" ht="11.5" customHeight="1">
      <c r="A62" s="705"/>
      <c r="B62" s="57"/>
      <c r="C62" s="57"/>
      <c r="D62" s="131"/>
      <c r="K62" s="53"/>
      <c r="L62" s="57"/>
      <c r="M62" s="57"/>
      <c r="N62" s="53"/>
      <c r="O62" s="53"/>
      <c r="P62" s="53"/>
      <c r="Q62" s="53"/>
      <c r="R62" s="57"/>
      <c r="S62" s="53"/>
      <c r="T62" s="53"/>
      <c r="U62" s="706"/>
      <c r="V62" s="53"/>
      <c r="W62" s="53"/>
      <c r="X62" s="53"/>
      <c r="Y62" s="53"/>
      <c r="Z62" s="53"/>
      <c r="AA62" s="56"/>
      <c r="AB62" s="54"/>
      <c r="AC62" s="54"/>
      <c r="AD62" s="54"/>
      <c r="AE62" s="54"/>
      <c r="AF62" s="131">
        <v>11</v>
      </c>
    </row>
    <row r="63" s="131" customFormat="1" ht="11.5" customHeight="1">
      <c r="A63" s="705"/>
      <c r="B63" s="57"/>
      <c r="C63" s="57"/>
      <c r="D63" s="131"/>
      <c r="K63" s="53"/>
      <c r="L63" s="57"/>
      <c r="M63" s="57"/>
      <c r="N63" s="53"/>
      <c r="O63" s="53"/>
      <c r="P63" s="53"/>
      <c r="Q63" s="53"/>
      <c r="R63" s="57"/>
      <c r="S63" s="53"/>
      <c r="T63" s="53"/>
      <c r="U63" s="706"/>
      <c r="V63" s="53"/>
      <c r="W63" s="53"/>
      <c r="X63" s="53"/>
      <c r="Y63" s="53"/>
      <c r="Z63" s="53"/>
      <c r="AA63" s="56"/>
      <c r="AB63" s="54"/>
      <c r="AC63" s="54"/>
      <c r="AD63" s="54"/>
      <c r="AE63" s="54"/>
      <c r="AF63" s="131">
        <v>11</v>
      </c>
    </row>
    <row r="64" s="131" customFormat="1" ht="11.5" customHeight="1">
      <c r="A64" s="705"/>
      <c r="B64" s="57"/>
      <c r="C64" s="57"/>
      <c r="D64" s="131"/>
      <c r="K64" s="53"/>
      <c r="L64" s="57"/>
      <c r="M64" s="57"/>
      <c r="N64" s="53"/>
      <c r="O64" s="53"/>
      <c r="P64" s="53"/>
      <c r="Q64" s="53"/>
      <c r="R64" s="57"/>
      <c r="S64" s="53"/>
      <c r="T64" s="53"/>
      <c r="U64" s="706"/>
      <c r="V64" s="53"/>
      <c r="W64" s="53"/>
      <c r="X64" s="53"/>
      <c r="Y64" s="53"/>
      <c r="Z64" s="53"/>
      <c r="AA64" s="56"/>
      <c r="AB64" s="54"/>
      <c r="AC64" s="54"/>
      <c r="AD64" s="54"/>
      <c r="AE64" s="54"/>
      <c r="AF64" s="131">
        <v>11</v>
      </c>
    </row>
    <row r="65" s="131" customFormat="1" ht="11.5" customHeight="1">
      <c r="A65" s="705"/>
      <c r="B65" s="57"/>
      <c r="C65" s="57"/>
      <c r="D65" s="131"/>
      <c r="K65" s="53"/>
      <c r="L65" s="57"/>
      <c r="M65" s="57"/>
      <c r="N65" s="53"/>
      <c r="O65" s="53"/>
      <c r="P65" s="53"/>
      <c r="Q65" s="53"/>
      <c r="R65" s="57"/>
      <c r="S65" s="53"/>
      <c r="T65" s="53"/>
      <c r="U65" s="706"/>
      <c r="V65" s="53"/>
      <c r="W65" s="53"/>
      <c r="X65" s="53"/>
      <c r="Y65" s="53"/>
      <c r="Z65" s="53"/>
      <c r="AA65" s="56"/>
      <c r="AB65" s="54"/>
      <c r="AC65" s="54"/>
      <c r="AD65" s="54"/>
      <c r="AE65" s="54"/>
      <c r="AF65" s="131">
        <v>11</v>
      </c>
    </row>
    <row r="66" s="131" customFormat="1" ht="11.5" customHeight="1">
      <c r="A66" s="705"/>
      <c r="B66" s="57"/>
      <c r="C66" s="57"/>
      <c r="D66" s="131"/>
      <c r="K66" s="53"/>
      <c r="L66" s="57"/>
      <c r="M66" s="57"/>
      <c r="N66" s="53"/>
      <c r="O66" s="53"/>
      <c r="P66" s="53"/>
      <c r="Q66" s="53"/>
      <c r="R66" s="57"/>
      <c r="S66" s="53"/>
      <c r="T66" s="53"/>
      <c r="U66" s="706"/>
      <c r="V66" s="53"/>
      <c r="W66" s="53"/>
      <c r="X66" s="53"/>
      <c r="Y66" s="53"/>
      <c r="Z66" s="53"/>
      <c r="AA66" s="56"/>
      <c r="AB66" s="54"/>
      <c r="AC66" s="54"/>
      <c r="AD66" s="54"/>
      <c r="AE66" s="54"/>
      <c r="AF66" s="131">
        <v>11</v>
      </c>
    </row>
    <row r="67" s="131" customFormat="1" ht="11.5" customHeight="1">
      <c r="A67" s="705"/>
      <c r="B67" s="57"/>
      <c r="C67" s="57"/>
      <c r="D67" s="131"/>
      <c r="K67" s="53"/>
      <c r="L67" s="57"/>
      <c r="M67" s="57"/>
      <c r="N67" s="53"/>
      <c r="O67" s="53"/>
      <c r="P67" s="53"/>
      <c r="Q67" s="53"/>
      <c r="R67" s="57"/>
      <c r="S67" s="53"/>
      <c r="T67" s="53"/>
      <c r="U67" s="706"/>
      <c r="V67" s="53"/>
      <c r="W67" s="53"/>
      <c r="X67" s="53"/>
      <c r="Y67" s="53"/>
      <c r="Z67" s="53"/>
      <c r="AA67" s="56"/>
      <c r="AB67" s="54"/>
      <c r="AC67" s="54"/>
      <c r="AD67" s="54"/>
      <c r="AE67" s="54"/>
      <c r="AF67" s="131">
        <v>11</v>
      </c>
    </row>
    <row r="68" s="131" customFormat="1" ht="11.5" customHeight="1">
      <c r="A68" s="705"/>
      <c r="B68" s="57"/>
      <c r="C68" s="57"/>
      <c r="D68" s="131"/>
      <c r="K68" s="53"/>
      <c r="L68" s="57"/>
      <c r="M68" s="57"/>
      <c r="N68" s="53"/>
      <c r="O68" s="53"/>
      <c r="P68" s="53"/>
      <c r="Q68" s="53"/>
      <c r="R68" s="57"/>
      <c r="S68" s="53"/>
      <c r="T68" s="53"/>
      <c r="U68" s="706"/>
      <c r="V68" s="53"/>
      <c r="W68" s="53"/>
      <c r="X68" s="53"/>
      <c r="Y68" s="53"/>
      <c r="Z68" s="53"/>
      <c r="AA68" s="56"/>
      <c r="AB68" s="54"/>
      <c r="AC68" s="54"/>
      <c r="AD68" s="54"/>
      <c r="AE68" s="54"/>
      <c r="AF68" s="131">
        <v>11</v>
      </c>
    </row>
    <row r="69" s="131" customFormat="1" ht="11.5" customHeight="1">
      <c r="A69" s="705"/>
      <c r="B69" s="57"/>
      <c r="C69" s="57"/>
      <c r="D69" s="131"/>
      <c r="K69" s="53"/>
      <c r="L69" s="57"/>
      <c r="M69" s="57"/>
      <c r="N69" s="53"/>
      <c r="O69" s="53"/>
      <c r="P69" s="53"/>
      <c r="Q69" s="53"/>
      <c r="R69" s="57"/>
      <c r="S69" s="53"/>
      <c r="T69" s="53"/>
      <c r="U69" s="706"/>
      <c r="V69" s="53"/>
      <c r="W69" s="53"/>
      <c r="X69" s="53"/>
      <c r="Y69" s="53"/>
      <c r="Z69" s="53"/>
      <c r="AA69" s="56"/>
      <c r="AB69" s="54"/>
      <c r="AC69" s="54"/>
      <c r="AD69" s="54"/>
      <c r="AE69" s="54"/>
      <c r="AF69" s="131">
        <v>11</v>
      </c>
    </row>
    <row r="70" s="131" customFormat="1" ht="11.5" customHeight="1">
      <c r="A70" s="705"/>
      <c r="B70" s="57"/>
      <c r="C70" s="57"/>
      <c r="D70" s="131"/>
      <c r="K70" s="53"/>
      <c r="L70" s="57"/>
      <c r="M70" s="57"/>
      <c r="N70" s="53"/>
      <c r="O70" s="53"/>
      <c r="P70" s="53"/>
      <c r="Q70" s="53"/>
      <c r="R70" s="57"/>
      <c r="S70" s="53"/>
      <c r="T70" s="53"/>
      <c r="U70" s="706"/>
      <c r="V70" s="53"/>
      <c r="W70" s="53"/>
      <c r="X70" s="53"/>
      <c r="Y70" s="53"/>
      <c r="Z70" s="53"/>
      <c r="AA70" s="56"/>
      <c r="AB70" s="54"/>
      <c r="AC70" s="54"/>
      <c r="AD70" s="54"/>
      <c r="AE70" s="54"/>
      <c r="AF70" s="131">
        <v>11</v>
      </c>
    </row>
    <row r="71" s="131" customFormat="1" ht="11.5" customHeight="1">
      <c r="A71" s="705"/>
      <c r="B71" s="57"/>
      <c r="C71" s="57"/>
      <c r="D71" s="131"/>
      <c r="K71" s="53"/>
      <c r="L71" s="57"/>
      <c r="M71" s="57"/>
      <c r="N71" s="53"/>
      <c r="O71" s="53"/>
      <c r="P71" s="53"/>
      <c r="Q71" s="53"/>
      <c r="R71" s="57"/>
      <c r="S71" s="53"/>
      <c r="T71" s="53"/>
      <c r="U71" s="706"/>
      <c r="V71" s="53"/>
      <c r="W71" s="53"/>
      <c r="X71" s="53"/>
      <c r="Y71" s="53"/>
      <c r="Z71" s="53"/>
      <c r="AA71" s="56"/>
      <c r="AB71" s="54"/>
      <c r="AC71" s="54"/>
      <c r="AD71" s="54"/>
      <c r="AE71" s="54"/>
      <c r="AF71" s="131">
        <v>11</v>
      </c>
    </row>
    <row r="72" s="131" customFormat="1" ht="11.5" customHeight="1">
      <c r="A72" s="705"/>
      <c r="B72" s="57"/>
      <c r="C72" s="57"/>
      <c r="D72" s="131"/>
      <c r="K72" s="53"/>
      <c r="L72" s="57"/>
      <c r="M72" s="57"/>
      <c r="N72" s="53"/>
      <c r="O72" s="53"/>
      <c r="P72" s="53"/>
      <c r="Q72" s="53"/>
      <c r="R72" s="57"/>
      <c r="S72" s="53"/>
      <c r="T72" s="53"/>
      <c r="U72" s="706"/>
      <c r="V72" s="53"/>
      <c r="W72" s="53"/>
      <c r="X72" s="53"/>
      <c r="Y72" s="53"/>
      <c r="Z72" s="53"/>
      <c r="AA72" s="56"/>
      <c r="AB72" s="54"/>
      <c r="AC72" s="54"/>
      <c r="AD72" s="54"/>
      <c r="AE72" s="54"/>
      <c r="AF72" s="131">
        <v>11</v>
      </c>
    </row>
    <row r="73" s="131" customFormat="1" ht="11.5" customHeight="1">
      <c r="A73" s="705"/>
      <c r="B73" s="57"/>
      <c r="C73" s="57"/>
      <c r="D73" s="131"/>
      <c r="K73" s="53"/>
      <c r="L73" s="57"/>
      <c r="M73" s="57"/>
      <c r="N73" s="53"/>
      <c r="O73" s="53"/>
      <c r="P73" s="53"/>
      <c r="Q73" s="53"/>
      <c r="R73" s="57"/>
      <c r="S73" s="53"/>
      <c r="T73" s="53"/>
      <c r="U73" s="706"/>
      <c r="V73" s="53"/>
      <c r="W73" s="53"/>
      <c r="X73" s="53"/>
      <c r="Y73" s="53"/>
      <c r="Z73" s="53"/>
      <c r="AA73" s="56"/>
      <c r="AB73" s="54"/>
      <c r="AC73" s="54"/>
      <c r="AD73" s="54"/>
      <c r="AE73" s="54"/>
      <c r="AF73" s="131">
        <v>11</v>
      </c>
    </row>
    <row r="74" s="131" customFormat="1" ht="11.5" customHeight="1">
      <c r="A74" s="705"/>
      <c r="B74" s="57"/>
      <c r="C74" s="57"/>
      <c r="D74" s="131"/>
      <c r="K74" s="53"/>
      <c r="L74" s="57"/>
      <c r="M74" s="57"/>
      <c r="N74" s="53"/>
      <c r="O74" s="53"/>
      <c r="P74" s="53"/>
      <c r="Q74" s="53"/>
      <c r="R74" s="57"/>
      <c r="S74" s="53"/>
      <c r="T74" s="53"/>
      <c r="U74" s="706"/>
      <c r="V74" s="53"/>
      <c r="W74" s="53"/>
      <c r="X74" s="53"/>
      <c r="Y74" s="53"/>
      <c r="Z74" s="53"/>
      <c r="AA74" s="56"/>
      <c r="AB74" s="54"/>
      <c r="AC74" s="54"/>
      <c r="AD74" s="54"/>
      <c r="AE74" s="54"/>
      <c r="AF74" s="131">
        <v>11</v>
      </c>
    </row>
    <row r="75" s="131" customFormat="1" ht="11.5" customHeight="1">
      <c r="A75" s="705"/>
      <c r="B75" s="57"/>
      <c r="C75" s="57"/>
      <c r="D75" s="131"/>
      <c r="K75" s="53"/>
      <c r="L75" s="57"/>
      <c r="M75" s="57"/>
      <c r="N75" s="53"/>
      <c r="O75" s="53"/>
      <c r="P75" s="53"/>
      <c r="Q75" s="53"/>
      <c r="R75" s="57"/>
      <c r="S75" s="53"/>
      <c r="T75" s="53"/>
      <c r="U75" s="706"/>
      <c r="V75" s="53"/>
      <c r="W75" s="53"/>
      <c r="X75" s="53"/>
      <c r="Y75" s="53"/>
      <c r="Z75" s="53"/>
      <c r="AA75" s="56"/>
      <c r="AB75" s="54"/>
      <c r="AC75" s="54"/>
      <c r="AD75" s="54"/>
      <c r="AE75" s="54"/>
      <c r="AF75" s="131">
        <v>11</v>
      </c>
    </row>
    <row r="76" s="131" customFormat="1" ht="11.5" customHeight="1">
      <c r="A76" s="705"/>
      <c r="B76" s="57"/>
      <c r="C76" s="57"/>
      <c r="D76" s="131"/>
      <c r="K76" s="53"/>
      <c r="L76" s="57"/>
      <c r="M76" s="57"/>
      <c r="N76" s="53"/>
      <c r="O76" s="53"/>
      <c r="P76" s="53"/>
      <c r="Q76" s="53"/>
      <c r="R76" s="57"/>
      <c r="S76" s="53"/>
      <c r="T76" s="53"/>
      <c r="U76" s="706"/>
      <c r="V76" s="53"/>
      <c r="W76" s="53"/>
      <c r="X76" s="53"/>
      <c r="Y76" s="53"/>
      <c r="Z76" s="53"/>
      <c r="AA76" s="56"/>
      <c r="AB76" s="54"/>
      <c r="AC76" s="54"/>
      <c r="AD76" s="54"/>
      <c r="AE76" s="54"/>
      <c r="AF76" s="131">
        <v>11</v>
      </c>
    </row>
    <row r="77" s="131" customFormat="1" ht="11.5" customHeight="1">
      <c r="A77" s="705"/>
      <c r="B77" s="57"/>
      <c r="C77" s="57"/>
      <c r="D77" s="131"/>
      <c r="K77" s="53"/>
      <c r="L77" s="57"/>
      <c r="M77" s="57"/>
      <c r="N77" s="53"/>
      <c r="O77" s="53"/>
      <c r="P77" s="53"/>
      <c r="Q77" s="53"/>
      <c r="R77" s="57"/>
      <c r="S77" s="53"/>
      <c r="T77" s="53"/>
      <c r="U77" s="706"/>
      <c r="V77" s="53"/>
      <c r="W77" s="53"/>
      <c r="X77" s="53"/>
      <c r="Y77" s="53"/>
      <c r="Z77" s="53"/>
      <c r="AA77" s="56"/>
      <c r="AB77" s="54"/>
      <c r="AC77" s="54"/>
      <c r="AD77" s="54"/>
      <c r="AE77" s="54"/>
      <c r="AF77" s="131">
        <v>11</v>
      </c>
    </row>
    <row r="78" s="131" customFormat="1" ht="11.5" customHeight="1">
      <c r="A78" s="705"/>
      <c r="B78" s="57"/>
      <c r="C78" s="57"/>
      <c r="D78" s="131"/>
      <c r="K78" s="53"/>
      <c r="L78" s="57"/>
      <c r="M78" s="57"/>
      <c r="N78" s="53"/>
      <c r="O78" s="53"/>
      <c r="P78" s="53"/>
      <c r="Q78" s="53"/>
      <c r="R78" s="57"/>
      <c r="S78" s="53"/>
      <c r="T78" s="53"/>
      <c r="U78" s="706"/>
      <c r="V78" s="53"/>
      <c r="W78" s="53"/>
      <c r="X78" s="53"/>
      <c r="Y78" s="53"/>
      <c r="Z78" s="53"/>
      <c r="AA78" s="56"/>
      <c r="AB78" s="54"/>
      <c r="AC78" s="54"/>
      <c r="AD78" s="54"/>
      <c r="AE78" s="54"/>
      <c r="AF78" s="131">
        <v>11</v>
      </c>
    </row>
    <row r="79" s="131" customFormat="1" ht="11.5" customHeight="1">
      <c r="A79" s="705"/>
      <c r="B79" s="57"/>
      <c r="C79" s="57"/>
      <c r="D79" s="131"/>
      <c r="K79" s="53"/>
      <c r="L79" s="57"/>
      <c r="M79" s="57"/>
      <c r="N79" s="53"/>
      <c r="O79" s="53"/>
      <c r="P79" s="53"/>
      <c r="Q79" s="53"/>
      <c r="R79" s="57"/>
      <c r="S79" s="53"/>
      <c r="T79" s="53"/>
      <c r="U79" s="706"/>
      <c r="V79" s="53"/>
      <c r="W79" s="53"/>
      <c r="X79" s="53"/>
      <c r="Y79" s="53"/>
      <c r="Z79" s="53"/>
      <c r="AA79" s="56"/>
      <c r="AB79" s="54"/>
      <c r="AC79" s="54"/>
      <c r="AD79" s="54"/>
      <c r="AE79" s="54"/>
      <c r="AF79" s="131">
        <v>11</v>
      </c>
    </row>
    <row r="80" s="131" customFormat="1" ht="11.5" customHeight="1">
      <c r="A80" s="705"/>
      <c r="B80" s="57"/>
      <c r="C80" s="57"/>
      <c r="D80" s="131"/>
      <c r="K80" s="53"/>
      <c r="L80" s="57"/>
      <c r="M80" s="57"/>
      <c r="N80" s="53"/>
      <c r="O80" s="53"/>
      <c r="P80" s="53"/>
      <c r="Q80" s="53"/>
      <c r="R80" s="57"/>
      <c r="S80" s="53"/>
      <c r="T80" s="53"/>
      <c r="U80" s="706"/>
      <c r="V80" s="53"/>
      <c r="W80" s="53"/>
      <c r="X80" s="53"/>
      <c r="Y80" s="53"/>
      <c r="Z80" s="53"/>
      <c r="AA80" s="56"/>
      <c r="AB80" s="54"/>
      <c r="AC80" s="54"/>
      <c r="AD80" s="54"/>
      <c r="AE80" s="54"/>
      <c r="AF80" s="131">
        <v>11</v>
      </c>
    </row>
    <row r="81" s="131" customFormat="1" ht="11.5" customHeight="1">
      <c r="A81" s="705"/>
      <c r="B81" s="57"/>
      <c r="C81" s="57"/>
      <c r="D81" s="131"/>
      <c r="K81" s="53"/>
      <c r="L81" s="57"/>
      <c r="M81" s="57"/>
      <c r="N81" s="53"/>
      <c r="O81" s="53"/>
      <c r="P81" s="53"/>
      <c r="Q81" s="53"/>
      <c r="R81" s="57"/>
      <c r="S81" s="53"/>
      <c r="T81" s="53"/>
      <c r="U81" s="706"/>
      <c r="V81" s="53"/>
      <c r="W81" s="53"/>
      <c r="X81" s="53"/>
      <c r="Y81" s="53"/>
      <c r="Z81" s="53"/>
      <c r="AA81" s="56"/>
      <c r="AB81" s="54"/>
      <c r="AC81" s="54"/>
      <c r="AD81" s="54"/>
      <c r="AE81" s="54"/>
      <c r="AF81" s="131">
        <v>11</v>
      </c>
    </row>
    <row r="82" s="131" customFormat="1" ht="11.5" customHeight="1">
      <c r="A82" s="705"/>
      <c r="B82" s="57"/>
      <c r="C82" s="57"/>
      <c r="D82" s="131"/>
      <c r="K82" s="53"/>
      <c r="L82" s="57"/>
      <c r="M82" s="57"/>
      <c r="N82" s="53"/>
      <c r="O82" s="53"/>
      <c r="P82" s="53"/>
      <c r="Q82" s="53"/>
      <c r="R82" s="57"/>
      <c r="S82" s="53"/>
      <c r="T82" s="53"/>
      <c r="U82" s="706"/>
      <c r="V82" s="53"/>
      <c r="W82" s="53"/>
      <c r="X82" s="53"/>
      <c r="Y82" s="53"/>
      <c r="Z82" s="53"/>
      <c r="AA82" s="56"/>
      <c r="AB82" s="54"/>
      <c r="AC82" s="54"/>
      <c r="AD82" s="54"/>
      <c r="AE82" s="54"/>
      <c r="AF82" s="131">
        <v>11</v>
      </c>
    </row>
    <row r="83" s="131" customFormat="1" ht="11.5" customHeight="1">
      <c r="A83" s="705"/>
      <c r="B83" s="57"/>
      <c r="C83" s="57"/>
      <c r="D83" s="131"/>
      <c r="K83" s="53"/>
      <c r="L83" s="57"/>
      <c r="M83" s="57"/>
      <c r="N83" s="53"/>
      <c r="O83" s="53"/>
      <c r="P83" s="53"/>
      <c r="Q83" s="53"/>
      <c r="R83" s="57"/>
      <c r="S83" s="53"/>
      <c r="T83" s="53"/>
      <c r="U83" s="706"/>
      <c r="V83" s="53"/>
      <c r="W83" s="53"/>
      <c r="X83" s="53"/>
      <c r="Y83" s="53"/>
      <c r="Z83" s="53"/>
      <c r="AA83" s="56"/>
      <c r="AB83" s="54"/>
      <c r="AC83" s="54"/>
      <c r="AD83" s="54"/>
      <c r="AE83" s="54"/>
      <c r="AF83" s="131">
        <v>11</v>
      </c>
    </row>
    <row r="84" s="131" customFormat="1" ht="11.5" customHeight="1">
      <c r="A84" s="705"/>
      <c r="B84" s="57"/>
      <c r="C84" s="57"/>
      <c r="D84" s="131"/>
      <c r="K84" s="53"/>
      <c r="L84" s="57"/>
      <c r="M84" s="57"/>
      <c r="N84" s="53"/>
      <c r="O84" s="53"/>
      <c r="P84" s="53"/>
      <c r="Q84" s="53"/>
      <c r="R84" s="57"/>
      <c r="S84" s="53"/>
      <c r="T84" s="53"/>
      <c r="U84" s="706"/>
      <c r="V84" s="53"/>
      <c r="W84" s="53"/>
      <c r="X84" s="53"/>
      <c r="Y84" s="53"/>
      <c r="Z84" s="53"/>
      <c r="AA84" s="56"/>
      <c r="AB84" s="54"/>
      <c r="AC84" s="54"/>
      <c r="AD84" s="54"/>
      <c r="AE84" s="54"/>
      <c r="AF84" s="131">
        <v>11</v>
      </c>
    </row>
    <row r="85" s="131" customFormat="1" ht="11.5" customHeight="1">
      <c r="A85" s="705"/>
      <c r="B85" s="57"/>
      <c r="C85" s="57"/>
      <c r="D85" s="131"/>
      <c r="K85" s="53"/>
      <c r="L85" s="57"/>
      <c r="M85" s="57"/>
      <c r="N85" s="53"/>
      <c r="O85" s="53"/>
      <c r="P85" s="53"/>
      <c r="Q85" s="53"/>
      <c r="R85" s="57"/>
      <c r="S85" s="53"/>
      <c r="T85" s="53"/>
      <c r="U85" s="706"/>
      <c r="V85" s="53"/>
      <c r="W85" s="53"/>
      <c r="X85" s="53"/>
      <c r="Y85" s="53"/>
      <c r="Z85" s="53"/>
      <c r="AA85" s="56"/>
      <c r="AB85" s="54"/>
      <c r="AC85" s="54"/>
      <c r="AD85" s="54"/>
      <c r="AE85" s="54"/>
      <c r="AF85" s="131">
        <v>11</v>
      </c>
    </row>
    <row r="86" s="131" customFormat="1" ht="11.5" customHeight="1">
      <c r="A86" s="705"/>
      <c r="B86" s="57"/>
      <c r="C86" s="57"/>
      <c r="D86" s="131"/>
      <c r="K86" s="53"/>
      <c r="L86" s="57"/>
      <c r="M86" s="57"/>
      <c r="N86" s="53"/>
      <c r="O86" s="53"/>
      <c r="P86" s="53"/>
      <c r="Q86" s="53"/>
      <c r="R86" s="57"/>
      <c r="S86" s="53"/>
      <c r="T86" s="53"/>
      <c r="U86" s="706"/>
      <c r="V86" s="53"/>
      <c r="W86" s="53"/>
      <c r="X86" s="53"/>
      <c r="Y86" s="53"/>
      <c r="Z86" s="53"/>
      <c r="AA86" s="56"/>
      <c r="AB86" s="54"/>
      <c r="AC86" s="54"/>
      <c r="AD86" s="54"/>
      <c r="AE86" s="54"/>
      <c r="AF86" s="131">
        <v>11</v>
      </c>
    </row>
    <row r="87" s="131" customFormat="1" ht="11.5" customHeight="1">
      <c r="A87" s="705"/>
      <c r="B87" s="57"/>
      <c r="C87" s="57"/>
      <c r="D87" s="131"/>
      <c r="K87" s="53"/>
      <c r="L87" s="57"/>
      <c r="M87" s="57"/>
      <c r="N87" s="53"/>
      <c r="O87" s="53"/>
      <c r="P87" s="53"/>
      <c r="Q87" s="53"/>
      <c r="R87" s="57"/>
      <c r="S87" s="53"/>
      <c r="T87" s="53"/>
      <c r="U87" s="706"/>
      <c r="V87" s="53"/>
      <c r="W87" s="53"/>
      <c r="X87" s="53"/>
      <c r="Y87" s="53"/>
      <c r="Z87" s="53"/>
      <c r="AA87" s="56"/>
      <c r="AB87" s="54"/>
      <c r="AC87" s="54"/>
      <c r="AD87" s="54"/>
      <c r="AE87" s="54"/>
      <c r="AF87" s="131">
        <v>11</v>
      </c>
    </row>
    <row r="88" s="131" customFormat="1" ht="11.5" customHeight="1">
      <c r="A88" s="705"/>
      <c r="B88" s="57"/>
      <c r="C88" s="57"/>
      <c r="D88" s="131"/>
      <c r="K88" s="53"/>
      <c r="L88" s="57"/>
      <c r="M88" s="57"/>
      <c r="N88" s="53"/>
      <c r="O88" s="53"/>
      <c r="P88" s="53"/>
      <c r="Q88" s="53"/>
      <c r="R88" s="57"/>
      <c r="S88" s="53"/>
      <c r="T88" s="53"/>
      <c r="U88" s="706"/>
      <c r="V88" s="53"/>
      <c r="W88" s="53"/>
      <c r="X88" s="53"/>
      <c r="Y88" s="53"/>
      <c r="Z88" s="53"/>
      <c r="AA88" s="56"/>
      <c r="AB88" s="54"/>
      <c r="AC88" s="54"/>
      <c r="AD88" s="54"/>
      <c r="AE88" s="54"/>
      <c r="AF88" s="131">
        <v>11</v>
      </c>
    </row>
    <row r="89" s="131" customFormat="1" ht="11.5" customHeight="1">
      <c r="A89" s="705"/>
      <c r="B89" s="57"/>
      <c r="C89" s="57"/>
      <c r="D89" s="131"/>
      <c r="K89" s="53"/>
      <c r="L89" s="57"/>
      <c r="M89" s="57"/>
      <c r="N89" s="53"/>
      <c r="O89" s="53"/>
      <c r="P89" s="53"/>
      <c r="Q89" s="53"/>
      <c r="R89" s="57"/>
      <c r="S89" s="53"/>
      <c r="T89" s="53"/>
      <c r="U89" s="706"/>
      <c r="V89" s="53"/>
      <c r="W89" s="53"/>
      <c r="X89" s="53"/>
      <c r="Y89" s="53"/>
      <c r="Z89" s="53"/>
      <c r="AA89" s="56"/>
      <c r="AB89" s="54"/>
      <c r="AC89" s="54"/>
      <c r="AD89" s="54"/>
      <c r="AE89" s="54"/>
      <c r="AF89" s="131">
        <v>11</v>
      </c>
    </row>
    <row r="90" s="131" customFormat="1" ht="11.5" customHeight="1">
      <c r="A90" s="705"/>
      <c r="B90" s="57"/>
      <c r="C90" s="57"/>
      <c r="D90" s="131"/>
      <c r="K90" s="53"/>
      <c r="L90" s="57"/>
      <c r="M90" s="57"/>
      <c r="N90" s="53"/>
      <c r="O90" s="53"/>
      <c r="P90" s="53"/>
      <c r="Q90" s="53"/>
      <c r="R90" s="57"/>
      <c r="S90" s="53"/>
      <c r="T90" s="53"/>
      <c r="U90" s="706"/>
      <c r="V90" s="53"/>
      <c r="W90" s="53"/>
      <c r="X90" s="53"/>
      <c r="Y90" s="53"/>
      <c r="Z90" s="53"/>
      <c r="AA90" s="56"/>
      <c r="AB90" s="54"/>
      <c r="AC90" s="54"/>
      <c r="AD90" s="54"/>
      <c r="AE90" s="54"/>
      <c r="AF90" s="131">
        <v>11</v>
      </c>
    </row>
    <row r="91" s="131" customFormat="1" ht="11.5" customHeight="1">
      <c r="A91" s="705"/>
      <c r="B91" s="57"/>
      <c r="C91" s="57"/>
      <c r="D91" s="131"/>
      <c r="K91" s="53"/>
      <c r="L91" s="57"/>
      <c r="M91" s="57"/>
      <c r="N91" s="53"/>
      <c r="O91" s="53"/>
      <c r="P91" s="53"/>
      <c r="Q91" s="53"/>
      <c r="R91" s="57"/>
      <c r="S91" s="53"/>
      <c r="T91" s="53"/>
      <c r="U91" s="706"/>
      <c r="V91" s="53"/>
      <c r="W91" s="53"/>
      <c r="X91" s="53"/>
      <c r="Y91" s="53"/>
      <c r="Z91" s="53"/>
      <c r="AA91" s="56"/>
      <c r="AB91" s="54"/>
      <c r="AC91" s="54"/>
      <c r="AD91" s="54"/>
      <c r="AE91" s="54"/>
      <c r="AF91" s="131">
        <v>11</v>
      </c>
    </row>
    <row r="92" s="131" customFormat="1" ht="11.5" customHeight="1">
      <c r="A92" s="705"/>
      <c r="B92" s="57"/>
      <c r="C92" s="57"/>
      <c r="D92" s="131"/>
      <c r="K92" s="53"/>
      <c r="L92" s="57"/>
      <c r="M92" s="57"/>
      <c r="N92" s="53"/>
      <c r="O92" s="53"/>
      <c r="P92" s="53"/>
      <c r="Q92" s="53"/>
      <c r="R92" s="57"/>
      <c r="S92" s="53"/>
      <c r="T92" s="53"/>
      <c r="U92" s="706"/>
      <c r="V92" s="53"/>
      <c r="W92" s="53"/>
      <c r="X92" s="53"/>
      <c r="Y92" s="53"/>
      <c r="Z92" s="53"/>
      <c r="AA92" s="56"/>
      <c r="AB92" s="54"/>
      <c r="AC92" s="54"/>
      <c r="AD92" s="54"/>
      <c r="AE92" s="54"/>
      <c r="AF92" s="131">
        <v>11</v>
      </c>
    </row>
    <row r="93" s="131" customFormat="1" ht="11.5" customHeight="1">
      <c r="A93" s="705"/>
      <c r="B93" s="57"/>
      <c r="C93" s="57"/>
      <c r="D93" s="131"/>
      <c r="K93" s="53"/>
      <c r="L93" s="57"/>
      <c r="M93" s="57"/>
      <c r="N93" s="53"/>
      <c r="O93" s="53"/>
      <c r="P93" s="53"/>
      <c r="Q93" s="53"/>
      <c r="R93" s="57"/>
      <c r="S93" s="53"/>
      <c r="T93" s="53"/>
      <c r="U93" s="706"/>
      <c r="V93" s="53"/>
      <c r="W93" s="53"/>
      <c r="X93" s="53"/>
      <c r="Y93" s="53"/>
      <c r="Z93" s="53"/>
      <c r="AA93" s="56"/>
      <c r="AB93" s="54"/>
      <c r="AC93" s="54"/>
      <c r="AD93" s="54"/>
      <c r="AE93" s="54"/>
      <c r="AF93" s="131">
        <v>11</v>
      </c>
    </row>
    <row r="94" s="131" customFormat="1" ht="11.5" customHeight="1">
      <c r="A94" s="705"/>
      <c r="B94" s="57"/>
      <c r="C94" s="57"/>
      <c r="D94" s="131"/>
      <c r="K94" s="53"/>
      <c r="L94" s="57"/>
      <c r="M94" s="57"/>
      <c r="N94" s="53"/>
      <c r="O94" s="53"/>
      <c r="P94" s="53"/>
      <c r="Q94" s="53"/>
      <c r="R94" s="57"/>
      <c r="S94" s="53"/>
      <c r="T94" s="53"/>
      <c r="U94" s="706"/>
      <c r="V94" s="53"/>
      <c r="W94" s="53"/>
      <c r="X94" s="53"/>
      <c r="Y94" s="53"/>
      <c r="Z94" s="53"/>
      <c r="AA94" s="56"/>
      <c r="AB94" s="54"/>
      <c r="AC94" s="54"/>
      <c r="AD94" s="54"/>
      <c r="AE94" s="54"/>
      <c r="AF94" s="131">
        <v>11</v>
      </c>
    </row>
    <row r="95" s="131" customFormat="1" ht="11.5" customHeight="1">
      <c r="A95" s="705"/>
      <c r="B95" s="57"/>
      <c r="C95" s="57"/>
      <c r="D95" s="131"/>
      <c r="K95" s="53"/>
      <c r="L95" s="57"/>
      <c r="M95" s="57"/>
      <c r="N95" s="53"/>
      <c r="O95" s="53"/>
      <c r="P95" s="53"/>
      <c r="Q95" s="53"/>
      <c r="R95" s="57"/>
      <c r="S95" s="53"/>
      <c r="T95" s="53"/>
      <c r="U95" s="706"/>
      <c r="V95" s="53"/>
      <c r="W95" s="53"/>
      <c r="X95" s="53"/>
      <c r="Y95" s="53"/>
      <c r="Z95" s="53"/>
      <c r="AA95" s="56"/>
      <c r="AB95" s="54"/>
      <c r="AC95" s="54"/>
      <c r="AD95" s="54"/>
      <c r="AE95" s="54"/>
      <c r="AF95" s="131">
        <v>11</v>
      </c>
    </row>
    <row r="96" s="131" customFormat="1" ht="11.5" customHeight="1">
      <c r="A96" s="705"/>
      <c r="B96" s="57"/>
      <c r="C96" s="57"/>
      <c r="D96" s="131"/>
      <c r="K96" s="53"/>
      <c r="L96" s="57"/>
      <c r="M96" s="57"/>
      <c r="N96" s="53"/>
      <c r="O96" s="53"/>
      <c r="P96" s="53"/>
      <c r="Q96" s="53"/>
      <c r="R96" s="57"/>
      <c r="S96" s="53"/>
      <c r="T96" s="53"/>
      <c r="U96" s="706"/>
      <c r="V96" s="53"/>
      <c r="W96" s="53"/>
      <c r="X96" s="53"/>
      <c r="Y96" s="53"/>
      <c r="Z96" s="53"/>
      <c r="AA96" s="56"/>
      <c r="AB96" s="54"/>
      <c r="AC96" s="54"/>
      <c r="AD96" s="54"/>
      <c r="AE96" s="54"/>
      <c r="AF96" s="131">
        <v>11</v>
      </c>
    </row>
    <row r="97" s="131" customFormat="1" ht="11.5" customHeight="1">
      <c r="A97" s="705"/>
      <c r="B97" s="57"/>
      <c r="C97" s="57"/>
      <c r="D97" s="131"/>
      <c r="K97" s="53"/>
      <c r="L97" s="57"/>
      <c r="M97" s="57"/>
      <c r="N97" s="53"/>
      <c r="O97" s="53"/>
      <c r="P97" s="53"/>
      <c r="Q97" s="53"/>
      <c r="R97" s="57"/>
      <c r="S97" s="53"/>
      <c r="T97" s="53"/>
      <c r="U97" s="706"/>
      <c r="V97" s="53"/>
      <c r="W97" s="53"/>
      <c r="X97" s="53"/>
      <c r="Y97" s="53"/>
      <c r="Z97" s="53"/>
      <c r="AA97" s="56"/>
      <c r="AB97" s="54"/>
      <c r="AC97" s="54"/>
      <c r="AD97" s="54"/>
      <c r="AE97" s="54"/>
      <c r="AF97" s="131">
        <v>11</v>
      </c>
    </row>
    <row r="98" s="131" customFormat="1" ht="11.5" customHeight="1">
      <c r="A98" s="705"/>
      <c r="B98" s="57"/>
      <c r="C98" s="57"/>
      <c r="D98" s="131"/>
      <c r="K98" s="53"/>
      <c r="L98" s="57"/>
      <c r="M98" s="57"/>
      <c r="N98" s="53"/>
      <c r="O98" s="53"/>
      <c r="P98" s="53"/>
      <c r="Q98" s="53"/>
      <c r="R98" s="57"/>
      <c r="S98" s="53"/>
      <c r="T98" s="53"/>
      <c r="U98" s="706"/>
      <c r="V98" s="53"/>
      <c r="W98" s="53"/>
      <c r="X98" s="53"/>
      <c r="Y98" s="53"/>
      <c r="Z98" s="53"/>
      <c r="AA98" s="56"/>
      <c r="AB98" s="54"/>
      <c r="AC98" s="54"/>
      <c r="AD98" s="54"/>
      <c r="AE98" s="54"/>
      <c r="AF98" s="131">
        <v>11</v>
      </c>
    </row>
    <row r="99" s="131" customFormat="1" ht="11.5" customHeight="1">
      <c r="A99" s="705"/>
      <c r="B99" s="57"/>
      <c r="C99" s="57"/>
      <c r="D99" s="131"/>
      <c r="K99" s="53"/>
      <c r="L99" s="57"/>
      <c r="M99" s="57"/>
      <c r="N99" s="53"/>
      <c r="O99" s="53"/>
      <c r="P99" s="53"/>
      <c r="Q99" s="53"/>
      <c r="R99" s="57"/>
      <c r="S99" s="53"/>
      <c r="T99" s="53"/>
      <c r="U99" s="706"/>
      <c r="V99" s="53"/>
      <c r="W99" s="53"/>
      <c r="X99" s="53"/>
      <c r="Y99" s="53"/>
      <c r="Z99" s="53"/>
      <c r="AA99" s="56"/>
      <c r="AB99" s="54"/>
      <c r="AC99" s="54"/>
      <c r="AD99" s="54"/>
      <c r="AE99" s="54"/>
      <c r="AF99" s="131">
        <v>11</v>
      </c>
    </row>
    <row r="100" s="131" customFormat="1" ht="11.5" customHeight="1">
      <c r="A100" s="705"/>
      <c r="B100" s="57"/>
      <c r="C100" s="57"/>
      <c r="D100" s="131"/>
      <c r="K100" s="53"/>
      <c r="L100" s="57"/>
      <c r="M100" s="57"/>
      <c r="N100" s="53"/>
      <c r="O100" s="53"/>
      <c r="P100" s="53"/>
      <c r="Q100" s="53"/>
      <c r="R100" s="57"/>
      <c r="S100" s="53"/>
      <c r="T100" s="53"/>
      <c r="U100" s="706"/>
      <c r="V100" s="53"/>
      <c r="W100" s="53"/>
      <c r="X100" s="53"/>
      <c r="Y100" s="53"/>
      <c r="Z100" s="53"/>
      <c r="AA100" s="56"/>
      <c r="AB100" s="54"/>
      <c r="AC100" s="54"/>
      <c r="AD100" s="54"/>
      <c r="AE100" s="54"/>
      <c r="AF100" s="131">
        <v>11</v>
      </c>
    </row>
    <row r="101" s="131" customFormat="1" ht="11.5" customHeight="1">
      <c r="A101" s="705"/>
      <c r="B101" s="57"/>
      <c r="C101" s="57"/>
      <c r="D101" s="131"/>
      <c r="K101" s="53"/>
      <c r="L101" s="57"/>
      <c r="M101" s="57"/>
      <c r="N101" s="53"/>
      <c r="O101" s="53"/>
      <c r="P101" s="53"/>
      <c r="Q101" s="53"/>
      <c r="R101" s="57"/>
      <c r="S101" s="53"/>
      <c r="T101" s="53"/>
      <c r="U101" s="706"/>
      <c r="V101" s="53"/>
      <c r="W101" s="53"/>
      <c r="X101" s="53"/>
      <c r="Y101" s="53"/>
      <c r="Z101" s="53"/>
      <c r="AA101" s="56"/>
      <c r="AB101" s="54"/>
      <c r="AC101" s="54"/>
      <c r="AD101" s="54"/>
      <c r="AE101" s="54"/>
      <c r="AF101" s="131">
        <v>11</v>
      </c>
    </row>
    <row r="102" s="131" customFormat="1" ht="11.5" customHeight="1">
      <c r="A102" s="705"/>
      <c r="B102" s="57"/>
      <c r="C102" s="57"/>
      <c r="D102" s="131"/>
      <c r="K102" s="53"/>
      <c r="L102" s="57"/>
      <c r="M102" s="57"/>
      <c r="N102" s="53"/>
      <c r="O102" s="53"/>
      <c r="P102" s="53"/>
      <c r="Q102" s="53"/>
      <c r="R102" s="57"/>
      <c r="S102" s="53"/>
      <c r="T102" s="53"/>
      <c r="U102" s="706"/>
      <c r="V102" s="53"/>
      <c r="W102" s="53"/>
      <c r="X102" s="53"/>
      <c r="Y102" s="53"/>
      <c r="Z102" s="53"/>
      <c r="AA102" s="56"/>
      <c r="AB102" s="54"/>
      <c r="AC102" s="54"/>
      <c r="AD102" s="54"/>
      <c r="AE102" s="54"/>
      <c r="AF102" s="131">
        <v>11</v>
      </c>
    </row>
    <row r="103" s="131" customFormat="1" ht="11.5" customHeight="1">
      <c r="A103" s="705"/>
      <c r="B103" s="57"/>
      <c r="C103" s="57"/>
      <c r="D103" s="131"/>
      <c r="K103" s="53"/>
      <c r="L103" s="57"/>
      <c r="M103" s="57"/>
      <c r="N103" s="53"/>
      <c r="O103" s="53"/>
      <c r="P103" s="53"/>
      <c r="Q103" s="53"/>
      <c r="R103" s="57"/>
      <c r="S103" s="53"/>
      <c r="T103" s="53"/>
      <c r="U103" s="706"/>
      <c r="V103" s="53"/>
      <c r="W103" s="53"/>
      <c r="X103" s="53"/>
      <c r="Y103" s="53"/>
      <c r="Z103" s="53"/>
      <c r="AA103" s="56"/>
      <c r="AB103" s="54"/>
      <c r="AC103" s="54"/>
      <c r="AD103" s="54"/>
      <c r="AE103" s="54"/>
      <c r="AF103" s="131">
        <v>11</v>
      </c>
    </row>
    <row r="104" s="131" customFormat="1" ht="11.5" customHeight="1">
      <c r="A104" s="705"/>
      <c r="B104" s="57"/>
      <c r="C104" s="57"/>
      <c r="D104" s="131"/>
      <c r="K104" s="53"/>
      <c r="L104" s="57"/>
      <c r="M104" s="57"/>
      <c r="N104" s="53"/>
      <c r="O104" s="53"/>
      <c r="P104" s="53"/>
      <c r="Q104" s="53"/>
      <c r="R104" s="57"/>
      <c r="S104" s="53"/>
      <c r="T104" s="53"/>
      <c r="U104" s="706"/>
      <c r="V104" s="53"/>
      <c r="W104" s="53"/>
      <c r="X104" s="53"/>
      <c r="Y104" s="53"/>
      <c r="Z104" s="53"/>
      <c r="AA104" s="56"/>
      <c r="AB104" s="54"/>
      <c r="AC104" s="54"/>
      <c r="AD104" s="54"/>
      <c r="AE104" s="54"/>
      <c r="AF104" s="131">
        <v>11</v>
      </c>
    </row>
    <row r="105" s="131" customFormat="1" ht="11.5" customHeight="1">
      <c r="A105" s="705"/>
      <c r="B105" s="57"/>
      <c r="C105" s="57"/>
      <c r="D105" s="131"/>
      <c r="K105" s="53"/>
      <c r="L105" s="57"/>
      <c r="M105" s="57"/>
      <c r="N105" s="53"/>
      <c r="O105" s="53"/>
      <c r="P105" s="53"/>
      <c r="Q105" s="53"/>
      <c r="R105" s="57"/>
      <c r="S105" s="53"/>
      <c r="T105" s="53"/>
      <c r="U105" s="706"/>
      <c r="V105" s="53"/>
      <c r="W105" s="53"/>
      <c r="X105" s="53"/>
      <c r="Y105" s="53"/>
      <c r="Z105" s="53"/>
      <c r="AA105" s="56"/>
      <c r="AB105" s="54"/>
      <c r="AC105" s="54"/>
      <c r="AD105" s="54"/>
      <c r="AE105" s="54"/>
      <c r="AF105" s="131">
        <v>11</v>
      </c>
    </row>
    <row r="106" s="131" customFormat="1" ht="11.5" customHeight="1">
      <c r="A106" s="705"/>
      <c r="B106" s="57"/>
      <c r="C106" s="57"/>
      <c r="D106" s="131"/>
      <c r="K106" s="53"/>
      <c r="L106" s="57"/>
      <c r="M106" s="57"/>
      <c r="N106" s="53"/>
      <c r="O106" s="53"/>
      <c r="P106" s="53"/>
      <c r="Q106" s="53"/>
      <c r="R106" s="57"/>
      <c r="S106" s="53"/>
      <c r="T106" s="53"/>
      <c r="U106" s="706"/>
      <c r="V106" s="53"/>
      <c r="W106" s="53"/>
      <c r="X106" s="53"/>
      <c r="Y106" s="53"/>
      <c r="Z106" s="53"/>
      <c r="AA106" s="56"/>
      <c r="AB106" s="54"/>
      <c r="AC106" s="54"/>
      <c r="AD106" s="54"/>
      <c r="AE106" s="54"/>
      <c r="AF106" s="131">
        <v>11</v>
      </c>
    </row>
    <row r="107" s="131" customFormat="1" ht="11.5" customHeight="1">
      <c r="A107" s="705"/>
      <c r="B107" s="57"/>
      <c r="C107" s="57"/>
      <c r="D107" s="131"/>
      <c r="K107" s="53"/>
      <c r="L107" s="57"/>
      <c r="M107" s="57"/>
      <c r="N107" s="53"/>
      <c r="O107" s="53"/>
      <c r="P107" s="53"/>
      <c r="Q107" s="53"/>
      <c r="R107" s="57"/>
      <c r="S107" s="53"/>
      <c r="T107" s="53"/>
      <c r="U107" s="706"/>
      <c r="V107" s="53"/>
      <c r="W107" s="53"/>
      <c r="X107" s="53"/>
      <c r="Y107" s="53"/>
      <c r="Z107" s="53"/>
      <c r="AA107" s="56"/>
      <c r="AB107" s="54"/>
      <c r="AC107" s="54"/>
      <c r="AD107" s="54"/>
      <c r="AE107" s="54"/>
      <c r="AF107" s="131">
        <v>11</v>
      </c>
    </row>
    <row r="108" s="131" customFormat="1" ht="11.5" customHeight="1">
      <c r="A108" s="705"/>
      <c r="B108" s="57"/>
      <c r="C108" s="57"/>
      <c r="D108" s="131"/>
      <c r="K108" s="53"/>
      <c r="L108" s="57"/>
      <c r="M108" s="57"/>
      <c r="N108" s="53"/>
      <c r="O108" s="53"/>
      <c r="P108" s="53"/>
      <c r="Q108" s="53"/>
      <c r="R108" s="57"/>
      <c r="S108" s="53"/>
      <c r="T108" s="53"/>
      <c r="U108" s="706"/>
      <c r="V108" s="53"/>
      <c r="W108" s="53"/>
      <c r="X108" s="53"/>
      <c r="Y108" s="53"/>
      <c r="Z108" s="53"/>
      <c r="AA108" s="56"/>
      <c r="AB108" s="54"/>
      <c r="AC108" s="54"/>
      <c r="AD108" s="54"/>
      <c r="AE108" s="54"/>
      <c r="AF108" s="131">
        <v>11</v>
      </c>
    </row>
    <row r="109" s="131" customFormat="1" ht="11.5" customHeight="1">
      <c r="A109" s="705"/>
      <c r="B109" s="57"/>
      <c r="C109" s="57"/>
      <c r="D109" s="131"/>
      <c r="K109" s="53"/>
      <c r="L109" s="57"/>
      <c r="M109" s="57"/>
      <c r="N109" s="53"/>
      <c r="O109" s="53"/>
      <c r="P109" s="53"/>
      <c r="Q109" s="53"/>
      <c r="R109" s="57"/>
      <c r="S109" s="53"/>
      <c r="T109" s="53"/>
      <c r="U109" s="706"/>
      <c r="V109" s="53"/>
      <c r="W109" s="53"/>
      <c r="X109" s="53"/>
      <c r="Y109" s="53"/>
      <c r="Z109" s="53"/>
      <c r="AA109" s="56"/>
      <c r="AB109" s="54"/>
      <c r="AC109" s="54"/>
      <c r="AD109" s="54"/>
      <c r="AE109" s="54"/>
      <c r="AF109" s="131">
        <v>11</v>
      </c>
    </row>
    <row r="110" s="131" customFormat="1" ht="11.5" customHeight="1">
      <c r="A110" s="705"/>
      <c r="B110" s="57"/>
      <c r="C110" s="57"/>
      <c r="D110" s="131"/>
      <c r="K110" s="53"/>
      <c r="L110" s="57"/>
      <c r="M110" s="57"/>
      <c r="N110" s="53"/>
      <c r="O110" s="53"/>
      <c r="P110" s="53"/>
      <c r="Q110" s="53"/>
      <c r="R110" s="57"/>
      <c r="S110" s="53"/>
      <c r="T110" s="53"/>
      <c r="U110" s="706"/>
      <c r="V110" s="53"/>
      <c r="W110" s="53"/>
      <c r="X110" s="53"/>
      <c r="Y110" s="53"/>
      <c r="Z110" s="53"/>
      <c r="AA110" s="56"/>
      <c r="AB110" s="54"/>
      <c r="AC110" s="54"/>
      <c r="AD110" s="54"/>
      <c r="AE110" s="54"/>
      <c r="AF110" s="131">
        <v>11</v>
      </c>
    </row>
    <row r="111" s="131" customFormat="1" ht="11.5" customHeight="1">
      <c r="A111" s="705"/>
      <c r="B111" s="57"/>
      <c r="C111" s="57"/>
      <c r="D111" s="131"/>
      <c r="K111" s="53"/>
      <c r="L111" s="57"/>
      <c r="M111" s="57"/>
      <c r="N111" s="53"/>
      <c r="O111" s="53"/>
      <c r="P111" s="53"/>
      <c r="Q111" s="53"/>
      <c r="R111" s="57"/>
      <c r="S111" s="53"/>
      <c r="T111" s="53"/>
      <c r="U111" s="706"/>
      <c r="V111" s="53"/>
      <c r="W111" s="53"/>
      <c r="X111" s="53"/>
      <c r="Y111" s="53"/>
      <c r="Z111" s="53"/>
      <c r="AA111" s="56"/>
      <c r="AB111" s="54"/>
      <c r="AC111" s="54"/>
      <c r="AD111" s="54"/>
      <c r="AE111" s="54"/>
      <c r="AF111" s="131">
        <v>11</v>
      </c>
    </row>
    <row r="112" s="131" customFormat="1" ht="11.5" customHeight="1">
      <c r="A112" s="705"/>
      <c r="B112" s="57"/>
      <c r="C112" s="57"/>
      <c r="D112" s="131"/>
      <c r="K112" s="53"/>
      <c r="L112" s="57"/>
      <c r="M112" s="57"/>
      <c r="N112" s="53"/>
      <c r="O112" s="53"/>
      <c r="P112" s="53"/>
      <c r="Q112" s="53"/>
      <c r="R112" s="57"/>
      <c r="S112" s="53"/>
      <c r="T112" s="53"/>
      <c r="U112" s="706"/>
      <c r="V112" s="53"/>
      <c r="W112" s="53"/>
      <c r="X112" s="53"/>
      <c r="Y112" s="53"/>
      <c r="Z112" s="53"/>
      <c r="AA112" s="56"/>
      <c r="AB112" s="54"/>
      <c r="AC112" s="54"/>
      <c r="AD112" s="54"/>
      <c r="AE112" s="54"/>
      <c r="AF112" s="131">
        <v>11</v>
      </c>
    </row>
    <row r="113" s="131" customFormat="1" ht="11.5" customHeight="1">
      <c r="A113" s="705"/>
      <c r="B113" s="57"/>
      <c r="C113" s="57"/>
      <c r="D113" s="131"/>
      <c r="K113" s="53"/>
      <c r="L113" s="57"/>
      <c r="M113" s="57"/>
      <c r="N113" s="53"/>
      <c r="O113" s="53"/>
      <c r="P113" s="53"/>
      <c r="Q113" s="53"/>
      <c r="R113" s="57"/>
      <c r="S113" s="53"/>
      <c r="T113" s="53"/>
      <c r="U113" s="706"/>
      <c r="V113" s="53"/>
      <c r="W113" s="53"/>
      <c r="X113" s="53"/>
      <c r="Y113" s="53"/>
      <c r="Z113" s="53"/>
      <c r="AA113" s="56"/>
      <c r="AB113" s="54"/>
      <c r="AC113" s="54"/>
      <c r="AD113" s="54"/>
      <c r="AE113" s="54"/>
      <c r="AF113" s="131">
        <v>11</v>
      </c>
    </row>
    <row r="114" s="131" customFormat="1" ht="11.5" customHeight="1">
      <c r="A114" s="705"/>
      <c r="B114" s="57"/>
      <c r="C114" s="57"/>
      <c r="D114" s="131"/>
      <c r="K114" s="53"/>
      <c r="L114" s="57"/>
      <c r="M114" s="57"/>
      <c r="N114" s="53"/>
      <c r="O114" s="53"/>
      <c r="P114" s="53"/>
      <c r="Q114" s="53"/>
      <c r="R114" s="57"/>
      <c r="S114" s="53"/>
      <c r="T114" s="53"/>
      <c r="U114" s="706"/>
      <c r="V114" s="53"/>
      <c r="W114" s="53"/>
      <c r="X114" s="53"/>
      <c r="Y114" s="53"/>
      <c r="Z114" s="53"/>
      <c r="AA114" s="56"/>
      <c r="AB114" s="54"/>
      <c r="AC114" s="54"/>
      <c r="AD114" s="54"/>
      <c r="AE114" s="54"/>
      <c r="AF114" s="131">
        <v>11</v>
      </c>
    </row>
    <row r="115" s="131" customFormat="1" ht="11.5" customHeight="1">
      <c r="A115" s="705"/>
      <c r="B115" s="57"/>
      <c r="C115" s="57"/>
      <c r="D115" s="131"/>
      <c r="K115" s="53"/>
      <c r="L115" s="57"/>
      <c r="M115" s="57"/>
      <c r="N115" s="53"/>
      <c r="O115" s="53"/>
      <c r="P115" s="53"/>
      <c r="Q115" s="53"/>
      <c r="R115" s="57"/>
      <c r="S115" s="53"/>
      <c r="T115" s="53"/>
      <c r="U115" s="706"/>
      <c r="V115" s="53"/>
      <c r="W115" s="53"/>
      <c r="X115" s="53"/>
      <c r="Y115" s="53"/>
      <c r="Z115" s="53"/>
      <c r="AA115" s="56"/>
      <c r="AB115" s="54"/>
      <c r="AC115" s="54"/>
      <c r="AD115" s="54"/>
      <c r="AE115" s="54"/>
      <c r="AF115" s="131">
        <v>11</v>
      </c>
    </row>
    <row r="116" s="131" customFormat="1" ht="11.5" customHeight="1">
      <c r="A116" s="705"/>
      <c r="B116" s="57"/>
      <c r="C116" s="57"/>
      <c r="D116" s="131"/>
      <c r="K116" s="53"/>
      <c r="L116" s="57"/>
      <c r="M116" s="57"/>
      <c r="N116" s="53"/>
      <c r="O116" s="53"/>
      <c r="P116" s="53"/>
      <c r="Q116" s="53"/>
      <c r="R116" s="57"/>
      <c r="S116" s="53"/>
      <c r="T116" s="53"/>
      <c r="U116" s="706"/>
      <c r="V116" s="53"/>
      <c r="W116" s="53"/>
      <c r="X116" s="53"/>
      <c r="Y116" s="53"/>
      <c r="Z116" s="53"/>
      <c r="AA116" s="56"/>
      <c r="AB116" s="54"/>
      <c r="AC116" s="54"/>
      <c r="AD116" s="54"/>
      <c r="AE116" s="54"/>
      <c r="AF116" s="131">
        <v>11</v>
      </c>
    </row>
    <row r="117" s="131" customFormat="1" ht="11.5" customHeight="1">
      <c r="A117" s="705"/>
      <c r="B117" s="57"/>
      <c r="C117" s="57"/>
      <c r="D117" s="131"/>
      <c r="K117" s="53"/>
      <c r="L117" s="57"/>
      <c r="M117" s="57"/>
      <c r="N117" s="53"/>
      <c r="O117" s="53"/>
      <c r="P117" s="53"/>
      <c r="Q117" s="53"/>
      <c r="R117" s="57"/>
      <c r="S117" s="53"/>
      <c r="T117" s="53"/>
      <c r="U117" s="706"/>
      <c r="V117" s="53"/>
      <c r="W117" s="53"/>
      <c r="X117" s="53"/>
      <c r="Y117" s="53"/>
      <c r="Z117" s="53"/>
      <c r="AA117" s="56"/>
      <c r="AB117" s="54"/>
      <c r="AC117" s="54"/>
      <c r="AD117" s="54"/>
      <c r="AE117" s="54"/>
      <c r="AF117" s="131">
        <v>11</v>
      </c>
    </row>
    <row r="118" s="131" customFormat="1" ht="11.5" customHeight="1">
      <c r="A118" s="705"/>
      <c r="B118" s="57"/>
      <c r="C118" s="57"/>
      <c r="D118" s="131"/>
      <c r="K118" s="53"/>
      <c r="L118" s="57"/>
      <c r="M118" s="57"/>
      <c r="N118" s="53"/>
      <c r="O118" s="53"/>
      <c r="P118" s="53"/>
      <c r="Q118" s="53"/>
      <c r="R118" s="57"/>
      <c r="S118" s="53"/>
      <c r="T118" s="53"/>
      <c r="U118" s="706"/>
      <c r="V118" s="53"/>
      <c r="W118" s="53"/>
      <c r="X118" s="53"/>
      <c r="Y118" s="53"/>
      <c r="Z118" s="53"/>
      <c r="AA118" s="56"/>
      <c r="AB118" s="54"/>
      <c r="AC118" s="54"/>
      <c r="AD118" s="54"/>
      <c r="AE118" s="54"/>
      <c r="AF118" s="131">
        <v>11</v>
      </c>
    </row>
    <row r="119" s="131" customFormat="1" ht="11.5" customHeight="1">
      <c r="A119" s="705"/>
      <c r="B119" s="57"/>
      <c r="C119" s="57"/>
      <c r="D119" s="131"/>
      <c r="K119" s="53"/>
      <c r="L119" s="57"/>
      <c r="M119" s="57"/>
      <c r="N119" s="53"/>
      <c r="O119" s="53"/>
      <c r="P119" s="53"/>
      <c r="Q119" s="53"/>
      <c r="R119" s="57"/>
      <c r="S119" s="53"/>
      <c r="T119" s="53"/>
      <c r="U119" s="706"/>
      <c r="V119" s="53"/>
      <c r="W119" s="53"/>
      <c r="X119" s="53"/>
      <c r="Y119" s="53"/>
      <c r="Z119" s="53"/>
      <c r="AA119" s="56"/>
      <c r="AB119" s="54"/>
      <c r="AC119" s="54"/>
      <c r="AD119" s="54"/>
      <c r="AE119" s="54"/>
      <c r="AF119" s="131">
        <v>11</v>
      </c>
    </row>
    <row r="120" s="131" customFormat="1" ht="11.5" customHeight="1">
      <c r="A120" s="705"/>
      <c r="B120" s="57"/>
      <c r="C120" s="57"/>
      <c r="D120" s="131"/>
      <c r="K120" s="53"/>
      <c r="L120" s="57"/>
      <c r="M120" s="57"/>
      <c r="N120" s="53"/>
      <c r="O120" s="53"/>
      <c r="P120" s="53"/>
      <c r="Q120" s="53"/>
      <c r="R120" s="57"/>
      <c r="S120" s="53"/>
      <c r="T120" s="53"/>
      <c r="U120" s="706"/>
      <c r="V120" s="53"/>
      <c r="W120" s="53"/>
      <c r="X120" s="53"/>
      <c r="Y120" s="53"/>
      <c r="Z120" s="53"/>
      <c r="AA120" s="56"/>
      <c r="AB120" s="54"/>
      <c r="AC120" s="54"/>
      <c r="AD120" s="54"/>
      <c r="AE120" s="54"/>
      <c r="AF120" s="131">
        <v>11</v>
      </c>
    </row>
    <row r="121" s="131" customFormat="1" ht="11.5" customHeight="1">
      <c r="A121" s="705"/>
      <c r="B121" s="57"/>
      <c r="C121" s="57"/>
      <c r="D121" s="131"/>
      <c r="K121" s="53"/>
      <c r="L121" s="57"/>
      <c r="M121" s="57"/>
      <c r="N121" s="53"/>
      <c r="O121" s="53"/>
      <c r="P121" s="53"/>
      <c r="Q121" s="53"/>
      <c r="R121" s="57"/>
      <c r="S121" s="53"/>
      <c r="T121" s="53"/>
      <c r="U121" s="706"/>
      <c r="V121" s="53"/>
      <c r="W121" s="53"/>
      <c r="X121" s="53"/>
      <c r="Y121" s="53"/>
      <c r="Z121" s="53"/>
      <c r="AA121" s="56"/>
      <c r="AB121" s="54"/>
      <c r="AC121" s="54"/>
      <c r="AD121" s="54"/>
      <c r="AE121" s="54"/>
      <c r="AF121" s="131">
        <v>11</v>
      </c>
    </row>
    <row r="122" s="131" customFormat="1" ht="11.5" customHeight="1">
      <c r="A122" s="705"/>
      <c r="B122" s="57"/>
      <c r="C122" s="57"/>
      <c r="D122" s="131"/>
      <c r="K122" s="53"/>
      <c r="L122" s="57"/>
      <c r="M122" s="57"/>
      <c r="N122" s="53"/>
      <c r="O122" s="53"/>
      <c r="P122" s="53"/>
      <c r="Q122" s="53"/>
      <c r="R122" s="57"/>
      <c r="S122" s="53"/>
      <c r="T122" s="53"/>
      <c r="U122" s="706"/>
      <c r="V122" s="53"/>
      <c r="W122" s="53"/>
      <c r="X122" s="53"/>
      <c r="Y122" s="53"/>
      <c r="Z122" s="53"/>
      <c r="AA122" s="56"/>
      <c r="AB122" s="54"/>
      <c r="AC122" s="54"/>
      <c r="AD122" s="54"/>
      <c r="AE122" s="54"/>
      <c r="AF122" s="131">
        <v>11</v>
      </c>
    </row>
    <row r="123" s="131" customFormat="1" ht="11.5" customHeight="1">
      <c r="A123" s="705"/>
      <c r="B123" s="57"/>
      <c r="C123" s="57"/>
      <c r="D123" s="131"/>
      <c r="K123" s="53"/>
      <c r="L123" s="57"/>
      <c r="M123" s="57"/>
      <c r="N123" s="53"/>
      <c r="O123" s="53"/>
      <c r="P123" s="53"/>
      <c r="Q123" s="53"/>
      <c r="R123" s="57"/>
      <c r="S123" s="53"/>
      <c r="T123" s="53"/>
      <c r="U123" s="706"/>
      <c r="V123" s="53"/>
      <c r="W123" s="53"/>
      <c r="X123" s="53"/>
      <c r="Y123" s="53"/>
      <c r="Z123" s="53"/>
      <c r="AA123" s="56"/>
      <c r="AB123" s="54"/>
      <c r="AC123" s="54"/>
      <c r="AD123" s="54"/>
      <c r="AE123" s="54"/>
      <c r="AF123" s="131">
        <v>11</v>
      </c>
    </row>
    <row r="124" s="131" customFormat="1" ht="11.5" customHeight="1">
      <c r="A124" s="705"/>
      <c r="B124" s="57"/>
      <c r="C124" s="57"/>
      <c r="D124" s="131"/>
      <c r="K124" s="53"/>
      <c r="L124" s="57"/>
      <c r="M124" s="57"/>
      <c r="N124" s="53"/>
      <c r="O124" s="53"/>
      <c r="P124" s="53"/>
      <c r="Q124" s="53"/>
      <c r="R124" s="57"/>
      <c r="S124" s="53"/>
      <c r="T124" s="53"/>
      <c r="U124" s="706"/>
      <c r="V124" s="53"/>
      <c r="W124" s="53"/>
      <c r="X124" s="53"/>
      <c r="Y124" s="53"/>
      <c r="Z124" s="53"/>
      <c r="AA124" s="56"/>
      <c r="AB124" s="54"/>
      <c r="AC124" s="54"/>
      <c r="AD124" s="54"/>
      <c r="AE124" s="54"/>
      <c r="AF124" s="131">
        <v>11</v>
      </c>
    </row>
    <row r="125" s="131" customFormat="1" ht="11.5" customHeight="1">
      <c r="A125" s="705"/>
      <c r="B125" s="57"/>
      <c r="C125" s="57"/>
      <c r="D125" s="131"/>
      <c r="K125" s="53"/>
      <c r="L125" s="57"/>
      <c r="M125" s="57"/>
      <c r="N125" s="53"/>
      <c r="O125" s="53"/>
      <c r="P125" s="53"/>
      <c r="Q125" s="53"/>
      <c r="R125" s="57"/>
      <c r="S125" s="53"/>
      <c r="T125" s="53"/>
      <c r="U125" s="706"/>
      <c r="V125" s="53"/>
      <c r="W125" s="53"/>
      <c r="X125" s="53"/>
      <c r="Y125" s="53"/>
      <c r="Z125" s="53"/>
      <c r="AA125" s="56"/>
      <c r="AB125" s="54"/>
      <c r="AC125" s="54"/>
      <c r="AD125" s="54"/>
      <c r="AE125" s="54"/>
      <c r="AF125" s="131">
        <v>11</v>
      </c>
    </row>
    <row r="126" s="131" customFormat="1" ht="11.5" customHeight="1">
      <c r="A126" s="705"/>
      <c r="B126" s="57"/>
      <c r="C126" s="57"/>
      <c r="D126" s="131"/>
      <c r="K126" s="53"/>
      <c r="L126" s="57"/>
      <c r="M126" s="57"/>
      <c r="N126" s="53"/>
      <c r="O126" s="53"/>
      <c r="P126" s="53"/>
      <c r="Q126" s="53"/>
      <c r="R126" s="57"/>
      <c r="S126" s="53"/>
      <c r="T126" s="53"/>
      <c r="U126" s="706"/>
      <c r="V126" s="53"/>
      <c r="W126" s="53"/>
      <c r="X126" s="53"/>
      <c r="Y126" s="53"/>
      <c r="Z126" s="53"/>
      <c r="AA126" s="56"/>
      <c r="AB126" s="54"/>
      <c r="AC126" s="54"/>
      <c r="AD126" s="54"/>
      <c r="AE126" s="54"/>
      <c r="AF126" s="131">
        <v>11</v>
      </c>
    </row>
    <row r="127" s="131" customFormat="1" ht="11.5" customHeight="1">
      <c r="A127" s="705"/>
      <c r="B127" s="57"/>
      <c r="C127" s="57"/>
      <c r="D127" s="131"/>
      <c r="K127" s="53"/>
      <c r="L127" s="57"/>
      <c r="M127" s="57"/>
      <c r="N127" s="53"/>
      <c r="O127" s="53"/>
      <c r="P127" s="53"/>
      <c r="Q127" s="53"/>
      <c r="R127" s="57"/>
      <c r="S127" s="53"/>
      <c r="T127" s="53"/>
      <c r="U127" s="706"/>
      <c r="V127" s="53"/>
      <c r="W127" s="53"/>
      <c r="X127" s="53"/>
      <c r="Y127" s="53"/>
      <c r="Z127" s="53"/>
      <c r="AA127" s="56"/>
      <c r="AB127" s="54"/>
      <c r="AC127" s="54"/>
      <c r="AD127" s="54"/>
      <c r="AE127" s="54"/>
      <c r="AF127" s="131">
        <v>11</v>
      </c>
    </row>
    <row r="128" s="131" customFormat="1" ht="11.5" customHeight="1">
      <c r="A128" s="705"/>
      <c r="B128" s="57"/>
      <c r="C128" s="57"/>
      <c r="D128" s="131"/>
      <c r="K128" s="53"/>
      <c r="L128" s="57"/>
      <c r="M128" s="57"/>
      <c r="N128" s="53"/>
      <c r="O128" s="53"/>
      <c r="P128" s="53"/>
      <c r="Q128" s="53"/>
      <c r="R128" s="57"/>
      <c r="S128" s="53"/>
      <c r="T128" s="53"/>
      <c r="U128" s="706"/>
      <c r="V128" s="53"/>
      <c r="W128" s="53"/>
      <c r="X128" s="53"/>
      <c r="Y128" s="53"/>
      <c r="Z128" s="53"/>
      <c r="AA128" s="56"/>
      <c r="AB128" s="54"/>
      <c r="AC128" s="54"/>
      <c r="AD128" s="54"/>
      <c r="AE128" s="54"/>
      <c r="AF128" s="131">
        <v>11</v>
      </c>
    </row>
    <row r="129" s="131" customFormat="1" ht="11.5" customHeight="1">
      <c r="A129" s="705"/>
      <c r="B129" s="57"/>
      <c r="C129" s="57"/>
      <c r="D129" s="131"/>
      <c r="K129" s="53"/>
      <c r="L129" s="57"/>
      <c r="M129" s="57"/>
      <c r="N129" s="53"/>
      <c r="O129" s="53"/>
      <c r="P129" s="53"/>
      <c r="Q129" s="53"/>
      <c r="R129" s="57"/>
      <c r="S129" s="53"/>
      <c r="T129" s="53"/>
      <c r="U129" s="706"/>
      <c r="V129" s="53"/>
      <c r="W129" s="53"/>
      <c r="X129" s="53"/>
      <c r="Y129" s="53"/>
      <c r="Z129" s="53"/>
      <c r="AA129" s="56"/>
      <c r="AB129" s="54"/>
      <c r="AC129" s="54"/>
      <c r="AD129" s="54"/>
      <c r="AE129" s="54"/>
      <c r="AF129" s="131">
        <v>11</v>
      </c>
    </row>
    <row r="130" s="131" customFormat="1" ht="11.5" customHeight="1">
      <c r="A130" s="705"/>
      <c r="B130" s="57"/>
      <c r="C130" s="57"/>
      <c r="D130" s="131"/>
      <c r="K130" s="53"/>
      <c r="L130" s="57"/>
      <c r="M130" s="57"/>
      <c r="N130" s="53"/>
      <c r="O130" s="53"/>
      <c r="P130" s="53"/>
      <c r="Q130" s="53"/>
      <c r="R130" s="57"/>
      <c r="S130" s="53"/>
      <c r="T130" s="53"/>
      <c r="U130" s="706"/>
      <c r="V130" s="53"/>
      <c r="W130" s="53"/>
      <c r="X130" s="53"/>
      <c r="Y130" s="53"/>
      <c r="Z130" s="53"/>
      <c r="AA130" s="56"/>
      <c r="AB130" s="54"/>
      <c r="AC130" s="54"/>
      <c r="AD130" s="54"/>
      <c r="AE130" s="54"/>
      <c r="AF130" s="131">
        <v>11</v>
      </c>
    </row>
    <row r="131" s="131" customFormat="1" ht="11.5" customHeight="1">
      <c r="A131" s="705"/>
      <c r="B131" s="57"/>
      <c r="C131" s="57"/>
      <c r="D131" s="131"/>
      <c r="K131" s="53"/>
      <c r="L131" s="57"/>
      <c r="M131" s="57"/>
      <c r="N131" s="53"/>
      <c r="O131" s="53"/>
      <c r="P131" s="53"/>
      <c r="Q131" s="53"/>
      <c r="R131" s="57"/>
      <c r="S131" s="53"/>
      <c r="T131" s="53"/>
      <c r="U131" s="706"/>
      <c r="V131" s="53"/>
      <c r="W131" s="53"/>
      <c r="X131" s="53"/>
      <c r="Y131" s="53"/>
      <c r="Z131" s="53"/>
      <c r="AA131" s="56"/>
      <c r="AB131" s="54"/>
      <c r="AC131" s="54"/>
      <c r="AD131" s="54"/>
      <c r="AE131" s="54"/>
      <c r="AF131" s="131">
        <v>11</v>
      </c>
    </row>
    <row r="132" s="131" customFormat="1" ht="11.5" customHeight="1">
      <c r="A132" s="705"/>
      <c r="B132" s="57"/>
      <c r="C132" s="57"/>
      <c r="D132" s="131"/>
      <c r="K132" s="53"/>
      <c r="L132" s="57"/>
      <c r="M132" s="57"/>
      <c r="N132" s="53"/>
      <c r="O132" s="53"/>
      <c r="P132" s="53"/>
      <c r="Q132" s="53"/>
      <c r="R132" s="57"/>
      <c r="S132" s="53"/>
      <c r="T132" s="53"/>
      <c r="U132" s="706"/>
      <c r="V132" s="53"/>
      <c r="W132" s="53"/>
      <c r="X132" s="53"/>
      <c r="Y132" s="53"/>
      <c r="Z132" s="53"/>
      <c r="AA132" s="56"/>
      <c r="AB132" s="54"/>
      <c r="AC132" s="54"/>
      <c r="AD132" s="54"/>
      <c r="AE132" s="54"/>
      <c r="AF132" s="131">
        <v>11</v>
      </c>
    </row>
    <row r="133" s="131" customFormat="1" ht="11.5" customHeight="1">
      <c r="A133" s="705"/>
      <c r="B133" s="57"/>
      <c r="C133" s="57"/>
      <c r="D133" s="131"/>
      <c r="K133" s="53"/>
      <c r="L133" s="57"/>
      <c r="M133" s="57"/>
      <c r="N133" s="53"/>
      <c r="O133" s="53"/>
      <c r="P133" s="53"/>
      <c r="Q133" s="53"/>
      <c r="R133" s="57"/>
      <c r="S133" s="53"/>
      <c r="T133" s="53"/>
      <c r="U133" s="706"/>
      <c r="V133" s="53"/>
      <c r="W133" s="53"/>
      <c r="X133" s="53"/>
      <c r="Y133" s="53"/>
      <c r="Z133" s="53"/>
      <c r="AA133" s="56"/>
      <c r="AB133" s="54"/>
      <c r="AC133" s="54"/>
      <c r="AD133" s="54"/>
      <c r="AE133" s="54"/>
      <c r="AF133" s="131">
        <v>11</v>
      </c>
    </row>
    <row r="134" s="131" customFormat="1" ht="11.5" customHeight="1">
      <c r="A134" s="705"/>
      <c r="B134" s="57"/>
      <c r="C134" s="57"/>
      <c r="D134" s="131"/>
      <c r="K134" s="53"/>
      <c r="L134" s="57"/>
      <c r="M134" s="57"/>
      <c r="N134" s="53"/>
      <c r="O134" s="53"/>
      <c r="P134" s="53"/>
      <c r="Q134" s="53"/>
      <c r="R134" s="57"/>
      <c r="S134" s="53"/>
      <c r="T134" s="53"/>
      <c r="U134" s="706"/>
      <c r="V134" s="53"/>
      <c r="W134" s="53"/>
      <c r="X134" s="53"/>
      <c r="Y134" s="53"/>
      <c r="Z134" s="53"/>
      <c r="AA134" s="56"/>
      <c r="AB134" s="54"/>
      <c r="AC134" s="54"/>
      <c r="AD134" s="54"/>
      <c r="AE134" s="54"/>
      <c r="AF134" s="131">
        <v>11</v>
      </c>
    </row>
    <row r="135" s="131" customFormat="1" ht="11.5" customHeight="1">
      <c r="A135" s="705"/>
      <c r="B135" s="57"/>
      <c r="C135" s="57"/>
      <c r="D135" s="131"/>
      <c r="K135" s="53"/>
      <c r="L135" s="57"/>
      <c r="M135" s="57"/>
      <c r="N135" s="53"/>
      <c r="O135" s="53"/>
      <c r="P135" s="53"/>
      <c r="Q135" s="53"/>
      <c r="R135" s="57"/>
      <c r="S135" s="53"/>
      <c r="T135" s="53"/>
      <c r="U135" s="706"/>
      <c r="V135" s="53"/>
      <c r="W135" s="53"/>
      <c r="X135" s="53"/>
      <c r="Y135" s="53"/>
      <c r="Z135" s="53"/>
      <c r="AA135" s="56"/>
      <c r="AB135" s="54"/>
      <c r="AC135" s="54"/>
      <c r="AD135" s="54"/>
      <c r="AE135" s="54"/>
      <c r="AF135" s="131">
        <v>11</v>
      </c>
    </row>
    <row r="136" s="131" customFormat="1" ht="11.5" customHeight="1">
      <c r="A136" s="705"/>
      <c r="B136" s="57"/>
      <c r="C136" s="57"/>
      <c r="D136" s="131"/>
      <c r="K136" s="53"/>
      <c r="L136" s="57"/>
      <c r="M136" s="57"/>
      <c r="N136" s="53"/>
      <c r="O136" s="53"/>
      <c r="P136" s="53"/>
      <c r="Q136" s="53"/>
      <c r="R136" s="57"/>
      <c r="S136" s="53"/>
      <c r="T136" s="53"/>
      <c r="U136" s="706"/>
      <c r="V136" s="53"/>
      <c r="W136" s="53"/>
      <c r="X136" s="53"/>
      <c r="Y136" s="53"/>
      <c r="Z136" s="53"/>
      <c r="AA136" s="56"/>
      <c r="AB136" s="54"/>
      <c r="AC136" s="54"/>
      <c r="AD136" s="54"/>
      <c r="AE136" s="54"/>
      <c r="AF136" s="131">
        <v>11</v>
      </c>
    </row>
    <row r="137" s="131" customFormat="1" ht="11.5" customHeight="1">
      <c r="A137" s="705"/>
      <c r="B137" s="57"/>
      <c r="C137" s="57"/>
      <c r="D137" s="131"/>
      <c r="K137" s="53"/>
      <c r="L137" s="57"/>
      <c r="M137" s="57"/>
      <c r="N137" s="53"/>
      <c r="O137" s="53"/>
      <c r="P137" s="53"/>
      <c r="Q137" s="53"/>
      <c r="R137" s="57"/>
      <c r="S137" s="53"/>
      <c r="T137" s="53"/>
      <c r="U137" s="706"/>
      <c r="V137" s="53"/>
      <c r="W137" s="53"/>
      <c r="X137" s="53"/>
      <c r="Y137" s="53"/>
      <c r="Z137" s="53"/>
      <c r="AA137" s="56"/>
      <c r="AB137" s="54"/>
      <c r="AC137" s="54"/>
      <c r="AD137" s="54"/>
      <c r="AE137" s="54"/>
      <c r="AF137" s="131">
        <v>11</v>
      </c>
    </row>
    <row r="138" s="131" customFormat="1" ht="11.5" customHeight="1">
      <c r="A138" s="705"/>
      <c r="B138" s="57"/>
      <c r="C138" s="57"/>
      <c r="D138" s="131"/>
      <c r="K138" s="53"/>
      <c r="L138" s="57"/>
      <c r="M138" s="57"/>
      <c r="N138" s="53"/>
      <c r="O138" s="53"/>
      <c r="P138" s="53"/>
      <c r="Q138" s="53"/>
      <c r="R138" s="57"/>
      <c r="S138" s="53"/>
      <c r="T138" s="53"/>
      <c r="U138" s="706"/>
      <c r="V138" s="53"/>
      <c r="W138" s="53"/>
      <c r="X138" s="53"/>
      <c r="Y138" s="53"/>
      <c r="Z138" s="53"/>
      <c r="AA138" s="56"/>
      <c r="AB138" s="54"/>
      <c r="AC138" s="54"/>
      <c r="AD138" s="54"/>
      <c r="AE138" s="54"/>
      <c r="AF138" s="131">
        <v>11</v>
      </c>
    </row>
    <row r="139" s="131" customFormat="1" ht="11.5" customHeight="1">
      <c r="A139" s="705"/>
      <c r="B139" s="57"/>
      <c r="C139" s="57"/>
      <c r="D139" s="131"/>
      <c r="K139" s="53"/>
      <c r="L139" s="57"/>
      <c r="M139" s="57"/>
      <c r="N139" s="53"/>
      <c r="O139" s="53"/>
      <c r="P139" s="53"/>
      <c r="Q139" s="53"/>
      <c r="R139" s="57"/>
      <c r="S139" s="53"/>
      <c r="T139" s="53"/>
      <c r="U139" s="706"/>
      <c r="V139" s="53"/>
      <c r="W139" s="53"/>
      <c r="X139" s="53"/>
      <c r="Y139" s="53"/>
      <c r="Z139" s="53"/>
      <c r="AA139" s="56"/>
      <c r="AB139" s="54"/>
      <c r="AC139" s="54"/>
      <c r="AD139" s="54"/>
      <c r="AE139" s="54"/>
      <c r="AF139" s="131">
        <v>11</v>
      </c>
    </row>
    <row r="140" s="131" customFormat="1" ht="11.5" customHeight="1">
      <c r="A140" s="705"/>
      <c r="B140" s="57"/>
      <c r="C140" s="57"/>
      <c r="D140" s="131"/>
      <c r="K140" s="53"/>
      <c r="L140" s="57"/>
      <c r="M140" s="57"/>
      <c r="N140" s="53"/>
      <c r="O140" s="53"/>
      <c r="P140" s="53"/>
      <c r="Q140" s="53"/>
      <c r="R140" s="57"/>
      <c r="S140" s="53"/>
      <c r="T140" s="53"/>
      <c r="U140" s="706"/>
      <c r="V140" s="53"/>
      <c r="W140" s="53"/>
      <c r="X140" s="53"/>
      <c r="Y140" s="53"/>
      <c r="Z140" s="53"/>
      <c r="AA140" s="56"/>
      <c r="AB140" s="54"/>
      <c r="AC140" s="54"/>
      <c r="AD140" s="54"/>
      <c r="AE140" s="54"/>
      <c r="AF140" s="131">
        <v>11</v>
      </c>
    </row>
    <row r="141" s="131" customFormat="1" ht="11.5" customHeight="1">
      <c r="A141" s="705"/>
      <c r="B141" s="57"/>
      <c r="C141" s="57"/>
      <c r="D141" s="131"/>
      <c r="K141" s="53"/>
      <c r="L141" s="57"/>
      <c r="M141" s="57"/>
      <c r="N141" s="53"/>
      <c r="O141" s="53"/>
      <c r="P141" s="53"/>
      <c r="Q141" s="53"/>
      <c r="R141" s="57"/>
      <c r="S141" s="53"/>
      <c r="T141" s="53"/>
      <c r="U141" s="706"/>
      <c r="V141" s="53"/>
      <c r="W141" s="53"/>
      <c r="X141" s="53"/>
      <c r="Y141" s="53"/>
      <c r="Z141" s="53"/>
      <c r="AA141" s="56"/>
      <c r="AB141" s="54"/>
      <c r="AC141" s="54"/>
      <c r="AD141" s="54"/>
      <c r="AE141" s="54"/>
      <c r="AF141" s="131">
        <v>11</v>
      </c>
    </row>
    <row r="142" s="131" customFormat="1" ht="11.5" customHeight="1">
      <c r="A142" s="705"/>
      <c r="B142" s="57"/>
      <c r="C142" s="57"/>
      <c r="D142" s="131"/>
      <c r="K142" s="53"/>
      <c r="L142" s="57"/>
      <c r="M142" s="57"/>
      <c r="N142" s="53"/>
      <c r="O142" s="53"/>
      <c r="P142" s="53"/>
      <c r="Q142" s="53"/>
      <c r="R142" s="57"/>
      <c r="S142" s="53"/>
      <c r="T142" s="53"/>
      <c r="U142" s="706"/>
      <c r="V142" s="53"/>
      <c r="W142" s="53"/>
      <c r="X142" s="53"/>
      <c r="Y142" s="53"/>
      <c r="Z142" s="53"/>
      <c r="AA142" s="56"/>
      <c r="AB142" s="54"/>
      <c r="AC142" s="54"/>
      <c r="AD142" s="54"/>
      <c r="AE142" s="54"/>
      <c r="AF142" s="131">
        <v>11</v>
      </c>
    </row>
    <row r="143" s="131" customFormat="1" ht="11.5" customHeight="1">
      <c r="A143" s="705"/>
      <c r="B143" s="57"/>
      <c r="C143" s="57"/>
      <c r="D143" s="131"/>
      <c r="K143" s="53"/>
      <c r="L143" s="57"/>
      <c r="M143" s="57"/>
      <c r="N143" s="53"/>
      <c r="O143" s="53"/>
      <c r="P143" s="53"/>
      <c r="Q143" s="53"/>
      <c r="R143" s="57"/>
      <c r="S143" s="53"/>
      <c r="T143" s="53"/>
      <c r="U143" s="706"/>
      <c r="V143" s="53"/>
      <c r="W143" s="53"/>
      <c r="X143" s="53"/>
      <c r="Y143" s="53"/>
      <c r="Z143" s="53"/>
      <c r="AA143" s="56"/>
      <c r="AB143" s="54"/>
      <c r="AC143" s="54"/>
      <c r="AD143" s="54"/>
      <c r="AE143" s="54"/>
      <c r="AF143" s="131">
        <v>11</v>
      </c>
    </row>
    <row r="144" s="131" customFormat="1" ht="11.5" customHeight="1">
      <c r="A144" s="705"/>
      <c r="B144" s="57"/>
      <c r="C144" s="57"/>
      <c r="D144" s="131"/>
      <c r="K144" s="53"/>
      <c r="L144" s="57"/>
      <c r="M144" s="57"/>
      <c r="N144" s="53"/>
      <c r="O144" s="53"/>
      <c r="P144" s="53"/>
      <c r="Q144" s="53"/>
      <c r="R144" s="57"/>
      <c r="S144" s="53"/>
      <c r="T144" s="53"/>
      <c r="U144" s="706"/>
      <c r="V144" s="53"/>
      <c r="W144" s="53"/>
      <c r="X144" s="53"/>
      <c r="Y144" s="53"/>
      <c r="Z144" s="53"/>
      <c r="AA144" s="56"/>
      <c r="AB144" s="54"/>
      <c r="AC144" s="54"/>
      <c r="AD144" s="54"/>
      <c r="AE144" s="54"/>
      <c r="AF144" s="131">
        <v>11</v>
      </c>
    </row>
    <row r="145" s="131" customFormat="1" ht="11.5" customHeight="1">
      <c r="A145" s="705"/>
      <c r="B145" s="57"/>
      <c r="C145" s="57"/>
      <c r="D145" s="131"/>
      <c r="K145" s="53"/>
      <c r="L145" s="57"/>
      <c r="M145" s="57"/>
      <c r="N145" s="53"/>
      <c r="O145" s="53"/>
      <c r="P145" s="53"/>
      <c r="Q145" s="53"/>
      <c r="R145" s="57"/>
      <c r="S145" s="53"/>
      <c r="T145" s="53"/>
      <c r="U145" s="706"/>
      <c r="V145" s="53"/>
      <c r="W145" s="53"/>
      <c r="X145" s="53"/>
      <c r="Y145" s="53"/>
      <c r="Z145" s="53"/>
      <c r="AA145" s="56"/>
      <c r="AB145" s="54"/>
      <c r="AC145" s="54"/>
      <c r="AD145" s="54"/>
      <c r="AE145" s="54"/>
      <c r="AF145" s="131">
        <v>11</v>
      </c>
    </row>
    <row r="146" s="131" customFormat="1" ht="11.5" customHeight="1">
      <c r="A146" s="705"/>
      <c r="B146" s="57"/>
      <c r="C146" s="57"/>
      <c r="D146" s="131"/>
      <c r="K146" s="53"/>
      <c r="L146" s="57"/>
      <c r="M146" s="57"/>
      <c r="N146" s="53"/>
      <c r="O146" s="53"/>
      <c r="P146" s="53"/>
      <c r="Q146" s="53"/>
      <c r="R146" s="57"/>
      <c r="S146" s="53"/>
      <c r="T146" s="53"/>
      <c r="U146" s="706"/>
      <c r="V146" s="53"/>
      <c r="W146" s="53"/>
      <c r="X146" s="53"/>
      <c r="Y146" s="53"/>
      <c r="Z146" s="53"/>
      <c r="AA146" s="56"/>
      <c r="AB146" s="54"/>
      <c r="AC146" s="54"/>
      <c r="AD146" s="54"/>
      <c r="AE146" s="54"/>
      <c r="AF146" s="131">
        <v>11</v>
      </c>
    </row>
    <row r="147" s="131" customFormat="1" ht="11.5" customHeight="1">
      <c r="A147" s="705"/>
      <c r="B147" s="57"/>
      <c r="C147" s="57"/>
      <c r="D147" s="131"/>
      <c r="K147" s="53"/>
      <c r="L147" s="57"/>
      <c r="M147" s="57"/>
      <c r="N147" s="53"/>
      <c r="O147" s="53"/>
      <c r="P147" s="53"/>
      <c r="Q147" s="53"/>
      <c r="R147" s="57"/>
      <c r="S147" s="53"/>
      <c r="T147" s="53"/>
      <c r="U147" s="706"/>
      <c r="V147" s="53"/>
      <c r="W147" s="53"/>
      <c r="X147" s="53"/>
      <c r="Y147" s="53"/>
      <c r="Z147" s="53"/>
      <c r="AA147" s="56"/>
      <c r="AB147" s="54"/>
      <c r="AC147" s="54"/>
      <c r="AD147" s="54"/>
      <c r="AE147" s="54"/>
      <c r="AF147" s="131">
        <v>11</v>
      </c>
    </row>
    <row r="148" s="131" customFormat="1" ht="11.5" customHeight="1">
      <c r="A148" s="705"/>
      <c r="B148" s="57"/>
      <c r="C148" s="57"/>
      <c r="D148" s="131"/>
      <c r="K148" s="53"/>
      <c r="L148" s="57"/>
      <c r="M148" s="57"/>
      <c r="N148" s="53"/>
      <c r="O148" s="53"/>
      <c r="P148" s="53"/>
      <c r="Q148" s="53"/>
      <c r="R148" s="57"/>
      <c r="S148" s="53"/>
      <c r="T148" s="53"/>
      <c r="U148" s="706"/>
      <c r="V148" s="53"/>
      <c r="W148" s="53"/>
      <c r="X148" s="53"/>
      <c r="Y148" s="53"/>
      <c r="Z148" s="53"/>
      <c r="AA148" s="56"/>
      <c r="AB148" s="54"/>
      <c r="AC148" s="54"/>
      <c r="AD148" s="54"/>
      <c r="AE148" s="54"/>
      <c r="AF148" s="131">
        <v>11</v>
      </c>
    </row>
    <row r="149" s="131" customFormat="1" ht="11.5" customHeight="1">
      <c r="A149" s="705"/>
      <c r="B149" s="57"/>
      <c r="C149" s="57"/>
      <c r="D149" s="131"/>
      <c r="K149" s="53"/>
      <c r="L149" s="57"/>
      <c r="M149" s="57"/>
      <c r="N149" s="53"/>
      <c r="O149" s="53"/>
      <c r="P149" s="53"/>
      <c r="Q149" s="53"/>
      <c r="R149" s="57"/>
      <c r="S149" s="53"/>
      <c r="T149" s="53"/>
      <c r="U149" s="706"/>
      <c r="V149" s="53"/>
      <c r="W149" s="53"/>
      <c r="X149" s="53"/>
      <c r="Y149" s="53"/>
      <c r="Z149" s="53"/>
      <c r="AA149" s="56"/>
      <c r="AB149" s="54"/>
      <c r="AC149" s="54"/>
      <c r="AD149" s="54"/>
      <c r="AE149" s="54"/>
      <c r="AF149" s="131">
        <v>11</v>
      </c>
    </row>
    <row r="150" s="131" customFormat="1" ht="11.5" customHeight="1">
      <c r="A150" s="705"/>
      <c r="B150" s="57"/>
      <c r="C150" s="57"/>
      <c r="D150" s="131"/>
      <c r="K150" s="53"/>
      <c r="L150" s="57"/>
      <c r="M150" s="57"/>
      <c r="N150" s="53"/>
      <c r="O150" s="53"/>
      <c r="P150" s="53"/>
      <c r="Q150" s="53"/>
      <c r="R150" s="57"/>
      <c r="S150" s="53"/>
      <c r="T150" s="53"/>
      <c r="U150" s="706"/>
      <c r="V150" s="53"/>
      <c r="W150" s="53"/>
      <c r="X150" s="53"/>
      <c r="Y150" s="53"/>
      <c r="Z150" s="53"/>
      <c r="AA150" s="56"/>
      <c r="AB150" s="54"/>
      <c r="AC150" s="54"/>
      <c r="AD150" s="54"/>
      <c r="AE150" s="54"/>
      <c r="AF150" s="131">
        <v>11</v>
      </c>
    </row>
    <row r="151" s="131" customFormat="1" ht="11.5" customHeight="1">
      <c r="A151" s="705"/>
      <c r="B151" s="57"/>
      <c r="C151" s="57"/>
      <c r="D151" s="131"/>
      <c r="K151" s="53"/>
      <c r="L151" s="57"/>
      <c r="M151" s="57"/>
      <c r="N151" s="53"/>
      <c r="O151" s="53"/>
      <c r="P151" s="53"/>
      <c r="Q151" s="53"/>
      <c r="R151" s="57"/>
      <c r="S151" s="53"/>
      <c r="T151" s="53"/>
      <c r="U151" s="706"/>
      <c r="V151" s="53"/>
      <c r="W151" s="53"/>
      <c r="X151" s="53"/>
      <c r="Y151" s="53"/>
      <c r="Z151" s="53"/>
      <c r="AA151" s="56"/>
      <c r="AB151" s="54"/>
      <c r="AC151" s="54"/>
      <c r="AD151" s="54"/>
      <c r="AE151" s="54"/>
      <c r="AF151" s="131">
        <v>11</v>
      </c>
    </row>
    <row r="152" s="131" customFormat="1" ht="11.5" customHeight="1">
      <c r="A152" s="705"/>
      <c r="B152" s="57"/>
      <c r="C152" s="57"/>
      <c r="D152" s="131"/>
      <c r="K152" s="53"/>
      <c r="L152" s="57"/>
      <c r="M152" s="57"/>
      <c r="N152" s="53"/>
      <c r="O152" s="53"/>
      <c r="P152" s="53"/>
      <c r="Q152" s="53"/>
      <c r="R152" s="57"/>
      <c r="S152" s="53"/>
      <c r="T152" s="53"/>
      <c r="U152" s="706"/>
      <c r="V152" s="53"/>
      <c r="W152" s="53"/>
      <c r="X152" s="53"/>
      <c r="Y152" s="53"/>
      <c r="Z152" s="53"/>
      <c r="AA152" s="56"/>
      <c r="AB152" s="54"/>
      <c r="AC152" s="54"/>
      <c r="AD152" s="54"/>
      <c r="AE152" s="54"/>
      <c r="AF152" s="131">
        <v>11</v>
      </c>
    </row>
    <row r="153" s="131" customFormat="1" ht="11.5" customHeight="1">
      <c r="A153" s="705"/>
      <c r="B153" s="57"/>
      <c r="C153" s="57"/>
      <c r="D153" s="131"/>
      <c r="K153" s="53"/>
      <c r="L153" s="57"/>
      <c r="M153" s="57"/>
      <c r="N153" s="53"/>
      <c r="O153" s="53"/>
      <c r="P153" s="53"/>
      <c r="Q153" s="53"/>
      <c r="R153" s="57"/>
      <c r="S153" s="53"/>
      <c r="T153" s="53"/>
      <c r="U153" s="706"/>
      <c r="V153" s="53"/>
      <c r="W153" s="53"/>
      <c r="X153" s="53"/>
      <c r="Y153" s="53"/>
      <c r="Z153" s="53"/>
      <c r="AA153" s="56"/>
      <c r="AB153" s="54"/>
      <c r="AC153" s="54"/>
      <c r="AD153" s="54"/>
      <c r="AE153" s="54"/>
      <c r="AF153" s="131">
        <v>11</v>
      </c>
    </row>
    <row r="154" s="131" customFormat="1" ht="11.5" customHeight="1">
      <c r="A154" s="705"/>
      <c r="B154" s="57"/>
      <c r="C154" s="57"/>
      <c r="D154" s="131"/>
      <c r="K154" s="53"/>
      <c r="L154" s="57"/>
      <c r="M154" s="57"/>
      <c r="N154" s="53"/>
      <c r="O154" s="53"/>
      <c r="P154" s="53"/>
      <c r="Q154" s="53"/>
      <c r="R154" s="57"/>
      <c r="S154" s="53"/>
      <c r="T154" s="53"/>
      <c r="U154" s="706"/>
      <c r="V154" s="53"/>
      <c r="W154" s="53"/>
      <c r="X154" s="53"/>
      <c r="Y154" s="53"/>
      <c r="Z154" s="53"/>
      <c r="AA154" s="56"/>
      <c r="AB154" s="54"/>
      <c r="AC154" s="54"/>
      <c r="AD154" s="54"/>
      <c r="AE154" s="54"/>
      <c r="AF154" s="131">
        <v>11</v>
      </c>
    </row>
    <row r="155" s="131" customFormat="1" ht="11.5" customHeight="1">
      <c r="A155" s="705"/>
      <c r="B155" s="57"/>
      <c r="C155" s="57"/>
      <c r="D155" s="131"/>
      <c r="K155" s="53"/>
      <c r="L155" s="57"/>
      <c r="M155" s="57"/>
      <c r="N155" s="53"/>
      <c r="O155" s="53"/>
      <c r="P155" s="53"/>
      <c r="Q155" s="53"/>
      <c r="R155" s="57"/>
      <c r="S155" s="53"/>
      <c r="T155" s="53"/>
      <c r="U155" s="706"/>
      <c r="V155" s="53"/>
      <c r="W155" s="53"/>
      <c r="X155" s="53"/>
      <c r="Y155" s="53"/>
      <c r="Z155" s="53"/>
      <c r="AA155" s="56"/>
      <c r="AB155" s="54"/>
      <c r="AC155" s="54"/>
      <c r="AD155" s="54"/>
      <c r="AE155" s="54"/>
      <c r="AF155" s="131">
        <v>11</v>
      </c>
    </row>
    <row r="156" s="131" customFormat="1" ht="11.5" customHeight="1">
      <c r="A156" s="705"/>
      <c r="B156" s="57"/>
      <c r="C156" s="57"/>
      <c r="D156" s="131"/>
      <c r="K156" s="53"/>
      <c r="L156" s="57"/>
      <c r="M156" s="57"/>
      <c r="N156" s="53"/>
      <c r="O156" s="53"/>
      <c r="P156" s="53"/>
      <c r="Q156" s="53"/>
      <c r="R156" s="57"/>
      <c r="S156" s="53"/>
      <c r="T156" s="53"/>
      <c r="U156" s="706"/>
      <c r="V156" s="53"/>
      <c r="W156" s="53"/>
      <c r="X156" s="53"/>
      <c r="Y156" s="53"/>
      <c r="Z156" s="53"/>
      <c r="AA156" s="56"/>
      <c r="AB156" s="54"/>
      <c r="AC156" s="54"/>
      <c r="AD156" s="54"/>
      <c r="AE156" s="54"/>
      <c r="AF156" s="131">
        <v>11</v>
      </c>
    </row>
    <row r="157" s="131" customFormat="1" ht="11.5" customHeight="1">
      <c r="A157" s="705"/>
      <c r="B157" s="57"/>
      <c r="C157" s="57"/>
      <c r="D157" s="131"/>
      <c r="K157" s="53"/>
      <c r="L157" s="57"/>
      <c r="M157" s="57"/>
      <c r="N157" s="53"/>
      <c r="O157" s="53"/>
      <c r="P157" s="53"/>
      <c r="Q157" s="53"/>
      <c r="R157" s="57"/>
      <c r="S157" s="53"/>
      <c r="T157" s="53"/>
      <c r="U157" s="706"/>
      <c r="V157" s="53"/>
      <c r="W157" s="53"/>
      <c r="X157" s="53"/>
      <c r="Y157" s="53"/>
      <c r="Z157" s="53"/>
      <c r="AA157" s="56"/>
      <c r="AB157" s="54"/>
      <c r="AC157" s="54"/>
      <c r="AD157" s="54"/>
      <c r="AE157" s="54"/>
      <c r="AF157" s="131">
        <v>11</v>
      </c>
    </row>
    <row r="158" s="131" customFormat="1" ht="11.5" customHeight="1">
      <c r="A158" s="705"/>
      <c r="B158" s="57"/>
      <c r="C158" s="57"/>
      <c r="D158" s="131"/>
      <c r="K158" s="53"/>
      <c r="L158" s="57"/>
      <c r="M158" s="57"/>
      <c r="N158" s="53"/>
      <c r="O158" s="53"/>
      <c r="P158" s="53"/>
      <c r="Q158" s="53"/>
      <c r="R158" s="57"/>
      <c r="S158" s="53"/>
      <c r="T158" s="53"/>
      <c r="U158" s="706"/>
      <c r="V158" s="53"/>
      <c r="W158" s="53"/>
      <c r="X158" s="53"/>
      <c r="Y158" s="53"/>
      <c r="Z158" s="53"/>
      <c r="AA158" s="56"/>
      <c r="AB158" s="54"/>
      <c r="AC158" s="54"/>
      <c r="AD158" s="54"/>
      <c r="AE158" s="54"/>
      <c r="AF158" s="131">
        <v>11</v>
      </c>
    </row>
    <row r="159" s="131" customFormat="1" ht="11.5" customHeight="1">
      <c r="A159" s="705"/>
      <c r="B159" s="57"/>
      <c r="C159" s="57"/>
      <c r="D159" s="131"/>
      <c r="K159" s="53"/>
      <c r="L159" s="57"/>
      <c r="M159" s="57"/>
      <c r="N159" s="53"/>
      <c r="O159" s="53"/>
      <c r="P159" s="53"/>
      <c r="Q159" s="53"/>
      <c r="R159" s="57"/>
      <c r="S159" s="53"/>
      <c r="T159" s="53"/>
      <c r="U159" s="706"/>
      <c r="V159" s="53"/>
      <c r="W159" s="53"/>
      <c r="X159" s="53"/>
      <c r="Y159" s="53"/>
      <c r="Z159" s="53"/>
      <c r="AA159" s="56"/>
      <c r="AB159" s="54"/>
      <c r="AC159" s="54"/>
      <c r="AD159" s="54"/>
      <c r="AE159" s="54"/>
      <c r="AF159" s="131">
        <v>11</v>
      </c>
    </row>
    <row r="160" s="131" customFormat="1" ht="11.5" customHeight="1">
      <c r="A160" s="705"/>
      <c r="B160" s="57"/>
      <c r="C160" s="57"/>
      <c r="D160" s="131"/>
      <c r="K160" s="53"/>
      <c r="L160" s="57"/>
      <c r="M160" s="57"/>
      <c r="N160" s="53"/>
      <c r="O160" s="53"/>
      <c r="P160" s="53"/>
      <c r="Q160" s="53"/>
      <c r="R160" s="57"/>
      <c r="S160" s="53"/>
      <c r="T160" s="53"/>
      <c r="U160" s="706"/>
      <c r="V160" s="53"/>
      <c r="W160" s="53"/>
      <c r="X160" s="53"/>
      <c r="Y160" s="53"/>
      <c r="Z160" s="53"/>
      <c r="AA160" s="56"/>
      <c r="AB160" s="54"/>
      <c r="AC160" s="54"/>
      <c r="AD160" s="54"/>
      <c r="AE160" s="54"/>
      <c r="AF160" s="131">
        <v>11</v>
      </c>
    </row>
    <row r="161" s="131" customFormat="1" ht="11.5" customHeight="1">
      <c r="A161" s="705"/>
      <c r="B161" s="57"/>
      <c r="C161" s="57"/>
      <c r="D161" s="131"/>
      <c r="K161" s="53"/>
      <c r="L161" s="57"/>
      <c r="M161" s="57"/>
      <c r="N161" s="53"/>
      <c r="O161" s="53"/>
      <c r="P161" s="53"/>
      <c r="Q161" s="53"/>
      <c r="R161" s="57"/>
      <c r="S161" s="53"/>
      <c r="T161" s="53"/>
      <c r="U161" s="706"/>
      <c r="V161" s="53"/>
      <c r="W161" s="53"/>
      <c r="X161" s="53"/>
      <c r="Y161" s="53"/>
      <c r="Z161" s="53"/>
      <c r="AA161" s="56"/>
      <c r="AB161" s="54"/>
      <c r="AC161" s="54"/>
      <c r="AD161" s="54"/>
      <c r="AE161" s="54"/>
      <c r="AF161" s="131">
        <v>11</v>
      </c>
    </row>
    <row r="162" s="131" customFormat="1" ht="11.5" customHeight="1">
      <c r="A162" s="705"/>
      <c r="B162" s="57"/>
      <c r="C162" s="57"/>
      <c r="D162" s="131"/>
      <c r="K162" s="53"/>
      <c r="L162" s="57"/>
      <c r="M162" s="57"/>
      <c r="N162" s="53"/>
      <c r="O162" s="53"/>
      <c r="P162" s="53"/>
      <c r="Q162" s="53"/>
      <c r="R162" s="57"/>
      <c r="S162" s="53"/>
      <c r="T162" s="53"/>
      <c r="U162" s="706"/>
      <c r="V162" s="53"/>
      <c r="W162" s="53"/>
      <c r="X162" s="53"/>
      <c r="Y162" s="53"/>
      <c r="Z162" s="53"/>
      <c r="AA162" s="56"/>
      <c r="AB162" s="54"/>
      <c r="AC162" s="54"/>
      <c r="AD162" s="54"/>
      <c r="AE162" s="54"/>
      <c r="AF162" s="131">
        <v>11</v>
      </c>
    </row>
    <row r="163" s="131" customFormat="1" ht="11.5" customHeight="1">
      <c r="A163" s="705"/>
      <c r="B163" s="57"/>
      <c r="C163" s="57"/>
      <c r="D163" s="131"/>
      <c r="K163" s="53"/>
      <c r="L163" s="57"/>
      <c r="M163" s="57"/>
      <c r="N163" s="53"/>
      <c r="O163" s="53"/>
      <c r="P163" s="53"/>
      <c r="Q163" s="53"/>
      <c r="R163" s="57"/>
      <c r="S163" s="53"/>
      <c r="T163" s="53"/>
      <c r="U163" s="706"/>
      <c r="V163" s="53"/>
      <c r="W163" s="53"/>
      <c r="X163" s="53"/>
      <c r="Y163" s="53"/>
      <c r="Z163" s="53"/>
      <c r="AA163" s="56"/>
      <c r="AB163" s="54"/>
      <c r="AC163" s="54"/>
      <c r="AD163" s="54"/>
      <c r="AE163" s="54"/>
      <c r="AF163" s="131">
        <v>11</v>
      </c>
    </row>
    <row r="164" s="131" customFormat="1" ht="11.5" customHeight="1">
      <c r="A164" s="705"/>
      <c r="B164" s="57"/>
      <c r="C164" s="57"/>
      <c r="D164" s="131"/>
      <c r="K164" s="53"/>
      <c r="L164" s="57"/>
      <c r="M164" s="57"/>
      <c r="N164" s="53"/>
      <c r="O164" s="53"/>
      <c r="P164" s="53"/>
      <c r="Q164" s="53"/>
      <c r="R164" s="57"/>
      <c r="S164" s="53"/>
      <c r="T164" s="53"/>
      <c r="U164" s="706"/>
      <c r="V164" s="53"/>
      <c r="W164" s="53"/>
      <c r="X164" s="53"/>
      <c r="Y164" s="53"/>
      <c r="Z164" s="53"/>
      <c r="AA164" s="56"/>
      <c r="AB164" s="54"/>
      <c r="AC164" s="54"/>
      <c r="AD164" s="54"/>
      <c r="AE164" s="54"/>
      <c r="AF164" s="131">
        <v>11</v>
      </c>
    </row>
    <row r="165" s="131" customFormat="1" ht="11.5" customHeight="1">
      <c r="A165" s="705"/>
      <c r="B165" s="57"/>
      <c r="C165" s="57"/>
      <c r="D165" s="131"/>
      <c r="K165" s="53"/>
      <c r="L165" s="57"/>
      <c r="M165" s="57"/>
      <c r="N165" s="53"/>
      <c r="O165" s="53"/>
      <c r="P165" s="53"/>
      <c r="Q165" s="53"/>
      <c r="R165" s="57"/>
      <c r="S165" s="53"/>
      <c r="T165" s="53"/>
      <c r="U165" s="706"/>
      <c r="V165" s="53"/>
      <c r="W165" s="53"/>
      <c r="X165" s="53"/>
      <c r="Y165" s="53"/>
      <c r="Z165" s="53"/>
      <c r="AA165" s="56"/>
      <c r="AB165" s="54"/>
      <c r="AC165" s="54"/>
      <c r="AD165" s="54"/>
      <c r="AE165" s="54"/>
      <c r="AF165" s="131">
        <v>11</v>
      </c>
    </row>
    <row r="166" s="131" customFormat="1" ht="11.5" customHeight="1">
      <c r="A166" s="705"/>
      <c r="B166" s="57"/>
      <c r="C166" s="57"/>
      <c r="D166" s="131"/>
      <c r="K166" s="53"/>
      <c r="L166" s="57"/>
      <c r="M166" s="57"/>
      <c r="N166" s="53"/>
      <c r="O166" s="53"/>
      <c r="P166" s="53"/>
      <c r="Q166" s="53"/>
      <c r="R166" s="57"/>
      <c r="S166" s="53"/>
      <c r="T166" s="53"/>
      <c r="U166" s="706"/>
      <c r="V166" s="53"/>
      <c r="W166" s="53"/>
      <c r="X166" s="53"/>
      <c r="Y166" s="53"/>
      <c r="Z166" s="53"/>
      <c r="AA166" s="56"/>
      <c r="AB166" s="54"/>
      <c r="AC166" s="54"/>
      <c r="AD166" s="54"/>
      <c r="AE166" s="54"/>
      <c r="AF166" s="131">
        <v>11</v>
      </c>
    </row>
    <row r="167" s="131" customFormat="1" ht="11.5" customHeight="1">
      <c r="A167" s="705"/>
      <c r="B167" s="57"/>
      <c r="C167" s="57"/>
      <c r="D167" s="131"/>
      <c r="K167" s="53"/>
      <c r="L167" s="57"/>
      <c r="M167" s="57"/>
      <c r="N167" s="53"/>
      <c r="O167" s="53"/>
      <c r="P167" s="53"/>
      <c r="Q167" s="53"/>
      <c r="R167" s="57"/>
      <c r="S167" s="53"/>
      <c r="T167" s="53"/>
      <c r="U167" s="706"/>
      <c r="V167" s="53"/>
      <c r="W167" s="53"/>
      <c r="X167" s="53"/>
      <c r="Y167" s="53"/>
      <c r="Z167" s="53"/>
      <c r="AA167" s="56"/>
      <c r="AB167" s="54"/>
      <c r="AC167" s="54"/>
      <c r="AD167" s="54"/>
      <c r="AE167" s="54"/>
      <c r="AF167" s="131">
        <v>11</v>
      </c>
    </row>
    <row r="168" s="131" customFormat="1" ht="11.5" customHeight="1">
      <c r="A168" s="705"/>
      <c r="B168" s="57"/>
      <c r="C168" s="57"/>
      <c r="D168" s="131"/>
      <c r="K168" s="53"/>
      <c r="L168" s="57"/>
      <c r="M168" s="57"/>
      <c r="N168" s="53"/>
      <c r="O168" s="53"/>
      <c r="P168" s="53"/>
      <c r="Q168" s="53"/>
      <c r="R168" s="57"/>
      <c r="S168" s="53"/>
      <c r="T168" s="53"/>
      <c r="U168" s="706"/>
      <c r="V168" s="53"/>
      <c r="W168" s="53"/>
      <c r="X168" s="53"/>
      <c r="Y168" s="53"/>
      <c r="Z168" s="53"/>
      <c r="AA168" s="56"/>
      <c r="AB168" s="54"/>
      <c r="AC168" s="54"/>
      <c r="AD168" s="54"/>
      <c r="AE168" s="54"/>
      <c r="AF168" s="131">
        <v>11</v>
      </c>
    </row>
    <row r="169" s="131" customFormat="1" ht="11.5" customHeight="1">
      <c r="A169" s="705"/>
      <c r="B169" s="57"/>
      <c r="C169" s="57"/>
      <c r="D169" s="131"/>
      <c r="K169" s="53"/>
      <c r="L169" s="57"/>
      <c r="M169" s="57"/>
      <c r="N169" s="53"/>
      <c r="O169" s="53"/>
      <c r="P169" s="53"/>
      <c r="Q169" s="53"/>
      <c r="R169" s="57"/>
      <c r="S169" s="53"/>
      <c r="T169" s="53"/>
      <c r="U169" s="706"/>
      <c r="V169" s="53"/>
      <c r="W169" s="53"/>
      <c r="X169" s="53"/>
      <c r="Y169" s="53"/>
      <c r="Z169" s="53"/>
      <c r="AA169" s="56"/>
      <c r="AB169" s="54"/>
      <c r="AC169" s="54"/>
      <c r="AD169" s="54"/>
      <c r="AE169" s="54"/>
      <c r="AF169" s="131">
        <v>11</v>
      </c>
    </row>
    <row r="170" s="131" customFormat="1" ht="11.5" customHeight="1">
      <c r="A170" s="705"/>
      <c r="B170" s="57"/>
      <c r="C170" s="57"/>
      <c r="D170" s="131"/>
      <c r="K170" s="53"/>
      <c r="L170" s="57"/>
      <c r="M170" s="57"/>
      <c r="N170" s="53"/>
      <c r="O170" s="53"/>
      <c r="P170" s="53"/>
      <c r="Q170" s="53"/>
      <c r="R170" s="57"/>
      <c r="S170" s="53"/>
      <c r="T170" s="53"/>
      <c r="U170" s="706"/>
      <c r="V170" s="53"/>
      <c r="W170" s="53"/>
      <c r="X170" s="53"/>
      <c r="Y170" s="53"/>
      <c r="Z170" s="53"/>
      <c r="AA170" s="56"/>
      <c r="AB170" s="54"/>
      <c r="AC170" s="54"/>
      <c r="AD170" s="54"/>
      <c r="AE170" s="54"/>
      <c r="AF170" s="131">
        <v>11</v>
      </c>
    </row>
    <row r="171" s="131" customFormat="1" ht="11.5" customHeight="1">
      <c r="A171" s="705"/>
      <c r="B171" s="57"/>
      <c r="C171" s="57"/>
      <c r="D171" s="131"/>
      <c r="K171" s="53"/>
      <c r="L171" s="57"/>
      <c r="M171" s="57"/>
      <c r="N171" s="53"/>
      <c r="O171" s="53"/>
      <c r="P171" s="53"/>
      <c r="Q171" s="53"/>
      <c r="R171" s="57"/>
      <c r="S171" s="53"/>
      <c r="T171" s="53"/>
      <c r="U171" s="706"/>
      <c r="V171" s="53"/>
      <c r="W171" s="53"/>
      <c r="X171" s="53"/>
      <c r="Y171" s="53"/>
      <c r="Z171" s="53"/>
      <c r="AA171" s="56"/>
      <c r="AB171" s="54"/>
      <c r="AC171" s="54"/>
      <c r="AD171" s="54"/>
      <c r="AE171" s="54"/>
      <c r="AF171" s="131">
        <v>11</v>
      </c>
    </row>
    <row r="172" s="131" customFormat="1" ht="11.5" customHeight="1">
      <c r="A172" s="705"/>
      <c r="B172" s="57"/>
      <c r="C172" s="57"/>
      <c r="D172" s="131"/>
      <c r="K172" s="53"/>
      <c r="L172" s="57"/>
      <c r="M172" s="57"/>
      <c r="N172" s="53"/>
      <c r="O172" s="53"/>
      <c r="P172" s="53"/>
      <c r="Q172" s="53"/>
      <c r="R172" s="57"/>
      <c r="S172" s="53"/>
      <c r="T172" s="53"/>
      <c r="U172" s="706"/>
      <c r="V172" s="53"/>
      <c r="W172" s="53"/>
      <c r="X172" s="53"/>
      <c r="Y172" s="53"/>
      <c r="Z172" s="53"/>
      <c r="AA172" s="56"/>
      <c r="AB172" s="54"/>
      <c r="AC172" s="54"/>
      <c r="AD172" s="54"/>
      <c r="AE172" s="54"/>
      <c r="AF172" s="131">
        <v>11</v>
      </c>
    </row>
    <row r="173" s="131" customFormat="1" ht="11.5" customHeight="1">
      <c r="A173" s="705"/>
      <c r="B173" s="57"/>
      <c r="C173" s="57"/>
      <c r="D173" s="131"/>
      <c r="K173" s="53"/>
      <c r="L173" s="57"/>
      <c r="M173" s="57"/>
      <c r="N173" s="53"/>
      <c r="O173" s="53"/>
      <c r="P173" s="53"/>
      <c r="Q173" s="53"/>
      <c r="R173" s="57"/>
      <c r="S173" s="53"/>
      <c r="T173" s="53"/>
      <c r="U173" s="706"/>
      <c r="V173" s="53"/>
      <c r="W173" s="53"/>
      <c r="X173" s="53"/>
      <c r="Y173" s="53"/>
      <c r="Z173" s="53"/>
      <c r="AA173" s="56"/>
      <c r="AB173" s="54"/>
      <c r="AC173" s="54"/>
      <c r="AD173" s="54"/>
      <c r="AE173" s="54"/>
      <c r="AF173" s="131">
        <v>11</v>
      </c>
    </row>
    <row r="174" s="131" customFormat="1" ht="11.5" customHeight="1">
      <c r="A174" s="705"/>
      <c r="B174" s="57"/>
      <c r="C174" s="57"/>
      <c r="D174" s="131"/>
      <c r="K174" s="53"/>
      <c r="L174" s="57"/>
      <c r="M174" s="57"/>
      <c r="N174" s="53"/>
      <c r="O174" s="53"/>
      <c r="P174" s="53"/>
      <c r="Q174" s="53"/>
      <c r="R174" s="57"/>
      <c r="S174" s="53"/>
      <c r="T174" s="53"/>
      <c r="U174" s="706"/>
      <c r="V174" s="53"/>
      <c r="W174" s="53"/>
      <c r="X174" s="53"/>
      <c r="Y174" s="53"/>
      <c r="Z174" s="53"/>
      <c r="AA174" s="56"/>
      <c r="AB174" s="54"/>
      <c r="AC174" s="54"/>
      <c r="AD174" s="54"/>
      <c r="AE174" s="54"/>
      <c r="AF174" s="131">
        <v>11</v>
      </c>
    </row>
    <row r="175" s="131" customFormat="1" ht="11.5" customHeight="1">
      <c r="A175" s="705"/>
      <c r="B175" s="57"/>
      <c r="C175" s="57"/>
      <c r="D175" s="131"/>
      <c r="K175" s="53"/>
      <c r="L175" s="57"/>
      <c r="M175" s="57"/>
      <c r="N175" s="53"/>
      <c r="O175" s="53"/>
      <c r="P175" s="53"/>
      <c r="Q175" s="53"/>
      <c r="R175" s="57"/>
      <c r="S175" s="53"/>
      <c r="T175" s="53"/>
      <c r="U175" s="706"/>
      <c r="V175" s="53"/>
      <c r="W175" s="53"/>
      <c r="X175" s="53"/>
      <c r="Y175" s="53"/>
      <c r="Z175" s="53"/>
      <c r="AA175" s="56"/>
      <c r="AB175" s="54"/>
      <c r="AC175" s="54"/>
      <c r="AD175" s="54"/>
      <c r="AE175" s="54"/>
      <c r="AF175" s="131">
        <v>11</v>
      </c>
    </row>
    <row r="176" s="131" customFormat="1" ht="11.5" customHeight="1">
      <c r="A176" s="705"/>
      <c r="B176" s="57"/>
      <c r="C176" s="57"/>
      <c r="D176" s="131"/>
      <c r="K176" s="53"/>
      <c r="L176" s="57"/>
      <c r="M176" s="57"/>
      <c r="N176" s="53"/>
      <c r="O176" s="53"/>
      <c r="P176" s="53"/>
      <c r="Q176" s="53"/>
      <c r="R176" s="57"/>
      <c r="S176" s="53"/>
      <c r="T176" s="53"/>
      <c r="U176" s="706"/>
      <c r="V176" s="53"/>
      <c r="W176" s="53"/>
      <c r="X176" s="53"/>
      <c r="Y176" s="53"/>
      <c r="Z176" s="53"/>
      <c r="AA176" s="56"/>
      <c r="AB176" s="54"/>
      <c r="AC176" s="54"/>
      <c r="AD176" s="54"/>
      <c r="AE176" s="54"/>
      <c r="AF176" s="131">
        <v>11</v>
      </c>
    </row>
    <row r="177" s="131" customFormat="1" ht="11.5" customHeight="1">
      <c r="A177" s="705"/>
      <c r="B177" s="57"/>
      <c r="C177" s="57"/>
      <c r="D177" s="131"/>
      <c r="K177" s="53"/>
      <c r="L177" s="57"/>
      <c r="M177" s="57"/>
      <c r="N177" s="53"/>
      <c r="O177" s="53"/>
      <c r="P177" s="53"/>
      <c r="Q177" s="53"/>
      <c r="R177" s="57"/>
      <c r="S177" s="53"/>
      <c r="T177" s="53"/>
      <c r="U177" s="706"/>
      <c r="V177" s="53"/>
      <c r="W177" s="53"/>
      <c r="X177" s="53"/>
      <c r="Y177" s="53"/>
      <c r="Z177" s="53"/>
      <c r="AA177" s="56"/>
      <c r="AB177" s="54"/>
      <c r="AC177" s="54"/>
      <c r="AD177" s="54"/>
      <c r="AE177" s="54"/>
      <c r="AF177" s="131">
        <v>11</v>
      </c>
    </row>
    <row r="178" s="131" customFormat="1" ht="11.5" customHeight="1">
      <c r="A178" s="705"/>
      <c r="B178" s="57"/>
      <c r="C178" s="57"/>
      <c r="D178" s="131"/>
      <c r="K178" s="53"/>
      <c r="L178" s="57"/>
      <c r="M178" s="57"/>
      <c r="N178" s="53"/>
      <c r="O178" s="53"/>
      <c r="P178" s="53"/>
      <c r="Q178" s="53"/>
      <c r="R178" s="57"/>
      <c r="S178" s="53"/>
      <c r="T178" s="53"/>
      <c r="U178" s="706"/>
      <c r="V178" s="53"/>
      <c r="W178" s="53"/>
      <c r="X178" s="53"/>
      <c r="Y178" s="53"/>
      <c r="Z178" s="53"/>
      <c r="AA178" s="56"/>
      <c r="AB178" s="54"/>
      <c r="AC178" s="54"/>
      <c r="AD178" s="54"/>
      <c r="AE178" s="54"/>
      <c r="AF178" s="131">
        <v>11</v>
      </c>
    </row>
    <row r="179" s="131" customFormat="1" ht="11.5" customHeight="1">
      <c r="A179" s="705"/>
      <c r="B179" s="57"/>
      <c r="C179" s="57"/>
      <c r="D179" s="131"/>
      <c r="K179" s="53"/>
      <c r="L179" s="57"/>
      <c r="M179" s="57"/>
      <c r="N179" s="53"/>
      <c r="O179" s="53"/>
      <c r="P179" s="53"/>
      <c r="Q179" s="53"/>
      <c r="R179" s="57"/>
      <c r="S179" s="53"/>
      <c r="T179" s="53"/>
      <c r="U179" s="706"/>
      <c r="V179" s="53"/>
      <c r="W179" s="53"/>
      <c r="X179" s="53"/>
      <c r="Y179" s="53"/>
      <c r="Z179" s="53"/>
      <c r="AA179" s="56"/>
      <c r="AB179" s="54"/>
      <c r="AC179" s="54"/>
      <c r="AD179" s="54"/>
      <c r="AE179" s="54"/>
      <c r="AF179" s="131">
        <v>11</v>
      </c>
    </row>
    <row r="180" s="131" customFormat="1" ht="11.5" customHeight="1">
      <c r="A180" s="705"/>
      <c r="B180" s="57"/>
      <c r="C180" s="57"/>
      <c r="D180" s="131"/>
      <c r="K180" s="53"/>
      <c r="L180" s="57"/>
      <c r="M180" s="57"/>
      <c r="N180" s="53"/>
      <c r="O180" s="53"/>
      <c r="P180" s="53"/>
      <c r="Q180" s="53"/>
      <c r="R180" s="57"/>
      <c r="S180" s="53"/>
      <c r="T180" s="53"/>
      <c r="U180" s="706"/>
      <c r="V180" s="53"/>
      <c r="W180" s="53"/>
      <c r="X180" s="53"/>
      <c r="Y180" s="53"/>
      <c r="Z180" s="53"/>
      <c r="AA180" s="56"/>
      <c r="AB180" s="54"/>
      <c r="AC180" s="54"/>
      <c r="AD180" s="54"/>
      <c r="AE180" s="54"/>
      <c r="AF180" s="131">
        <v>11</v>
      </c>
    </row>
    <row r="181" s="131" customFormat="1" ht="11.5" customHeight="1">
      <c r="A181" s="705"/>
      <c r="B181" s="57"/>
      <c r="C181" s="57"/>
      <c r="D181" s="131"/>
      <c r="K181" s="53"/>
      <c r="L181" s="57"/>
      <c r="M181" s="57"/>
      <c r="N181" s="53"/>
      <c r="O181" s="53"/>
      <c r="P181" s="53"/>
      <c r="Q181" s="53"/>
      <c r="R181" s="57"/>
      <c r="S181" s="53"/>
      <c r="T181" s="53"/>
      <c r="U181" s="706"/>
      <c r="V181" s="53"/>
      <c r="W181" s="53"/>
      <c r="X181" s="53"/>
      <c r="Y181" s="53"/>
      <c r="Z181" s="53"/>
      <c r="AA181" s="56"/>
      <c r="AB181" s="54"/>
      <c r="AC181" s="54"/>
      <c r="AD181" s="54"/>
      <c r="AE181" s="54"/>
      <c r="AF181" s="131">
        <v>11</v>
      </c>
    </row>
    <row r="182" s="131" customFormat="1" ht="11.5" customHeight="1">
      <c r="A182" s="705"/>
      <c r="B182" s="57"/>
      <c r="C182" s="57"/>
      <c r="D182" s="131"/>
      <c r="K182" s="53"/>
      <c r="L182" s="57"/>
      <c r="M182" s="57"/>
      <c r="N182" s="53"/>
      <c r="O182" s="53"/>
      <c r="P182" s="53"/>
      <c r="Q182" s="53"/>
      <c r="R182" s="57"/>
      <c r="S182" s="53"/>
      <c r="T182" s="53"/>
      <c r="U182" s="706"/>
      <c r="V182" s="53"/>
      <c r="W182" s="53"/>
      <c r="X182" s="53"/>
      <c r="Y182" s="53"/>
      <c r="Z182" s="53"/>
      <c r="AA182" s="56"/>
      <c r="AB182" s="54"/>
      <c r="AC182" s="54"/>
      <c r="AD182" s="54"/>
      <c r="AE182" s="54"/>
      <c r="AF182" s="131">
        <v>11</v>
      </c>
    </row>
    <row r="183" s="131" customFormat="1" ht="11.5" customHeight="1">
      <c r="A183" s="705"/>
      <c r="B183" s="57"/>
      <c r="C183" s="57"/>
      <c r="D183" s="131"/>
      <c r="K183" s="53"/>
      <c r="L183" s="57"/>
      <c r="M183" s="57"/>
      <c r="N183" s="53"/>
      <c r="O183" s="53"/>
      <c r="P183" s="53"/>
      <c r="Q183" s="53"/>
      <c r="R183" s="57"/>
      <c r="S183" s="53"/>
      <c r="T183" s="53"/>
      <c r="U183" s="706"/>
      <c r="V183" s="53"/>
      <c r="W183" s="53"/>
      <c r="X183" s="53"/>
      <c r="Y183" s="53"/>
      <c r="Z183" s="53"/>
      <c r="AA183" s="56"/>
      <c r="AB183" s="54"/>
      <c r="AC183" s="54"/>
      <c r="AD183" s="54"/>
      <c r="AE183" s="54"/>
      <c r="AF183" s="131">
        <v>11</v>
      </c>
    </row>
    <row r="184" s="131" customFormat="1" ht="11.5" customHeight="1">
      <c r="A184" s="705"/>
      <c r="B184" s="57"/>
      <c r="C184" s="57"/>
      <c r="D184" s="131"/>
      <c r="K184" s="53"/>
      <c r="L184" s="57"/>
      <c r="M184" s="57"/>
      <c r="N184" s="53"/>
      <c r="O184" s="53"/>
      <c r="P184" s="53"/>
      <c r="Q184" s="53"/>
      <c r="R184" s="57"/>
      <c r="S184" s="53"/>
      <c r="T184" s="53"/>
      <c r="U184" s="706"/>
      <c r="V184" s="53"/>
      <c r="W184" s="53"/>
      <c r="X184" s="53"/>
      <c r="Y184" s="53"/>
      <c r="Z184" s="53"/>
      <c r="AA184" s="56"/>
      <c r="AB184" s="54"/>
      <c r="AC184" s="54"/>
      <c r="AD184" s="54"/>
      <c r="AE184" s="54"/>
      <c r="AF184" s="131">
        <v>11</v>
      </c>
    </row>
    <row r="185" s="131" customFormat="1" ht="11.5" customHeight="1">
      <c r="A185" s="705"/>
      <c r="B185" s="57"/>
      <c r="C185" s="57"/>
      <c r="D185" s="131"/>
      <c r="K185" s="53"/>
      <c r="L185" s="57"/>
      <c r="M185" s="57"/>
      <c r="N185" s="53"/>
      <c r="O185" s="53"/>
      <c r="P185" s="53"/>
      <c r="Q185" s="53"/>
      <c r="R185" s="57"/>
      <c r="S185" s="53"/>
      <c r="T185" s="53"/>
      <c r="U185" s="706"/>
      <c r="V185" s="53"/>
      <c r="W185" s="53"/>
      <c r="X185" s="53"/>
      <c r="Y185" s="53"/>
      <c r="Z185" s="53"/>
      <c r="AA185" s="56"/>
      <c r="AB185" s="54"/>
      <c r="AC185" s="54"/>
      <c r="AD185" s="54"/>
      <c r="AE185" s="54"/>
      <c r="AF185" s="131">
        <v>11</v>
      </c>
    </row>
    <row r="186" s="131" customFormat="1" ht="11.5" customHeight="1">
      <c r="A186" s="705"/>
      <c r="B186" s="57"/>
      <c r="C186" s="57"/>
      <c r="D186" s="131"/>
      <c r="K186" s="53"/>
      <c r="L186" s="57"/>
      <c r="M186" s="57"/>
      <c r="N186" s="53"/>
      <c r="O186" s="53"/>
      <c r="P186" s="53"/>
      <c r="Q186" s="53"/>
      <c r="R186" s="57"/>
      <c r="S186" s="53"/>
      <c r="T186" s="53"/>
      <c r="U186" s="706"/>
      <c r="V186" s="53"/>
      <c r="W186" s="53"/>
      <c r="X186" s="53"/>
      <c r="Y186" s="53"/>
      <c r="Z186" s="53"/>
      <c r="AA186" s="56"/>
      <c r="AB186" s="54"/>
      <c r="AC186" s="54"/>
      <c r="AD186" s="54"/>
      <c r="AE186" s="54"/>
      <c r="AF186" s="131">
        <v>11</v>
      </c>
    </row>
    <row r="187" s="131" customFormat="1" ht="11.5" customHeight="1">
      <c r="A187" s="705"/>
      <c r="B187" s="57"/>
      <c r="C187" s="57"/>
      <c r="D187" s="131"/>
      <c r="K187" s="53"/>
      <c r="L187" s="57"/>
      <c r="M187" s="57"/>
      <c r="N187" s="53"/>
      <c r="O187" s="53"/>
      <c r="P187" s="53"/>
      <c r="Q187" s="53"/>
      <c r="R187" s="57"/>
      <c r="S187" s="53"/>
      <c r="T187" s="53"/>
      <c r="U187" s="706"/>
      <c r="V187" s="53"/>
      <c r="W187" s="53"/>
      <c r="X187" s="53"/>
      <c r="Y187" s="53"/>
      <c r="Z187" s="53"/>
      <c r="AA187" s="56"/>
      <c r="AB187" s="54"/>
      <c r="AC187" s="54"/>
      <c r="AD187" s="54"/>
      <c r="AE187" s="54"/>
      <c r="AF187" s="131">
        <v>11</v>
      </c>
    </row>
    <row r="188" s="131" customFormat="1" ht="11.5" customHeight="1">
      <c r="A188" s="705"/>
      <c r="B188" s="57"/>
      <c r="C188" s="57"/>
      <c r="D188" s="131"/>
      <c r="K188" s="53"/>
      <c r="L188" s="57"/>
      <c r="M188" s="57"/>
      <c r="N188" s="53"/>
      <c r="O188" s="53"/>
      <c r="P188" s="53"/>
      <c r="Q188" s="53"/>
      <c r="R188" s="57"/>
      <c r="S188" s="53"/>
      <c r="T188" s="53"/>
      <c r="U188" s="706"/>
      <c r="V188" s="53"/>
      <c r="W188" s="53"/>
      <c r="X188" s="53"/>
      <c r="Y188" s="53"/>
      <c r="Z188" s="53"/>
      <c r="AA188" s="56"/>
      <c r="AB188" s="54"/>
      <c r="AC188" s="54"/>
      <c r="AD188" s="54"/>
      <c r="AE188" s="54"/>
      <c r="AF188" s="131">
        <v>11</v>
      </c>
    </row>
    <row r="189" s="131" customFormat="1" ht="11.5" customHeight="1">
      <c r="A189" s="705"/>
      <c r="B189" s="57"/>
      <c r="C189" s="57"/>
      <c r="D189" s="131"/>
      <c r="K189" s="53"/>
      <c r="L189" s="57"/>
      <c r="M189" s="57"/>
      <c r="N189" s="53"/>
      <c r="O189" s="53"/>
      <c r="P189" s="53"/>
      <c r="Q189" s="53"/>
      <c r="R189" s="57"/>
      <c r="S189" s="53"/>
      <c r="T189" s="53"/>
      <c r="U189" s="706"/>
      <c r="V189" s="53"/>
      <c r="W189" s="53"/>
      <c r="X189" s="53"/>
      <c r="Y189" s="53"/>
      <c r="Z189" s="53"/>
      <c r="AA189" s="56"/>
      <c r="AB189" s="54"/>
      <c r="AC189" s="54"/>
      <c r="AD189" s="54"/>
      <c r="AE189" s="54"/>
      <c r="AF189" s="131">
        <v>11</v>
      </c>
    </row>
    <row r="190" s="131" customFormat="1" ht="11.5" customHeight="1">
      <c r="A190" s="705"/>
      <c r="B190" s="57"/>
      <c r="C190" s="57"/>
      <c r="D190" s="131"/>
      <c r="K190" s="53"/>
      <c r="L190" s="57"/>
      <c r="M190" s="57"/>
      <c r="N190" s="53"/>
      <c r="O190" s="53"/>
      <c r="P190" s="53"/>
      <c r="Q190" s="53"/>
      <c r="R190" s="57"/>
      <c r="S190" s="53"/>
      <c r="T190" s="53"/>
      <c r="U190" s="706"/>
      <c r="V190" s="53"/>
      <c r="W190" s="53"/>
      <c r="X190" s="53"/>
      <c r="Y190" s="53"/>
      <c r="Z190" s="53"/>
      <c r="AA190" s="56"/>
      <c r="AB190" s="54"/>
      <c r="AC190" s="54"/>
      <c r="AD190" s="54"/>
      <c r="AE190" s="54"/>
      <c r="AF190" s="131">
        <v>11</v>
      </c>
    </row>
    <row r="191" s="131" customFormat="1" ht="11.5" customHeight="1">
      <c r="A191" s="705"/>
      <c r="B191" s="57"/>
      <c r="C191" s="57"/>
      <c r="D191" s="131"/>
      <c r="K191" s="53"/>
      <c r="L191" s="57"/>
      <c r="M191" s="57"/>
      <c r="N191" s="53"/>
      <c r="O191" s="53"/>
      <c r="P191" s="53"/>
      <c r="Q191" s="53"/>
      <c r="R191" s="57"/>
      <c r="S191" s="53"/>
      <c r="T191" s="53"/>
      <c r="U191" s="706"/>
      <c r="V191" s="53"/>
      <c r="W191" s="53"/>
      <c r="X191" s="53"/>
      <c r="Y191" s="53"/>
      <c r="Z191" s="53"/>
      <c r="AA191" s="56"/>
      <c r="AB191" s="54"/>
      <c r="AC191" s="54"/>
      <c r="AD191" s="54"/>
      <c r="AE191" s="54"/>
      <c r="AF191" s="131">
        <v>11</v>
      </c>
    </row>
    <row r="192" s="131" customFormat="1" ht="11.5" customHeight="1">
      <c r="A192" s="705"/>
      <c r="B192" s="57"/>
      <c r="C192" s="57"/>
      <c r="D192" s="131"/>
      <c r="K192" s="53"/>
      <c r="L192" s="57"/>
      <c r="M192" s="57"/>
      <c r="N192" s="53"/>
      <c r="O192" s="53"/>
      <c r="P192" s="53"/>
      <c r="Q192" s="53"/>
      <c r="R192" s="57"/>
      <c r="S192" s="53"/>
      <c r="T192" s="53"/>
      <c r="U192" s="706"/>
      <c r="V192" s="53"/>
      <c r="W192" s="53"/>
      <c r="X192" s="53"/>
      <c r="Y192" s="53"/>
      <c r="Z192" s="53"/>
      <c r="AA192" s="56"/>
      <c r="AB192" s="54"/>
      <c r="AC192" s="54"/>
      <c r="AD192" s="54"/>
      <c r="AE192" s="54"/>
      <c r="AF192" s="131">
        <v>11</v>
      </c>
    </row>
    <row r="193" s="131" customFormat="1" ht="11.5" customHeight="1">
      <c r="A193" s="705"/>
      <c r="B193" s="57"/>
      <c r="C193" s="57"/>
      <c r="D193" s="131"/>
      <c r="K193" s="53"/>
      <c r="L193" s="57"/>
      <c r="M193" s="57"/>
      <c r="N193" s="53"/>
      <c r="O193" s="53"/>
      <c r="P193" s="53"/>
      <c r="Q193" s="53"/>
      <c r="R193" s="57"/>
      <c r="S193" s="53"/>
      <c r="T193" s="53"/>
      <c r="U193" s="706"/>
      <c r="V193" s="53"/>
      <c r="W193" s="53"/>
      <c r="X193" s="53"/>
      <c r="Y193" s="53"/>
      <c r="Z193" s="53"/>
      <c r="AA193" s="56"/>
      <c r="AB193" s="54"/>
      <c r="AC193" s="54"/>
      <c r="AD193" s="54"/>
      <c r="AE193" s="54"/>
      <c r="AF193" s="131">
        <v>11</v>
      </c>
    </row>
    <row r="194" s="131" customFormat="1" ht="11.5" customHeight="1">
      <c r="A194" s="705"/>
      <c r="B194" s="57"/>
      <c r="C194" s="57"/>
      <c r="D194" s="131"/>
      <c r="K194" s="53"/>
      <c r="L194" s="57"/>
      <c r="M194" s="57"/>
      <c r="N194" s="53"/>
      <c r="O194" s="53"/>
      <c r="P194" s="53"/>
      <c r="Q194" s="53"/>
      <c r="R194" s="57"/>
      <c r="S194" s="53"/>
      <c r="T194" s="53"/>
      <c r="U194" s="706"/>
      <c r="V194" s="53"/>
      <c r="W194" s="53"/>
      <c r="X194" s="53"/>
      <c r="Y194" s="53"/>
      <c r="Z194" s="53"/>
      <c r="AA194" s="56"/>
      <c r="AB194" s="54"/>
      <c r="AC194" s="54"/>
      <c r="AD194" s="54"/>
      <c r="AE194" s="54"/>
      <c r="AF194" s="131">
        <v>11</v>
      </c>
    </row>
    <row r="195" s="131" customFormat="1" ht="11.5" customHeight="1">
      <c r="A195" s="705"/>
      <c r="B195" s="57"/>
      <c r="C195" s="57"/>
      <c r="D195" s="131"/>
      <c r="K195" s="53"/>
      <c r="L195" s="57"/>
      <c r="M195" s="57"/>
      <c r="N195" s="53"/>
      <c r="O195" s="53"/>
      <c r="P195" s="53"/>
      <c r="Q195" s="53"/>
      <c r="R195" s="57"/>
      <c r="S195" s="53"/>
      <c r="T195" s="53"/>
      <c r="U195" s="706"/>
      <c r="V195" s="53"/>
      <c r="W195" s="53"/>
      <c r="X195" s="53"/>
      <c r="Y195" s="53"/>
      <c r="Z195" s="53"/>
      <c r="AA195" s="56"/>
      <c r="AB195" s="54"/>
      <c r="AC195" s="54"/>
      <c r="AD195" s="54"/>
      <c r="AE195" s="54"/>
      <c r="AF195" s="131">
        <v>11</v>
      </c>
    </row>
    <row r="196" s="131" customFormat="1" ht="11.5" customHeight="1">
      <c r="A196" s="705"/>
      <c r="B196" s="57"/>
      <c r="C196" s="57"/>
      <c r="D196" s="131"/>
      <c r="K196" s="53"/>
      <c r="L196" s="57"/>
      <c r="M196" s="57"/>
      <c r="N196" s="53"/>
      <c r="O196" s="53"/>
      <c r="P196" s="53"/>
      <c r="Q196" s="53"/>
      <c r="R196" s="57"/>
      <c r="S196" s="53"/>
      <c r="T196" s="53"/>
      <c r="U196" s="706"/>
      <c r="V196" s="53"/>
      <c r="W196" s="53"/>
      <c r="X196" s="53"/>
      <c r="Y196" s="53"/>
      <c r="Z196" s="53"/>
      <c r="AA196" s="56"/>
      <c r="AB196" s="54"/>
      <c r="AC196" s="54"/>
      <c r="AD196" s="54"/>
      <c r="AE196" s="54"/>
      <c r="AF196" s="131">
        <v>11</v>
      </c>
    </row>
    <row r="197" s="131" customFormat="1" ht="11.5" customHeight="1">
      <c r="A197" s="705"/>
      <c r="B197" s="57"/>
      <c r="C197" s="57"/>
      <c r="D197" s="131"/>
      <c r="K197" s="53"/>
      <c r="L197" s="57"/>
      <c r="M197" s="57"/>
      <c r="N197" s="53"/>
      <c r="O197" s="53"/>
      <c r="P197" s="53"/>
      <c r="Q197" s="53"/>
      <c r="R197" s="57"/>
      <c r="S197" s="53"/>
      <c r="T197" s="53"/>
      <c r="U197" s="706"/>
      <c r="V197" s="53"/>
      <c r="W197" s="53"/>
      <c r="X197" s="53"/>
      <c r="Y197" s="53"/>
      <c r="Z197" s="53"/>
      <c r="AA197" s="56"/>
      <c r="AB197" s="54"/>
      <c r="AC197" s="54"/>
      <c r="AD197" s="54"/>
      <c r="AE197" s="54"/>
      <c r="AF197" s="131">
        <v>11</v>
      </c>
    </row>
    <row r="198" s="131" customFormat="1" ht="11.5" customHeight="1">
      <c r="A198" s="705"/>
      <c r="B198" s="57"/>
      <c r="C198" s="57"/>
      <c r="D198" s="131"/>
      <c r="K198" s="53"/>
      <c r="L198" s="57"/>
      <c r="M198" s="57"/>
      <c r="N198" s="53"/>
      <c r="O198" s="53"/>
      <c r="P198" s="53"/>
      <c r="Q198" s="53"/>
      <c r="R198" s="57"/>
      <c r="S198" s="53"/>
      <c r="T198" s="53"/>
      <c r="U198" s="706"/>
      <c r="V198" s="53"/>
      <c r="W198" s="53"/>
      <c r="X198" s="53"/>
      <c r="Y198" s="53"/>
      <c r="Z198" s="53"/>
      <c r="AA198" s="56"/>
      <c r="AB198" s="54"/>
      <c r="AC198" s="54"/>
      <c r="AD198" s="54"/>
      <c r="AE198" s="54"/>
      <c r="AF198" s="131">
        <v>11</v>
      </c>
    </row>
    <row r="199" s="131" customFormat="1" ht="11.5" customHeight="1">
      <c r="A199" s="705"/>
      <c r="B199" s="57"/>
      <c r="C199" s="57"/>
      <c r="D199" s="131"/>
      <c r="K199" s="53"/>
      <c r="L199" s="57"/>
      <c r="M199" s="57"/>
      <c r="N199" s="53"/>
      <c r="O199" s="53"/>
      <c r="P199" s="53"/>
      <c r="Q199" s="53"/>
      <c r="R199" s="57"/>
      <c r="S199" s="53"/>
      <c r="T199" s="53"/>
      <c r="U199" s="706"/>
      <c r="V199" s="53"/>
      <c r="W199" s="53"/>
      <c r="X199" s="53"/>
      <c r="Y199" s="53"/>
      <c r="Z199" s="53"/>
      <c r="AA199" s="56"/>
      <c r="AB199" s="54"/>
      <c r="AC199" s="54"/>
      <c r="AD199" s="54"/>
      <c r="AE199" s="54"/>
      <c r="AF199" s="131">
        <v>11</v>
      </c>
    </row>
    <row r="200" s="131" customFormat="1" ht="11.5" customHeight="1">
      <c r="A200" s="705"/>
      <c r="B200" s="57"/>
      <c r="C200" s="57"/>
      <c r="D200" s="131"/>
      <c r="K200" s="53"/>
      <c r="L200" s="57"/>
      <c r="M200" s="57"/>
      <c r="N200" s="53"/>
      <c r="O200" s="53"/>
      <c r="P200" s="53"/>
      <c r="Q200" s="53"/>
      <c r="R200" s="57"/>
      <c r="S200" s="53"/>
      <c r="T200" s="53"/>
      <c r="U200" s="706"/>
      <c r="V200" s="53"/>
      <c r="W200" s="53"/>
      <c r="X200" s="53"/>
      <c r="Y200" s="53"/>
      <c r="Z200" s="53"/>
      <c r="AA200" s="56"/>
      <c r="AB200" s="54"/>
      <c r="AC200" s="54"/>
      <c r="AD200" s="54"/>
      <c r="AE200" s="54"/>
      <c r="AF200" s="131">
        <v>11</v>
      </c>
    </row>
    <row r="201" s="131" customFormat="1" ht="11.5" customHeight="1">
      <c r="A201" s="705"/>
      <c r="B201" s="57"/>
      <c r="C201" s="57"/>
      <c r="D201" s="131"/>
      <c r="K201" s="53"/>
      <c r="L201" s="57"/>
      <c r="M201" s="57"/>
      <c r="N201" s="53"/>
      <c r="O201" s="53"/>
      <c r="P201" s="53"/>
      <c r="Q201" s="53"/>
      <c r="R201" s="57"/>
      <c r="S201" s="53"/>
      <c r="T201" s="53"/>
      <c r="U201" s="706"/>
      <c r="V201" s="53"/>
      <c r="W201" s="53"/>
      <c r="X201" s="53"/>
      <c r="Y201" s="53"/>
      <c r="Z201" s="53"/>
      <c r="AA201" s="56"/>
      <c r="AB201" s="54"/>
      <c r="AC201" s="54"/>
      <c r="AD201" s="54"/>
      <c r="AE201" s="54"/>
      <c r="AF201" s="131">
        <v>11</v>
      </c>
    </row>
    <row r="202" s="131" customFormat="1" ht="11.5" customHeight="1">
      <c r="A202" s="705"/>
      <c r="B202" s="57"/>
      <c r="C202" s="57"/>
      <c r="D202" s="131"/>
      <c r="K202" s="53"/>
      <c r="L202" s="57"/>
      <c r="M202" s="57"/>
      <c r="N202" s="53"/>
      <c r="O202" s="53"/>
      <c r="P202" s="53"/>
      <c r="Q202" s="53"/>
      <c r="R202" s="57"/>
      <c r="S202" s="53"/>
      <c r="T202" s="53"/>
      <c r="U202" s="706"/>
      <c r="V202" s="53"/>
      <c r="W202" s="53"/>
      <c r="X202" s="53"/>
      <c r="Y202" s="53"/>
      <c r="Z202" s="53"/>
      <c r="AA202" s="56"/>
      <c r="AB202" s="54"/>
      <c r="AC202" s="54"/>
      <c r="AD202" s="54"/>
      <c r="AE202" s="54"/>
      <c r="AF202" s="131">
        <v>11</v>
      </c>
    </row>
    <row r="203" ht="11.5" customHeight="1">
      <c r="AF203" s="50">
        <v>11</v>
      </c>
    </row>
    <row r="204" ht="11.5" customHeight="1">
      <c r="AF204" s="50">
        <v>11</v>
      </c>
    </row>
    <row r="205" ht="11.5" customHeight="1">
      <c r="AF205" s="50">
        <v>11</v>
      </c>
    </row>
    <row r="206" ht="11.5" customHeight="1">
      <c r="A206" s="77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7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7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7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73"/>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73"/>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73"/>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73"/>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73"/>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73"/>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73"/>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05"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06">
        <v>8</v>
      </c>
      <c r="V217" s="53">
        <v>8</v>
      </c>
      <c r="W217" s="53">
        <v>8</v>
      </c>
      <c r="X217" s="53">
        <v>8</v>
      </c>
      <c r="Y217" s="53">
        <v>8</v>
      </c>
      <c r="Z217" s="53">
        <v>8</v>
      </c>
      <c r="AA217" s="56">
        <v>8</v>
      </c>
      <c r="AB217" s="56">
        <v>8</v>
      </c>
      <c r="AC217" s="56">
        <v>8</v>
      </c>
      <c r="AD217" s="56">
        <v>8</v>
      </c>
      <c r="AE217" s="56">
        <v>8</v>
      </c>
      <c r="AF217" s="50">
        <v>11</v>
      </c>
    </row>
  </sheetData>
  <sheetProtection autoFilter="0" deleteColumns="1" deleteRows="1" formatCells="1" formatColumns="0" formatRows="0" insertColumns="1" insertHyperlinks="1" insertRows="1" objects="0" pivotTables="1" scenarios="0" selectLockedCells="0" selectUnlockedCells="0" sheet="1" sort="1"/>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86002B-0044-4482-ADF9-00E700A8009F}"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BE0039-002E-4062-A212-008500D0004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7E0034-0046-4B63-98D4-001E00E5000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410028-007B-4EA2-9449-008B003A005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9C002C-0051-4553-9C2A-0026000F0024}"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0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6" width="8.00390625"/>
    <col customWidth="1" min="22" max="26" style="53" width="8.00390625"/>
    <col customWidth="1" min="27" max="31" style="56" width="8.00390625"/>
    <col hidden="1" min="32" max="32" style="50" width="9.140625"/>
  </cols>
  <sheetData>
    <row r="1" s="53" customFormat="1" ht="22.5" hidden="1" customHeight="1">
      <c r="A1" s="705"/>
      <c r="C1" s="57"/>
      <c r="D1" s="53"/>
      <c r="H1" s="53">
        <v>4</v>
      </c>
      <c r="I1" s="53">
        <v>4</v>
      </c>
      <c r="L1" s="57"/>
      <c r="M1" s="57"/>
      <c r="R1" s="57"/>
      <c r="AF1" s="53" t="s">
        <v>14</v>
      </c>
    </row>
    <row r="2" s="53" customFormat="1" ht="22.5" hidden="1" customHeight="1">
      <c r="A2" s="705"/>
      <c r="C2" s="57"/>
      <c r="D2" s="715"/>
      <c r="E2" s="157"/>
      <c r="F2" s="159"/>
      <c r="G2" s="157" t="s">
        <v>547</v>
      </c>
      <c r="H2" s="507"/>
      <c r="I2" s="507"/>
      <c r="J2" s="716" t="s">
        <v>550</v>
      </c>
      <c r="K2" s="709"/>
      <c r="L2" s="57"/>
      <c r="M2" s="57"/>
      <c r="R2" s="57"/>
      <c r="U2" s="706"/>
      <c r="AA2" s="56"/>
      <c r="AB2" s="56"/>
      <c r="AC2" s="56"/>
      <c r="AD2" s="56"/>
      <c r="AE2" s="56"/>
      <c r="AF2" s="53">
        <v>0</v>
      </c>
    </row>
    <row r="3" ht="11.25" hidden="1" customHeight="1">
      <c r="AF3" s="50">
        <v>0</v>
      </c>
    </row>
    <row r="4" s="56" customFormat="1" ht="11.25" hidden="1" customHeight="1">
      <c r="A4" s="705"/>
      <c r="B4" s="53"/>
      <c r="C4" s="57"/>
      <c r="D4" s="56"/>
      <c r="J4" s="56">
        <v>4</v>
      </c>
      <c r="K4" s="53"/>
      <c r="L4" s="57"/>
      <c r="M4" s="57"/>
      <c r="N4" s="53"/>
      <c r="O4" s="53"/>
      <c r="P4" s="53"/>
      <c r="Q4" s="53"/>
      <c r="R4" s="57"/>
      <c r="S4" s="53"/>
      <c r="T4" s="53"/>
      <c r="U4" s="706"/>
      <c r="V4" s="53"/>
      <c r="W4" s="53"/>
      <c r="X4" s="53"/>
      <c r="Y4" s="53"/>
      <c r="Z4" s="53"/>
      <c r="AF4" s="56">
        <v>0</v>
      </c>
    </row>
    <row r="5" ht="11.5" customHeight="1">
      <c r="AF5" s="50">
        <v>11</v>
      </c>
    </row>
    <row r="6" ht="33.75" customHeight="1">
      <c r="E6" s="452" t="s">
        <v>770</v>
      </c>
      <c r="F6" s="452"/>
      <c r="G6" s="452"/>
      <c r="H6" s="452"/>
      <c r="I6" s="452"/>
      <c r="J6" s="240"/>
      <c r="AF6" s="50">
        <v>32</v>
      </c>
    </row>
    <row r="7" ht="25.199999999999999" customHeight="1">
      <c r="E7" s="303" t="str">
        <f>IF(org=0,"Не определено",org)</f>
        <v xml:space="preserve">АО "ДГК" СП "Биробиджанская ТЭЦ"</v>
      </c>
      <c r="F7" s="303"/>
      <c r="G7" s="303"/>
      <c r="H7" s="303"/>
      <c r="I7" s="303"/>
      <c r="AF7" s="50">
        <v>24</v>
      </c>
    </row>
    <row r="8" ht="11.5" customHeight="1">
      <c r="E8" s="719"/>
      <c r="F8" s="719"/>
      <c r="G8" s="719"/>
      <c r="H8" s="719"/>
      <c r="I8" s="719"/>
      <c r="AF8" s="50">
        <v>11</v>
      </c>
    </row>
    <row r="9" s="57" customFormat="1" ht="1.05" customHeight="1">
      <c r="A9" s="531"/>
      <c r="D9" s="57"/>
      <c r="H9" s="720"/>
      <c r="I9" s="720" t="s">
        <v>114</v>
      </c>
      <c r="AF9" s="57">
        <v>1</v>
      </c>
    </row>
    <row r="10" ht="11.5" customHeight="1">
      <c r="E10" s="721"/>
      <c r="F10" s="722" t="s">
        <v>102</v>
      </c>
      <c r="G10" s="723"/>
      <c r="H10" s="724" t="str">
        <f>IF(H9="","",INDEX(DIFFERENTIATION_UNMERGE_VD,MATCH(H9,DIFFERENTIATION_ID_DIFF,0)))</f>
        <v/>
      </c>
      <c r="I10" s="724">
        <f>IF(I9="","",INDEX(DIFFERENTIATION_UNMERGE_VD,MATCH(I9,DIFFERENTIATION_ID_DIFF,0)))</f>
        <v>0</v>
      </c>
      <c r="J10" s="157"/>
      <c r="AF10" s="50">
        <v>11</v>
      </c>
    </row>
    <row r="11" ht="11.5" customHeight="1">
      <c r="E11" s="721"/>
      <c r="F11" s="722" t="s">
        <v>559</v>
      </c>
      <c r="G11" s="723"/>
      <c r="H11" s="724" t="str">
        <f>IF(H9="","",INDEX(DIFFERENTIATION_UNMERGE_AREA,MATCH(H9,DIFFERENTIATION_ID_DIFF,0)))</f>
        <v/>
      </c>
      <c r="I11" s="724" t="str">
        <f>IF(I9="","",INDEX(DIFFERENTIATION_UNMERGE_AREA,MATCH(I9,DIFFERENTIATION_ID_DIFF,0)))</f>
        <v/>
      </c>
      <c r="J11" s="157"/>
      <c r="AF11" s="50">
        <v>11</v>
      </c>
    </row>
    <row r="12" ht="11.25" hidden="1" customHeight="1">
      <c r="E12" s="806"/>
      <c r="F12" s="836" t="s">
        <v>560</v>
      </c>
      <c r="G12" s="837"/>
      <c r="H12" s="838" t="str">
        <f>IF(H9="","",INDEX(DIFFERENTIATION_UNMERGE_SYSTEM,MATCH(H9,DIFFERENTIATION_ID_DIFF,0)))</f>
        <v/>
      </c>
      <c r="I12" s="838" t="str">
        <f>IF(I9="","",INDEX(DIFFERENTIATION_UNMERGE_SYSTEM,MATCH(I9,DIFFERENTIATION_ID_DIFF,0)))</f>
        <v xml:space="preserve">без дифференциации</v>
      </c>
      <c r="J12" s="157"/>
      <c r="AF12" s="50">
        <v>0</v>
      </c>
    </row>
    <row r="13" ht="11.5" customHeight="1">
      <c r="E13" s="725" t="s">
        <v>295</v>
      </c>
      <c r="F13" s="726"/>
      <c r="G13" s="726"/>
      <c r="H13" s="722"/>
      <c r="I13" s="722"/>
      <c r="J13" s="157"/>
      <c r="AF13" s="50">
        <v>11</v>
      </c>
    </row>
    <row r="14" ht="24" customHeight="1">
      <c r="E14" s="157" t="s">
        <v>88</v>
      </c>
      <c r="F14" s="157" t="s">
        <v>297</v>
      </c>
      <c r="G14" s="157" t="s">
        <v>561</v>
      </c>
      <c r="H14" s="157" t="s">
        <v>298</v>
      </c>
      <c r="I14" s="157" t="s">
        <v>298</v>
      </c>
      <c r="J14" s="157"/>
      <c r="AF14" s="50">
        <v>23</v>
      </c>
    </row>
    <row r="15" ht="19.949999999999999" customHeight="1">
      <c r="D15" s="125"/>
      <c r="E15" s="809" t="s">
        <v>106</v>
      </c>
      <c r="F15" s="313" t="s">
        <v>771</v>
      </c>
      <c r="G15" s="157" t="s">
        <v>547</v>
      </c>
      <c r="H15" s="727"/>
      <c r="I15" s="727"/>
      <c r="J15" s="485" t="s">
        <v>772</v>
      </c>
      <c r="K15" s="709" t="s">
        <v>625</v>
      </c>
      <c r="AF15" s="50">
        <v>19</v>
      </c>
    </row>
    <row r="16" ht="24" customHeight="1">
      <c r="D16" s="125"/>
      <c r="E16" s="809" t="s">
        <v>107</v>
      </c>
      <c r="F16" s="328" t="s">
        <v>773</v>
      </c>
      <c r="G16" s="157" t="s">
        <v>547</v>
      </c>
      <c r="H16" s="728">
        <f>SUM(H17,H20:H27)</f>
        <v>0</v>
      </c>
      <c r="I16" s="728">
        <f>SUM(I17,I20:I27)</f>
        <v>0</v>
      </c>
      <c r="J16" s="485" t="s">
        <v>774</v>
      </c>
      <c r="K16" s="709" t="s">
        <v>625</v>
      </c>
      <c r="AF16" s="50">
        <v>23</v>
      </c>
    </row>
    <row r="17" ht="35.649999999999999" customHeight="1">
      <c r="D17" s="125"/>
      <c r="E17" s="815" t="s">
        <v>704</v>
      </c>
      <c r="F17" s="379" t="s">
        <v>775</v>
      </c>
      <c r="G17" s="72" t="s">
        <v>547</v>
      </c>
      <c r="H17" s="727"/>
      <c r="I17" s="727"/>
      <c r="J17" s="485" t="s">
        <v>776</v>
      </c>
      <c r="K17" s="709"/>
      <c r="AF17" s="50">
        <v>34</v>
      </c>
    </row>
    <row r="18" ht="19.949999999999999" customHeight="1">
      <c r="D18" s="125"/>
      <c r="E18" s="815" t="s">
        <v>707</v>
      </c>
      <c r="F18" s="840" t="s">
        <v>777</v>
      </c>
      <c r="G18" s="72" t="s">
        <v>547</v>
      </c>
      <c r="H18" s="727"/>
      <c r="I18" s="727"/>
      <c r="J18" s="485"/>
      <c r="K18" s="709"/>
      <c r="AF18" s="50">
        <v>19</v>
      </c>
    </row>
    <row r="19" ht="24" customHeight="1">
      <c r="D19" s="125"/>
      <c r="E19" s="815" t="s">
        <v>710</v>
      </c>
      <c r="F19" s="840" t="s">
        <v>778</v>
      </c>
      <c r="G19" s="72" t="s">
        <v>547</v>
      </c>
      <c r="H19" s="727"/>
      <c r="I19" s="727"/>
      <c r="J19" s="485"/>
      <c r="K19" s="709"/>
      <c r="AF19" s="50">
        <v>23</v>
      </c>
    </row>
    <row r="20" ht="35.649999999999999" customHeight="1">
      <c r="D20" s="125"/>
      <c r="E20" s="815" t="s">
        <v>302</v>
      </c>
      <c r="F20" s="379" t="s">
        <v>779</v>
      </c>
      <c r="G20" s="72" t="s">
        <v>547</v>
      </c>
      <c r="H20" s="727"/>
      <c r="I20" s="727"/>
      <c r="J20" s="485"/>
      <c r="K20" s="709"/>
      <c r="AF20" s="50">
        <v>34</v>
      </c>
    </row>
    <row r="21" ht="48.25" customHeight="1">
      <c r="D21" s="125"/>
      <c r="E21" s="815" t="s">
        <v>305</v>
      </c>
      <c r="F21" s="379" t="s">
        <v>780</v>
      </c>
      <c r="G21" s="72" t="s">
        <v>547</v>
      </c>
      <c r="H21" s="727"/>
      <c r="I21" s="727"/>
      <c r="J21" s="485"/>
      <c r="K21" s="709"/>
      <c r="AF21" s="50">
        <v>46</v>
      </c>
    </row>
    <row r="22" ht="60" customHeight="1">
      <c r="D22" s="125"/>
      <c r="E22" s="815" t="s">
        <v>724</v>
      </c>
      <c r="F22" s="379" t="s">
        <v>781</v>
      </c>
      <c r="G22" s="72" t="s">
        <v>547</v>
      </c>
      <c r="H22" s="727"/>
      <c r="I22" s="727"/>
      <c r="J22" s="485"/>
      <c r="K22" s="709"/>
      <c r="AF22" s="50">
        <v>57</v>
      </c>
    </row>
    <row r="23" ht="35.649999999999999" customHeight="1">
      <c r="D23" s="125"/>
      <c r="E23" s="815" t="s">
        <v>731</v>
      </c>
      <c r="F23" s="379" t="s">
        <v>782</v>
      </c>
      <c r="G23" s="72" t="s">
        <v>547</v>
      </c>
      <c r="H23" s="727"/>
      <c r="I23" s="727"/>
      <c r="J23" s="485"/>
      <c r="K23" s="709"/>
      <c r="AF23" s="50">
        <v>34</v>
      </c>
    </row>
    <row r="24" ht="35.649999999999999" customHeight="1">
      <c r="D24" s="125"/>
      <c r="E24" s="815" t="s">
        <v>733</v>
      </c>
      <c r="F24" s="379" t="s">
        <v>783</v>
      </c>
      <c r="G24" s="72" t="s">
        <v>547</v>
      </c>
      <c r="H24" s="727"/>
      <c r="I24" s="727"/>
      <c r="J24" s="485"/>
      <c r="K24" s="709"/>
      <c r="AF24" s="50">
        <v>34</v>
      </c>
    </row>
    <row r="25" ht="24" customHeight="1">
      <c r="D25" s="125"/>
      <c r="E25" s="815" t="s">
        <v>735</v>
      </c>
      <c r="F25" s="379" t="s">
        <v>784</v>
      </c>
      <c r="G25" s="72" t="s">
        <v>547</v>
      </c>
      <c r="H25" s="727"/>
      <c r="I25" s="727"/>
      <c r="J25" s="485"/>
      <c r="K25" s="709"/>
      <c r="AF25" s="50">
        <v>23</v>
      </c>
    </row>
    <row r="26" ht="76.5" customHeight="1">
      <c r="D26" s="125"/>
      <c r="E26" s="815" t="s">
        <v>737</v>
      </c>
      <c r="F26" s="379" t="s">
        <v>785</v>
      </c>
      <c r="G26" s="72" t="s">
        <v>547</v>
      </c>
      <c r="H26" s="727"/>
      <c r="I26" s="727"/>
      <c r="J26" s="485"/>
      <c r="K26" s="709"/>
      <c r="AF26" s="50">
        <v>73</v>
      </c>
    </row>
    <row r="27" s="53" customFormat="1" ht="35.649999999999999" customHeight="1">
      <c r="A27" s="705"/>
      <c r="C27" s="57"/>
      <c r="D27" s="125"/>
      <c r="E27" s="811" t="s">
        <v>741</v>
      </c>
      <c r="F27" s="186" t="s">
        <v>786</v>
      </c>
      <c r="G27" s="307" t="s">
        <v>547</v>
      </c>
      <c r="H27" s="750">
        <f>SUM(H28:H29)</f>
        <v>0</v>
      </c>
      <c r="I27" s="750">
        <f>SUM(I28:I29)</f>
        <v>0</v>
      </c>
      <c r="J27" s="485" t="s">
        <v>739</v>
      </c>
      <c r="K27" s="709"/>
      <c r="L27" s="57"/>
      <c r="M27" s="57"/>
      <c r="R27" s="57"/>
      <c r="U27" s="706"/>
      <c r="AA27" s="56"/>
      <c r="AB27" s="56"/>
      <c r="AC27" s="56"/>
      <c r="AD27" s="56"/>
      <c r="AE27" s="56"/>
      <c r="AF27" s="53">
        <v>34</v>
      </c>
    </row>
    <row r="28" s="57" customFormat="1" ht="1.05" customHeight="1">
      <c r="A28" s="531"/>
      <c r="D28" s="531"/>
      <c r="E28" s="158" t="str">
        <f>E27&amp;".0"</f>
        <v>2.9.0</v>
      </c>
      <c r="F28" s="751"/>
      <c r="G28" s="158"/>
      <c r="H28" s="752"/>
      <c r="I28" s="752"/>
      <c r="J28" s="753"/>
      <c r="AF28" s="57">
        <v>1</v>
      </c>
    </row>
    <row r="29" s="53" customFormat="1" ht="19.949999999999999" customHeight="1">
      <c r="A29" s="705"/>
      <c r="C29" s="57"/>
      <c r="D29" s="128"/>
      <c r="E29" s="740"/>
      <c r="F29" s="839" t="s">
        <v>572</v>
      </c>
      <c r="G29" s="741"/>
      <c r="H29" s="742"/>
      <c r="I29" s="742"/>
      <c r="J29" s="549" t="s">
        <v>740</v>
      </c>
      <c r="K29" s="709"/>
      <c r="L29" s="57"/>
      <c r="M29" s="57"/>
      <c r="R29" s="57"/>
      <c r="U29" s="706"/>
      <c r="AA29" s="56"/>
      <c r="AB29" s="56"/>
      <c r="AC29" s="56"/>
      <c r="AD29" s="56"/>
      <c r="AE29" s="56"/>
      <c r="AF29" s="53">
        <v>19</v>
      </c>
    </row>
    <row r="30" s="53" customFormat="1" ht="24" customHeight="1">
      <c r="A30" s="705"/>
      <c r="C30" s="57"/>
      <c r="D30" s="125"/>
      <c r="E30" s="815" t="s">
        <v>90</v>
      </c>
      <c r="F30" s="841" t="s">
        <v>787</v>
      </c>
      <c r="G30" s="72" t="s">
        <v>547</v>
      </c>
      <c r="H30" s="727"/>
      <c r="I30" s="727"/>
      <c r="J30" s="485"/>
      <c r="K30" s="709"/>
      <c r="L30" s="57"/>
      <c r="M30" s="57"/>
      <c r="R30" s="57"/>
      <c r="U30" s="706"/>
      <c r="AA30" s="56"/>
      <c r="AB30" s="56"/>
      <c r="AC30" s="56"/>
      <c r="AD30" s="56"/>
      <c r="AE30" s="56"/>
      <c r="AF30" s="53">
        <v>23</v>
      </c>
    </row>
    <row r="31" s="53" customFormat="1" ht="35.649999999999999" customHeight="1">
      <c r="A31" s="705"/>
      <c r="C31" s="57"/>
      <c r="D31" s="746"/>
      <c r="E31" s="815" t="s">
        <v>91</v>
      </c>
      <c r="F31" s="841" t="s">
        <v>788</v>
      </c>
      <c r="G31" s="72" t="s">
        <v>547</v>
      </c>
      <c r="H31" s="727"/>
      <c r="I31" s="727"/>
      <c r="J31" s="485" t="s">
        <v>789</v>
      </c>
      <c r="K31" s="709"/>
      <c r="L31" s="57"/>
      <c r="M31" s="57"/>
      <c r="R31" s="57"/>
      <c r="U31" s="706"/>
      <c r="AA31" s="56"/>
      <c r="AB31" s="56"/>
      <c r="AC31" s="56"/>
      <c r="AD31" s="56"/>
      <c r="AE31" s="56"/>
      <c r="AF31" s="53">
        <v>34</v>
      </c>
    </row>
    <row r="32" s="53" customFormat="1" ht="24" customHeight="1">
      <c r="A32" s="705"/>
      <c r="C32" s="57"/>
      <c r="D32" s="125"/>
      <c r="E32" s="815" t="s">
        <v>749</v>
      </c>
      <c r="F32" s="379" t="s">
        <v>753</v>
      </c>
      <c r="G32" s="72" t="s">
        <v>547</v>
      </c>
      <c r="H32" s="727"/>
      <c r="I32" s="727"/>
      <c r="J32" s="485" t="s">
        <v>790</v>
      </c>
      <c r="K32" s="709"/>
      <c r="L32" s="57"/>
      <c r="M32" s="57"/>
      <c r="R32" s="57"/>
      <c r="U32" s="706"/>
      <c r="AA32" s="56"/>
      <c r="AB32" s="56"/>
      <c r="AC32" s="56"/>
      <c r="AD32" s="56"/>
      <c r="AE32" s="56"/>
      <c r="AF32" s="53">
        <v>23</v>
      </c>
    </row>
    <row r="33" s="53" customFormat="1" ht="24" customHeight="1">
      <c r="A33" s="705"/>
      <c r="C33" s="57"/>
      <c r="D33" s="125"/>
      <c r="E33" s="815" t="s">
        <v>791</v>
      </c>
      <c r="F33" s="379" t="s">
        <v>792</v>
      </c>
      <c r="G33" s="72" t="s">
        <v>547</v>
      </c>
      <c r="H33" s="727"/>
      <c r="I33" s="727"/>
      <c r="J33" s="485" t="s">
        <v>793</v>
      </c>
      <c r="K33" s="709"/>
      <c r="L33" s="57"/>
      <c r="M33" s="57"/>
      <c r="R33" s="57"/>
      <c r="U33" s="706"/>
      <c r="AA33" s="56"/>
      <c r="AB33" s="56"/>
      <c r="AC33" s="56"/>
      <c r="AD33" s="56"/>
      <c r="AE33" s="56"/>
      <c r="AF33" s="53">
        <v>23</v>
      </c>
    </row>
    <row r="34" s="53" customFormat="1" ht="24" customHeight="1">
      <c r="A34" s="705"/>
      <c r="C34" s="57"/>
      <c r="D34" s="125"/>
      <c r="E34" s="815" t="s">
        <v>794</v>
      </c>
      <c r="F34" s="379" t="s">
        <v>759</v>
      </c>
      <c r="G34" s="72" t="s">
        <v>547</v>
      </c>
      <c r="H34" s="727"/>
      <c r="I34" s="727"/>
      <c r="J34" s="485" t="s">
        <v>795</v>
      </c>
      <c r="K34" s="709"/>
      <c r="L34" s="57"/>
      <c r="M34" s="57"/>
      <c r="R34" s="57"/>
      <c r="U34" s="706"/>
      <c r="AA34" s="56"/>
      <c r="AB34" s="56"/>
      <c r="AC34" s="56"/>
      <c r="AD34" s="56"/>
      <c r="AE34" s="56"/>
      <c r="AF34" s="53">
        <v>23</v>
      </c>
    </row>
    <row r="35" s="53" customFormat="1" ht="35.649999999999999" customHeight="1">
      <c r="A35" s="705"/>
      <c r="C35" s="57" t="s">
        <v>583</v>
      </c>
      <c r="D35" s="125"/>
      <c r="E35" s="815" t="s">
        <v>108</v>
      </c>
      <c r="F35" s="841" t="s">
        <v>624</v>
      </c>
      <c r="G35" s="157" t="s">
        <v>301</v>
      </c>
      <c r="H35" s="758"/>
      <c r="I35" s="758"/>
      <c r="J35" s="485" t="s">
        <v>796</v>
      </c>
      <c r="K35" s="709"/>
      <c r="L35" s="57"/>
      <c r="M35" s="57"/>
      <c r="R35" s="57"/>
      <c r="U35" s="706"/>
      <c r="AA35" s="56"/>
      <c r="AB35" s="56"/>
      <c r="AC35" s="56"/>
      <c r="AD35" s="56"/>
      <c r="AE35" s="56"/>
      <c r="AF35" s="53">
        <v>34</v>
      </c>
    </row>
    <row r="36" s="53" customFormat="1" ht="35.649999999999999" customHeight="1">
      <c r="A36" s="705"/>
      <c r="C36" s="57"/>
      <c r="D36" s="125"/>
      <c r="E36" s="815" t="s">
        <v>92</v>
      </c>
      <c r="F36" s="841" t="s">
        <v>797</v>
      </c>
      <c r="G36" s="72" t="s">
        <v>764</v>
      </c>
      <c r="H36" s="717"/>
      <c r="I36" s="717"/>
      <c r="J36" s="485" t="s">
        <v>765</v>
      </c>
      <c r="K36" s="709"/>
      <c r="L36" s="57"/>
      <c r="M36" s="57"/>
      <c r="R36" s="57"/>
      <c r="U36" s="706"/>
      <c r="AA36" s="56"/>
      <c r="AB36" s="56"/>
      <c r="AC36" s="56"/>
      <c r="AD36" s="56"/>
      <c r="AE36" s="56"/>
      <c r="AF36" s="53">
        <v>34</v>
      </c>
    </row>
    <row r="37" s="53" customFormat="1" ht="24" customHeight="1">
      <c r="A37" s="705"/>
      <c r="C37" s="57"/>
      <c r="D37" s="125"/>
      <c r="E37" s="815" t="s">
        <v>93</v>
      </c>
      <c r="F37" s="841" t="s">
        <v>798</v>
      </c>
      <c r="G37" s="72" t="s">
        <v>767</v>
      </c>
      <c r="H37" s="717"/>
      <c r="I37" s="717"/>
      <c r="J37" s="485" t="s">
        <v>768</v>
      </c>
      <c r="K37" s="709"/>
      <c r="L37" s="57"/>
      <c r="M37" s="57"/>
      <c r="R37" s="57"/>
      <c r="U37" s="706"/>
      <c r="AA37" s="56"/>
      <c r="AB37" s="56"/>
      <c r="AC37" s="56"/>
      <c r="AD37" s="56"/>
      <c r="AE37" s="56"/>
      <c r="AF37" s="53">
        <v>23</v>
      </c>
    </row>
    <row r="38" ht="11.5" customHeight="1">
      <c r="D38" s="125"/>
      <c r="AF38" s="50">
        <v>11</v>
      </c>
    </row>
    <row r="39" ht="27.300000000000001" customHeight="1">
      <c r="D39" s="125"/>
      <c r="E39" s="476" t="s">
        <v>799</v>
      </c>
      <c r="F39" s="574" t="s">
        <v>800</v>
      </c>
      <c r="G39" s="574"/>
      <c r="H39" s="395"/>
      <c r="I39" s="395"/>
      <c r="J39" s="395"/>
      <c r="AF39" s="50">
        <v>26</v>
      </c>
    </row>
    <row r="40" s="131" customFormat="1" ht="39.75" customHeight="1">
      <c r="A40" s="705"/>
      <c r="B40" s="57"/>
      <c r="C40" s="57"/>
      <c r="D40" s="131"/>
      <c r="F40" s="574" t="s">
        <v>801</v>
      </c>
      <c r="G40" s="574"/>
      <c r="H40" s="395"/>
      <c r="I40" s="395"/>
      <c r="J40" s="395"/>
      <c r="K40" s="53"/>
      <c r="L40" s="57"/>
      <c r="M40" s="57"/>
      <c r="N40" s="53"/>
      <c r="O40" s="53"/>
      <c r="P40" s="53"/>
      <c r="Q40" s="53"/>
      <c r="R40" s="57"/>
      <c r="S40" s="53"/>
      <c r="T40" s="53"/>
      <c r="U40" s="706"/>
      <c r="V40" s="53"/>
      <c r="W40" s="53"/>
      <c r="X40" s="53"/>
      <c r="Y40" s="53"/>
      <c r="Z40" s="53"/>
      <c r="AA40" s="56"/>
      <c r="AB40" s="54"/>
      <c r="AC40" s="54"/>
      <c r="AD40" s="54"/>
      <c r="AE40" s="54"/>
      <c r="AF40" s="131">
        <v>38</v>
      </c>
    </row>
    <row r="41" s="131" customFormat="1" ht="11.5" customHeight="1">
      <c r="A41" s="705"/>
      <c r="B41" s="57"/>
      <c r="C41" s="57"/>
      <c r="D41" s="131"/>
      <c r="K41" s="53"/>
      <c r="L41" s="57"/>
      <c r="M41" s="57"/>
      <c r="N41" s="53"/>
      <c r="O41" s="53"/>
      <c r="P41" s="53"/>
      <c r="Q41" s="53"/>
      <c r="R41" s="57"/>
      <c r="S41" s="53"/>
      <c r="T41" s="53"/>
      <c r="U41" s="706"/>
      <c r="V41" s="53"/>
      <c r="W41" s="53"/>
      <c r="X41" s="53"/>
      <c r="Y41" s="53"/>
      <c r="Z41" s="53"/>
      <c r="AA41" s="56"/>
      <c r="AB41" s="54"/>
      <c r="AC41" s="54"/>
      <c r="AD41" s="54"/>
      <c r="AE41" s="54"/>
      <c r="AF41" s="131">
        <v>11</v>
      </c>
    </row>
    <row r="42" s="131" customFormat="1" ht="11.5" customHeight="1">
      <c r="A42" s="705"/>
      <c r="B42" s="57"/>
      <c r="C42" s="57"/>
      <c r="D42" s="131"/>
      <c r="K42" s="53"/>
      <c r="L42" s="57"/>
      <c r="M42" s="57"/>
      <c r="N42" s="53"/>
      <c r="O42" s="53"/>
      <c r="P42" s="53"/>
      <c r="Q42" s="53"/>
      <c r="R42" s="57"/>
      <c r="S42" s="53"/>
      <c r="T42" s="53"/>
      <c r="U42" s="706"/>
      <c r="V42" s="53"/>
      <c r="W42" s="53"/>
      <c r="X42" s="53"/>
      <c r="Y42" s="53"/>
      <c r="Z42" s="53"/>
      <c r="AA42" s="56"/>
      <c r="AB42" s="54"/>
      <c r="AC42" s="54"/>
      <c r="AD42" s="54"/>
      <c r="AE42" s="54"/>
      <c r="AF42" s="131">
        <v>11</v>
      </c>
    </row>
    <row r="43" s="131" customFormat="1" ht="11.5" customHeight="1">
      <c r="A43" s="705"/>
      <c r="B43" s="57"/>
      <c r="C43" s="57"/>
      <c r="D43" s="131"/>
      <c r="H43" s="54"/>
      <c r="I43" s="54"/>
      <c r="K43" s="53"/>
      <c r="L43" s="57"/>
      <c r="M43" s="57"/>
      <c r="N43" s="53"/>
      <c r="O43" s="53"/>
      <c r="P43" s="53"/>
      <c r="Q43" s="53"/>
      <c r="R43" s="57"/>
      <c r="S43" s="53"/>
      <c r="T43" s="53"/>
      <c r="U43" s="706"/>
      <c r="V43" s="53"/>
      <c r="W43" s="53"/>
      <c r="X43" s="53"/>
      <c r="Y43" s="53"/>
      <c r="Z43" s="53"/>
      <c r="AA43" s="56"/>
      <c r="AB43" s="54"/>
      <c r="AC43" s="54"/>
      <c r="AD43" s="54"/>
      <c r="AE43" s="54"/>
      <c r="AF43" s="131">
        <v>11</v>
      </c>
    </row>
    <row r="44" s="131" customFormat="1" ht="11.5" customHeight="1">
      <c r="A44" s="705"/>
      <c r="B44" s="57"/>
      <c r="C44" s="57"/>
      <c r="D44" s="131"/>
      <c r="K44" s="53"/>
      <c r="L44" s="57"/>
      <c r="M44" s="57"/>
      <c r="N44" s="53"/>
      <c r="O44" s="53"/>
      <c r="P44" s="53"/>
      <c r="Q44" s="53"/>
      <c r="R44" s="57"/>
      <c r="S44" s="53"/>
      <c r="T44" s="53"/>
      <c r="U44" s="706"/>
      <c r="V44" s="53"/>
      <c r="W44" s="53"/>
      <c r="X44" s="53"/>
      <c r="Y44" s="53"/>
      <c r="Z44" s="53"/>
      <c r="AA44" s="56"/>
      <c r="AB44" s="54"/>
      <c r="AC44" s="54"/>
      <c r="AD44" s="54"/>
      <c r="AE44" s="54"/>
      <c r="AF44" s="131">
        <v>11</v>
      </c>
    </row>
    <row r="45" s="131" customFormat="1" ht="11.5" customHeight="1">
      <c r="A45" s="705"/>
      <c r="B45" s="57"/>
      <c r="C45" s="57"/>
      <c r="D45" s="131"/>
      <c r="K45" s="53"/>
      <c r="L45" s="57"/>
      <c r="M45" s="57"/>
      <c r="N45" s="53"/>
      <c r="O45" s="53"/>
      <c r="P45" s="53"/>
      <c r="Q45" s="53"/>
      <c r="R45" s="57"/>
      <c r="S45" s="53"/>
      <c r="T45" s="53"/>
      <c r="U45" s="706"/>
      <c r="V45" s="53"/>
      <c r="W45" s="53"/>
      <c r="X45" s="53"/>
      <c r="Y45" s="53"/>
      <c r="Z45" s="53"/>
      <c r="AA45" s="56"/>
      <c r="AB45" s="54"/>
      <c r="AC45" s="54"/>
      <c r="AD45" s="54"/>
      <c r="AE45" s="54"/>
      <c r="AF45" s="131">
        <v>11</v>
      </c>
    </row>
    <row r="46" s="131" customFormat="1" ht="11.5" customHeight="1">
      <c r="A46" s="705"/>
      <c r="B46" s="57"/>
      <c r="C46" s="57"/>
      <c r="D46" s="131"/>
      <c r="K46" s="53"/>
      <c r="L46" s="57"/>
      <c r="M46" s="57"/>
      <c r="N46" s="53"/>
      <c r="O46" s="53"/>
      <c r="P46" s="53"/>
      <c r="Q46" s="53"/>
      <c r="R46" s="57"/>
      <c r="S46" s="53"/>
      <c r="T46" s="53"/>
      <c r="U46" s="706"/>
      <c r="V46" s="53"/>
      <c r="W46" s="53"/>
      <c r="X46" s="53"/>
      <c r="Y46" s="53"/>
      <c r="Z46" s="53"/>
      <c r="AA46" s="56"/>
      <c r="AB46" s="54"/>
      <c r="AC46" s="54"/>
      <c r="AD46" s="54"/>
      <c r="AE46" s="54"/>
      <c r="AF46" s="131">
        <v>11</v>
      </c>
    </row>
    <row r="47" s="131" customFormat="1" ht="11.5" customHeight="1">
      <c r="A47" s="705"/>
      <c r="B47" s="57"/>
      <c r="C47" s="57"/>
      <c r="D47" s="131"/>
      <c r="K47" s="53"/>
      <c r="L47" s="57"/>
      <c r="M47" s="57"/>
      <c r="N47" s="53"/>
      <c r="O47" s="53"/>
      <c r="P47" s="53"/>
      <c r="Q47" s="53"/>
      <c r="R47" s="57"/>
      <c r="S47" s="53"/>
      <c r="T47" s="53"/>
      <c r="U47" s="706"/>
      <c r="V47" s="53"/>
      <c r="W47" s="53"/>
      <c r="X47" s="53"/>
      <c r="Y47" s="53"/>
      <c r="Z47" s="53"/>
      <c r="AA47" s="56"/>
      <c r="AB47" s="54"/>
      <c r="AC47" s="54"/>
      <c r="AD47" s="54"/>
      <c r="AE47" s="54"/>
      <c r="AF47" s="131">
        <v>11</v>
      </c>
    </row>
    <row r="48" s="131" customFormat="1" ht="11.5" customHeight="1">
      <c r="A48" s="705"/>
      <c r="B48" s="57"/>
      <c r="C48" s="57"/>
      <c r="D48" s="131"/>
      <c r="K48" s="53"/>
      <c r="L48" s="57"/>
      <c r="M48" s="57"/>
      <c r="N48" s="53"/>
      <c r="O48" s="53"/>
      <c r="P48" s="53"/>
      <c r="Q48" s="53"/>
      <c r="R48" s="57"/>
      <c r="S48" s="53"/>
      <c r="T48" s="53"/>
      <c r="U48" s="706"/>
      <c r="V48" s="53"/>
      <c r="W48" s="53"/>
      <c r="X48" s="53"/>
      <c r="Y48" s="53"/>
      <c r="Z48" s="53"/>
      <c r="AA48" s="56"/>
      <c r="AB48" s="54"/>
      <c r="AC48" s="54"/>
      <c r="AD48" s="54"/>
      <c r="AE48" s="54"/>
      <c r="AF48" s="131">
        <v>11</v>
      </c>
    </row>
    <row r="49" s="131" customFormat="1" ht="11.5" customHeight="1">
      <c r="A49" s="705"/>
      <c r="B49" s="57"/>
      <c r="C49" s="57"/>
      <c r="D49" s="131"/>
      <c r="K49" s="53"/>
      <c r="L49" s="57"/>
      <c r="M49" s="57"/>
      <c r="N49" s="53"/>
      <c r="O49" s="53"/>
      <c r="P49" s="53"/>
      <c r="Q49" s="53"/>
      <c r="R49" s="57"/>
      <c r="S49" s="53"/>
      <c r="T49" s="53"/>
      <c r="U49" s="706"/>
      <c r="V49" s="53"/>
      <c r="W49" s="53"/>
      <c r="X49" s="53"/>
      <c r="Y49" s="53"/>
      <c r="Z49" s="53"/>
      <c r="AA49" s="56"/>
      <c r="AB49" s="54"/>
      <c r="AC49" s="54"/>
      <c r="AD49" s="54"/>
      <c r="AE49" s="54"/>
      <c r="AF49" s="131">
        <v>11</v>
      </c>
    </row>
    <row r="50" s="131" customFormat="1" ht="11.5" customHeight="1">
      <c r="A50" s="705"/>
      <c r="B50" s="57"/>
      <c r="C50" s="57"/>
      <c r="D50" s="131"/>
      <c r="K50" s="53"/>
      <c r="L50" s="57"/>
      <c r="M50" s="57"/>
      <c r="N50" s="53"/>
      <c r="O50" s="53"/>
      <c r="P50" s="53"/>
      <c r="Q50" s="53"/>
      <c r="R50" s="57"/>
      <c r="S50" s="53"/>
      <c r="T50" s="53"/>
      <c r="U50" s="706"/>
      <c r="V50" s="53"/>
      <c r="W50" s="53"/>
      <c r="X50" s="53"/>
      <c r="Y50" s="53"/>
      <c r="Z50" s="53"/>
      <c r="AA50" s="56"/>
      <c r="AB50" s="54"/>
      <c r="AC50" s="54"/>
      <c r="AD50" s="54"/>
      <c r="AE50" s="54"/>
      <c r="AF50" s="131">
        <v>11</v>
      </c>
    </row>
    <row r="51" s="131" customFormat="1" ht="11.5" customHeight="1">
      <c r="A51" s="705"/>
      <c r="B51" s="57"/>
      <c r="C51" s="57"/>
      <c r="D51" s="131"/>
      <c r="K51" s="53"/>
      <c r="L51" s="57"/>
      <c r="M51" s="57"/>
      <c r="N51" s="53"/>
      <c r="O51" s="53"/>
      <c r="P51" s="53"/>
      <c r="Q51" s="53"/>
      <c r="R51" s="57"/>
      <c r="S51" s="53"/>
      <c r="T51" s="53"/>
      <c r="U51" s="706"/>
      <c r="V51" s="53"/>
      <c r="W51" s="53"/>
      <c r="X51" s="53"/>
      <c r="Y51" s="53"/>
      <c r="Z51" s="53"/>
      <c r="AA51" s="56"/>
      <c r="AB51" s="54"/>
      <c r="AC51" s="54"/>
      <c r="AD51" s="54"/>
      <c r="AE51" s="54"/>
      <c r="AF51" s="131">
        <v>11</v>
      </c>
    </row>
    <row r="52" s="131" customFormat="1" ht="11.5" customHeight="1">
      <c r="A52" s="705"/>
      <c r="B52" s="57"/>
      <c r="C52" s="57"/>
      <c r="D52" s="131"/>
      <c r="K52" s="53"/>
      <c r="L52" s="57"/>
      <c r="M52" s="57"/>
      <c r="N52" s="53"/>
      <c r="O52" s="53"/>
      <c r="P52" s="53"/>
      <c r="Q52" s="53"/>
      <c r="R52" s="57"/>
      <c r="S52" s="53"/>
      <c r="T52" s="53"/>
      <c r="U52" s="706"/>
      <c r="V52" s="53"/>
      <c r="W52" s="53"/>
      <c r="X52" s="53"/>
      <c r="Y52" s="53"/>
      <c r="Z52" s="53"/>
      <c r="AA52" s="56"/>
      <c r="AB52" s="54"/>
      <c r="AC52" s="54"/>
      <c r="AD52" s="54"/>
      <c r="AE52" s="54"/>
      <c r="AF52" s="131">
        <v>11</v>
      </c>
    </row>
    <row r="53" s="131" customFormat="1" ht="11.5" customHeight="1">
      <c r="A53" s="705"/>
      <c r="B53" s="57"/>
      <c r="C53" s="57"/>
      <c r="D53" s="131"/>
      <c r="K53" s="53"/>
      <c r="L53" s="57"/>
      <c r="M53" s="57"/>
      <c r="N53" s="53"/>
      <c r="O53" s="53"/>
      <c r="P53" s="53"/>
      <c r="Q53" s="53"/>
      <c r="R53" s="57"/>
      <c r="S53" s="53"/>
      <c r="T53" s="53"/>
      <c r="U53" s="706"/>
      <c r="V53" s="53"/>
      <c r="W53" s="53"/>
      <c r="X53" s="53"/>
      <c r="Y53" s="53"/>
      <c r="Z53" s="53"/>
      <c r="AA53" s="56"/>
      <c r="AB53" s="54"/>
      <c r="AC53" s="54"/>
      <c r="AD53" s="54"/>
      <c r="AE53" s="54"/>
      <c r="AF53" s="131">
        <v>11</v>
      </c>
    </row>
    <row r="54" s="131" customFormat="1" ht="11.5" customHeight="1">
      <c r="A54" s="705"/>
      <c r="B54" s="57"/>
      <c r="C54" s="57"/>
      <c r="D54" s="131"/>
      <c r="K54" s="53"/>
      <c r="L54" s="57"/>
      <c r="M54" s="57"/>
      <c r="N54" s="53"/>
      <c r="O54" s="53"/>
      <c r="P54" s="53"/>
      <c r="Q54" s="53"/>
      <c r="R54" s="57"/>
      <c r="S54" s="53"/>
      <c r="T54" s="53"/>
      <c r="U54" s="706"/>
      <c r="V54" s="53"/>
      <c r="W54" s="53"/>
      <c r="X54" s="53"/>
      <c r="Y54" s="53"/>
      <c r="Z54" s="53"/>
      <c r="AA54" s="56"/>
      <c r="AB54" s="54"/>
      <c r="AC54" s="54"/>
      <c r="AD54" s="54"/>
      <c r="AE54" s="54"/>
      <c r="AF54" s="131">
        <v>11</v>
      </c>
    </row>
    <row r="55" s="131" customFormat="1" ht="11.5" customHeight="1">
      <c r="A55" s="705"/>
      <c r="B55" s="57"/>
      <c r="C55" s="57"/>
      <c r="D55" s="131"/>
      <c r="K55" s="53"/>
      <c r="L55" s="57"/>
      <c r="M55" s="57"/>
      <c r="N55" s="53"/>
      <c r="O55" s="53"/>
      <c r="P55" s="53"/>
      <c r="Q55" s="53"/>
      <c r="R55" s="57"/>
      <c r="S55" s="53"/>
      <c r="T55" s="53"/>
      <c r="U55" s="706"/>
      <c r="V55" s="53"/>
      <c r="W55" s="53"/>
      <c r="X55" s="53"/>
      <c r="Y55" s="53"/>
      <c r="Z55" s="53"/>
      <c r="AA55" s="56"/>
      <c r="AB55" s="54"/>
      <c r="AC55" s="54"/>
      <c r="AD55" s="54"/>
      <c r="AE55" s="54"/>
      <c r="AF55" s="131">
        <v>11</v>
      </c>
    </row>
    <row r="56" s="131" customFormat="1" ht="11.5" customHeight="1">
      <c r="A56" s="705"/>
      <c r="B56" s="57"/>
      <c r="C56" s="57"/>
      <c r="D56" s="131"/>
      <c r="K56" s="53"/>
      <c r="L56" s="57"/>
      <c r="M56" s="57"/>
      <c r="N56" s="53"/>
      <c r="O56" s="53"/>
      <c r="P56" s="53"/>
      <c r="Q56" s="53"/>
      <c r="R56" s="57"/>
      <c r="S56" s="53"/>
      <c r="T56" s="53"/>
      <c r="U56" s="706"/>
      <c r="V56" s="53"/>
      <c r="W56" s="53"/>
      <c r="X56" s="53"/>
      <c r="Y56" s="53"/>
      <c r="Z56" s="53"/>
      <c r="AA56" s="56"/>
      <c r="AB56" s="54"/>
      <c r="AC56" s="54"/>
      <c r="AD56" s="54"/>
      <c r="AE56" s="54"/>
      <c r="AF56" s="131">
        <v>11</v>
      </c>
    </row>
    <row r="57" s="131" customFormat="1" ht="11.5" customHeight="1">
      <c r="A57" s="705"/>
      <c r="B57" s="57"/>
      <c r="C57" s="57"/>
      <c r="D57" s="131"/>
      <c r="K57" s="53"/>
      <c r="L57" s="57"/>
      <c r="M57" s="57"/>
      <c r="N57" s="53"/>
      <c r="O57" s="53"/>
      <c r="P57" s="53"/>
      <c r="Q57" s="53"/>
      <c r="R57" s="57"/>
      <c r="S57" s="53"/>
      <c r="T57" s="53"/>
      <c r="U57" s="706"/>
      <c r="V57" s="53"/>
      <c r="W57" s="53"/>
      <c r="X57" s="53"/>
      <c r="Y57" s="53"/>
      <c r="Z57" s="53"/>
      <c r="AA57" s="56"/>
      <c r="AB57" s="54"/>
      <c r="AC57" s="54"/>
      <c r="AD57" s="54"/>
      <c r="AE57" s="54"/>
      <c r="AF57" s="131">
        <v>11</v>
      </c>
    </row>
    <row r="58" s="131" customFormat="1" ht="11.5" customHeight="1">
      <c r="A58" s="705"/>
      <c r="B58" s="57"/>
      <c r="C58" s="57"/>
      <c r="D58" s="131"/>
      <c r="K58" s="53"/>
      <c r="L58" s="57"/>
      <c r="M58" s="57"/>
      <c r="N58" s="53"/>
      <c r="O58" s="53"/>
      <c r="P58" s="53"/>
      <c r="Q58" s="53"/>
      <c r="R58" s="57"/>
      <c r="S58" s="53"/>
      <c r="T58" s="53"/>
      <c r="U58" s="706"/>
      <c r="V58" s="53"/>
      <c r="W58" s="53"/>
      <c r="X58" s="53"/>
      <c r="Y58" s="53"/>
      <c r="Z58" s="53"/>
      <c r="AA58" s="56"/>
      <c r="AB58" s="54"/>
      <c r="AC58" s="54"/>
      <c r="AD58" s="54"/>
      <c r="AE58" s="54"/>
      <c r="AF58" s="131">
        <v>11</v>
      </c>
    </row>
    <row r="59" s="131" customFormat="1" ht="11.5" customHeight="1">
      <c r="A59" s="705"/>
      <c r="B59" s="57"/>
      <c r="C59" s="57"/>
      <c r="D59" s="131"/>
      <c r="K59" s="53"/>
      <c r="L59" s="57"/>
      <c r="M59" s="57"/>
      <c r="N59" s="53"/>
      <c r="O59" s="53"/>
      <c r="P59" s="53"/>
      <c r="Q59" s="53"/>
      <c r="R59" s="57"/>
      <c r="S59" s="53"/>
      <c r="T59" s="53"/>
      <c r="U59" s="706"/>
      <c r="V59" s="53"/>
      <c r="W59" s="53"/>
      <c r="X59" s="53"/>
      <c r="Y59" s="53"/>
      <c r="Z59" s="53"/>
      <c r="AA59" s="56"/>
      <c r="AB59" s="54"/>
      <c r="AC59" s="54"/>
      <c r="AD59" s="54"/>
      <c r="AE59" s="54"/>
      <c r="AF59" s="131">
        <v>11</v>
      </c>
    </row>
    <row r="60" s="131" customFormat="1" ht="11.5" customHeight="1">
      <c r="A60" s="705"/>
      <c r="B60" s="57"/>
      <c r="C60" s="57"/>
      <c r="D60" s="131"/>
      <c r="K60" s="53"/>
      <c r="L60" s="57"/>
      <c r="M60" s="57"/>
      <c r="N60" s="53"/>
      <c r="O60" s="53"/>
      <c r="P60" s="53"/>
      <c r="Q60" s="53"/>
      <c r="R60" s="57"/>
      <c r="S60" s="53"/>
      <c r="T60" s="53"/>
      <c r="U60" s="706"/>
      <c r="V60" s="53"/>
      <c r="W60" s="53"/>
      <c r="X60" s="53"/>
      <c r="Y60" s="53"/>
      <c r="Z60" s="53"/>
      <c r="AA60" s="56"/>
      <c r="AB60" s="54"/>
      <c r="AC60" s="54"/>
      <c r="AD60" s="54"/>
      <c r="AE60" s="54"/>
      <c r="AF60" s="131">
        <v>11</v>
      </c>
    </row>
    <row r="61" s="131" customFormat="1" ht="11.5" customHeight="1">
      <c r="A61" s="705"/>
      <c r="B61" s="57"/>
      <c r="C61" s="57"/>
      <c r="D61" s="131"/>
      <c r="K61" s="53"/>
      <c r="L61" s="57"/>
      <c r="M61" s="57"/>
      <c r="N61" s="53"/>
      <c r="O61" s="53"/>
      <c r="P61" s="53"/>
      <c r="Q61" s="53"/>
      <c r="R61" s="57"/>
      <c r="S61" s="53"/>
      <c r="T61" s="53"/>
      <c r="U61" s="706"/>
      <c r="V61" s="53"/>
      <c r="W61" s="53"/>
      <c r="X61" s="53"/>
      <c r="Y61" s="53"/>
      <c r="Z61" s="53"/>
      <c r="AA61" s="56"/>
      <c r="AB61" s="54"/>
      <c r="AC61" s="54"/>
      <c r="AD61" s="54"/>
      <c r="AE61" s="54"/>
      <c r="AF61" s="131">
        <v>11</v>
      </c>
    </row>
    <row r="62" s="131" customFormat="1" ht="11.5" customHeight="1">
      <c r="A62" s="705"/>
      <c r="B62" s="57"/>
      <c r="C62" s="57"/>
      <c r="D62" s="131"/>
      <c r="K62" s="53"/>
      <c r="L62" s="57"/>
      <c r="M62" s="57"/>
      <c r="N62" s="53"/>
      <c r="O62" s="53"/>
      <c r="P62" s="53"/>
      <c r="Q62" s="53"/>
      <c r="R62" s="57"/>
      <c r="S62" s="53"/>
      <c r="T62" s="53"/>
      <c r="U62" s="706"/>
      <c r="V62" s="53"/>
      <c r="W62" s="53"/>
      <c r="X62" s="53"/>
      <c r="Y62" s="53"/>
      <c r="Z62" s="53"/>
      <c r="AA62" s="56"/>
      <c r="AB62" s="54"/>
      <c r="AC62" s="54"/>
      <c r="AD62" s="54"/>
      <c r="AE62" s="54"/>
      <c r="AF62" s="131">
        <v>11</v>
      </c>
    </row>
    <row r="63" s="131" customFormat="1" ht="11.5" customHeight="1">
      <c r="A63" s="705"/>
      <c r="B63" s="57"/>
      <c r="C63" s="57"/>
      <c r="D63" s="131"/>
      <c r="K63" s="53"/>
      <c r="L63" s="57"/>
      <c r="M63" s="57"/>
      <c r="N63" s="53"/>
      <c r="O63" s="53"/>
      <c r="P63" s="53"/>
      <c r="Q63" s="53"/>
      <c r="R63" s="57"/>
      <c r="S63" s="53"/>
      <c r="T63" s="53"/>
      <c r="U63" s="706"/>
      <c r="V63" s="53"/>
      <c r="W63" s="53"/>
      <c r="X63" s="53"/>
      <c r="Y63" s="53"/>
      <c r="Z63" s="53"/>
      <c r="AA63" s="56"/>
      <c r="AB63" s="54"/>
      <c r="AC63" s="54"/>
      <c r="AD63" s="54"/>
      <c r="AE63" s="54"/>
      <c r="AF63" s="131">
        <v>11</v>
      </c>
    </row>
    <row r="64" s="131" customFormat="1" ht="11.5" customHeight="1">
      <c r="A64" s="705"/>
      <c r="B64" s="57"/>
      <c r="C64" s="57"/>
      <c r="D64" s="131"/>
      <c r="K64" s="53"/>
      <c r="L64" s="57"/>
      <c r="M64" s="57"/>
      <c r="N64" s="53"/>
      <c r="O64" s="53"/>
      <c r="P64" s="53"/>
      <c r="Q64" s="53"/>
      <c r="R64" s="57"/>
      <c r="S64" s="53"/>
      <c r="T64" s="53"/>
      <c r="U64" s="706"/>
      <c r="V64" s="53"/>
      <c r="W64" s="53"/>
      <c r="X64" s="53"/>
      <c r="Y64" s="53"/>
      <c r="Z64" s="53"/>
      <c r="AA64" s="56"/>
      <c r="AB64" s="54"/>
      <c r="AC64" s="54"/>
      <c r="AD64" s="54"/>
      <c r="AE64" s="54"/>
      <c r="AF64" s="131">
        <v>11</v>
      </c>
    </row>
    <row r="65" s="131" customFormat="1" ht="11.5" customHeight="1">
      <c r="A65" s="705"/>
      <c r="B65" s="57"/>
      <c r="C65" s="57"/>
      <c r="D65" s="131"/>
      <c r="K65" s="53"/>
      <c r="L65" s="57"/>
      <c r="M65" s="57"/>
      <c r="N65" s="53"/>
      <c r="O65" s="53"/>
      <c r="P65" s="53"/>
      <c r="Q65" s="53"/>
      <c r="R65" s="57"/>
      <c r="S65" s="53"/>
      <c r="T65" s="53"/>
      <c r="U65" s="706"/>
      <c r="V65" s="53"/>
      <c r="W65" s="53"/>
      <c r="X65" s="53"/>
      <c r="Y65" s="53"/>
      <c r="Z65" s="53"/>
      <c r="AA65" s="56"/>
      <c r="AB65" s="54"/>
      <c r="AC65" s="54"/>
      <c r="AD65" s="54"/>
      <c r="AE65" s="54"/>
      <c r="AF65" s="131">
        <v>11</v>
      </c>
    </row>
    <row r="66" s="131" customFormat="1" ht="11.5" customHeight="1">
      <c r="A66" s="705"/>
      <c r="B66" s="57"/>
      <c r="C66" s="57"/>
      <c r="D66" s="131"/>
      <c r="K66" s="53"/>
      <c r="L66" s="57"/>
      <c r="M66" s="57"/>
      <c r="N66" s="53"/>
      <c r="O66" s="53"/>
      <c r="P66" s="53"/>
      <c r="Q66" s="53"/>
      <c r="R66" s="57"/>
      <c r="S66" s="53"/>
      <c r="T66" s="53"/>
      <c r="U66" s="706"/>
      <c r="V66" s="53"/>
      <c r="W66" s="53"/>
      <c r="X66" s="53"/>
      <c r="Y66" s="53"/>
      <c r="Z66" s="53"/>
      <c r="AA66" s="56"/>
      <c r="AB66" s="54"/>
      <c r="AC66" s="54"/>
      <c r="AD66" s="54"/>
      <c r="AE66" s="54"/>
      <c r="AF66" s="131">
        <v>11</v>
      </c>
    </row>
    <row r="67" s="131" customFormat="1" ht="11.5" customHeight="1">
      <c r="A67" s="705"/>
      <c r="B67" s="57"/>
      <c r="C67" s="57"/>
      <c r="D67" s="131"/>
      <c r="K67" s="53"/>
      <c r="L67" s="57"/>
      <c r="M67" s="57"/>
      <c r="N67" s="53"/>
      <c r="O67" s="53"/>
      <c r="P67" s="53"/>
      <c r="Q67" s="53"/>
      <c r="R67" s="57"/>
      <c r="S67" s="53"/>
      <c r="T67" s="53"/>
      <c r="U67" s="706"/>
      <c r="V67" s="53"/>
      <c r="W67" s="53"/>
      <c r="X67" s="53"/>
      <c r="Y67" s="53"/>
      <c r="Z67" s="53"/>
      <c r="AA67" s="56"/>
      <c r="AB67" s="54"/>
      <c r="AC67" s="54"/>
      <c r="AD67" s="54"/>
      <c r="AE67" s="54"/>
      <c r="AF67" s="131">
        <v>11</v>
      </c>
    </row>
    <row r="68" s="131" customFormat="1" ht="11.5" customHeight="1">
      <c r="A68" s="705"/>
      <c r="B68" s="57"/>
      <c r="C68" s="57"/>
      <c r="D68" s="131"/>
      <c r="K68" s="53"/>
      <c r="L68" s="57"/>
      <c r="M68" s="57"/>
      <c r="N68" s="53"/>
      <c r="O68" s="53"/>
      <c r="P68" s="53"/>
      <c r="Q68" s="53"/>
      <c r="R68" s="57"/>
      <c r="S68" s="53"/>
      <c r="T68" s="53"/>
      <c r="U68" s="706"/>
      <c r="V68" s="53"/>
      <c r="W68" s="53"/>
      <c r="X68" s="53"/>
      <c r="Y68" s="53"/>
      <c r="Z68" s="53"/>
      <c r="AA68" s="56"/>
      <c r="AB68" s="54"/>
      <c r="AC68" s="54"/>
      <c r="AD68" s="54"/>
      <c r="AE68" s="54"/>
      <c r="AF68" s="131">
        <v>11</v>
      </c>
    </row>
    <row r="69" s="131" customFormat="1" ht="11.5" customHeight="1">
      <c r="A69" s="705"/>
      <c r="B69" s="57"/>
      <c r="C69" s="57"/>
      <c r="D69" s="131"/>
      <c r="K69" s="53"/>
      <c r="L69" s="57"/>
      <c r="M69" s="57"/>
      <c r="N69" s="53"/>
      <c r="O69" s="53"/>
      <c r="P69" s="53"/>
      <c r="Q69" s="53"/>
      <c r="R69" s="57"/>
      <c r="S69" s="53"/>
      <c r="T69" s="53"/>
      <c r="U69" s="706"/>
      <c r="V69" s="53"/>
      <c r="W69" s="53"/>
      <c r="X69" s="53"/>
      <c r="Y69" s="53"/>
      <c r="Z69" s="53"/>
      <c r="AA69" s="56"/>
      <c r="AB69" s="54"/>
      <c r="AC69" s="54"/>
      <c r="AD69" s="54"/>
      <c r="AE69" s="54"/>
      <c r="AF69" s="131">
        <v>11</v>
      </c>
    </row>
    <row r="70" s="131" customFormat="1" ht="11.5" customHeight="1">
      <c r="A70" s="705"/>
      <c r="B70" s="57"/>
      <c r="C70" s="57"/>
      <c r="D70" s="131"/>
      <c r="K70" s="53"/>
      <c r="L70" s="57"/>
      <c r="M70" s="57"/>
      <c r="N70" s="53"/>
      <c r="O70" s="53"/>
      <c r="P70" s="53"/>
      <c r="Q70" s="53"/>
      <c r="R70" s="57"/>
      <c r="S70" s="53"/>
      <c r="T70" s="53"/>
      <c r="U70" s="706"/>
      <c r="V70" s="53"/>
      <c r="W70" s="53"/>
      <c r="X70" s="53"/>
      <c r="Y70" s="53"/>
      <c r="Z70" s="53"/>
      <c r="AA70" s="56"/>
      <c r="AB70" s="54"/>
      <c r="AC70" s="54"/>
      <c r="AD70" s="54"/>
      <c r="AE70" s="54"/>
      <c r="AF70" s="131">
        <v>11</v>
      </c>
    </row>
    <row r="71" s="131" customFormat="1" ht="11.5" customHeight="1">
      <c r="A71" s="705"/>
      <c r="B71" s="57"/>
      <c r="C71" s="57"/>
      <c r="D71" s="131"/>
      <c r="K71" s="53"/>
      <c r="L71" s="57"/>
      <c r="M71" s="57"/>
      <c r="N71" s="53"/>
      <c r="O71" s="53"/>
      <c r="P71" s="53"/>
      <c r="Q71" s="53"/>
      <c r="R71" s="57"/>
      <c r="S71" s="53"/>
      <c r="T71" s="53"/>
      <c r="U71" s="706"/>
      <c r="V71" s="53"/>
      <c r="W71" s="53"/>
      <c r="X71" s="53"/>
      <c r="Y71" s="53"/>
      <c r="Z71" s="53"/>
      <c r="AA71" s="56"/>
      <c r="AB71" s="54"/>
      <c r="AC71" s="54"/>
      <c r="AD71" s="54"/>
      <c r="AE71" s="54"/>
      <c r="AF71" s="131">
        <v>11</v>
      </c>
    </row>
    <row r="72" s="131" customFormat="1" ht="11.5" customHeight="1">
      <c r="A72" s="705"/>
      <c r="B72" s="57"/>
      <c r="C72" s="57"/>
      <c r="D72" s="131"/>
      <c r="K72" s="53"/>
      <c r="L72" s="57"/>
      <c r="M72" s="57"/>
      <c r="N72" s="53"/>
      <c r="O72" s="53"/>
      <c r="P72" s="53"/>
      <c r="Q72" s="53"/>
      <c r="R72" s="57"/>
      <c r="S72" s="53"/>
      <c r="T72" s="53"/>
      <c r="U72" s="706"/>
      <c r="V72" s="53"/>
      <c r="W72" s="53"/>
      <c r="X72" s="53"/>
      <c r="Y72" s="53"/>
      <c r="Z72" s="53"/>
      <c r="AA72" s="56"/>
      <c r="AB72" s="54"/>
      <c r="AC72" s="54"/>
      <c r="AD72" s="54"/>
      <c r="AE72" s="54"/>
      <c r="AF72" s="131">
        <v>11</v>
      </c>
    </row>
    <row r="73" s="131" customFormat="1" ht="11.5" customHeight="1">
      <c r="A73" s="705"/>
      <c r="B73" s="57"/>
      <c r="C73" s="57"/>
      <c r="D73" s="131"/>
      <c r="K73" s="53"/>
      <c r="L73" s="57"/>
      <c r="M73" s="57"/>
      <c r="N73" s="53"/>
      <c r="O73" s="53"/>
      <c r="P73" s="53"/>
      <c r="Q73" s="53"/>
      <c r="R73" s="57"/>
      <c r="S73" s="53"/>
      <c r="T73" s="53"/>
      <c r="U73" s="706"/>
      <c r="V73" s="53"/>
      <c r="W73" s="53"/>
      <c r="X73" s="53"/>
      <c r="Y73" s="53"/>
      <c r="Z73" s="53"/>
      <c r="AA73" s="56"/>
      <c r="AB73" s="54"/>
      <c r="AC73" s="54"/>
      <c r="AD73" s="54"/>
      <c r="AE73" s="54"/>
      <c r="AF73" s="131">
        <v>11</v>
      </c>
    </row>
    <row r="74" s="131" customFormat="1" ht="11.5" customHeight="1">
      <c r="A74" s="705"/>
      <c r="B74" s="57"/>
      <c r="C74" s="57"/>
      <c r="D74" s="131"/>
      <c r="K74" s="53"/>
      <c r="L74" s="57"/>
      <c r="M74" s="57"/>
      <c r="N74" s="53"/>
      <c r="O74" s="53"/>
      <c r="P74" s="53"/>
      <c r="Q74" s="53"/>
      <c r="R74" s="57"/>
      <c r="S74" s="53"/>
      <c r="T74" s="53"/>
      <c r="U74" s="706"/>
      <c r="V74" s="53"/>
      <c r="W74" s="53"/>
      <c r="X74" s="53"/>
      <c r="Y74" s="53"/>
      <c r="Z74" s="53"/>
      <c r="AA74" s="56"/>
      <c r="AB74" s="54"/>
      <c r="AC74" s="54"/>
      <c r="AD74" s="54"/>
      <c r="AE74" s="54"/>
      <c r="AF74" s="131">
        <v>11</v>
      </c>
    </row>
    <row r="75" s="131" customFormat="1" ht="11.5" customHeight="1">
      <c r="A75" s="705"/>
      <c r="B75" s="57"/>
      <c r="C75" s="57"/>
      <c r="D75" s="131"/>
      <c r="K75" s="53"/>
      <c r="L75" s="57"/>
      <c r="M75" s="57"/>
      <c r="N75" s="53"/>
      <c r="O75" s="53"/>
      <c r="P75" s="53"/>
      <c r="Q75" s="53"/>
      <c r="R75" s="57"/>
      <c r="S75" s="53"/>
      <c r="T75" s="53"/>
      <c r="U75" s="706"/>
      <c r="V75" s="53"/>
      <c r="W75" s="53"/>
      <c r="X75" s="53"/>
      <c r="Y75" s="53"/>
      <c r="Z75" s="53"/>
      <c r="AA75" s="56"/>
      <c r="AB75" s="54"/>
      <c r="AC75" s="54"/>
      <c r="AD75" s="54"/>
      <c r="AE75" s="54"/>
      <c r="AF75" s="131">
        <v>11</v>
      </c>
    </row>
    <row r="76" s="131" customFormat="1" ht="11.5" customHeight="1">
      <c r="A76" s="705"/>
      <c r="B76" s="57"/>
      <c r="C76" s="57"/>
      <c r="D76" s="131"/>
      <c r="K76" s="53"/>
      <c r="L76" s="57"/>
      <c r="M76" s="57"/>
      <c r="N76" s="53"/>
      <c r="O76" s="53"/>
      <c r="P76" s="53"/>
      <c r="Q76" s="53"/>
      <c r="R76" s="57"/>
      <c r="S76" s="53"/>
      <c r="T76" s="53"/>
      <c r="U76" s="706"/>
      <c r="V76" s="53"/>
      <c r="W76" s="53"/>
      <c r="X76" s="53"/>
      <c r="Y76" s="53"/>
      <c r="Z76" s="53"/>
      <c r="AA76" s="56"/>
      <c r="AB76" s="54"/>
      <c r="AC76" s="54"/>
      <c r="AD76" s="54"/>
      <c r="AE76" s="54"/>
      <c r="AF76" s="131">
        <v>11</v>
      </c>
    </row>
    <row r="77" s="131" customFormat="1" ht="11.5" customHeight="1">
      <c r="A77" s="705"/>
      <c r="B77" s="57"/>
      <c r="C77" s="57"/>
      <c r="D77" s="131"/>
      <c r="K77" s="53"/>
      <c r="L77" s="57"/>
      <c r="M77" s="57"/>
      <c r="N77" s="53"/>
      <c r="O77" s="53"/>
      <c r="P77" s="53"/>
      <c r="Q77" s="53"/>
      <c r="R77" s="57"/>
      <c r="S77" s="53"/>
      <c r="T77" s="53"/>
      <c r="U77" s="706"/>
      <c r="V77" s="53"/>
      <c r="W77" s="53"/>
      <c r="X77" s="53"/>
      <c r="Y77" s="53"/>
      <c r="Z77" s="53"/>
      <c r="AA77" s="56"/>
      <c r="AB77" s="54"/>
      <c r="AC77" s="54"/>
      <c r="AD77" s="54"/>
      <c r="AE77" s="54"/>
      <c r="AF77" s="131">
        <v>11</v>
      </c>
    </row>
    <row r="78" s="131" customFormat="1" ht="11.5" customHeight="1">
      <c r="A78" s="705"/>
      <c r="B78" s="57"/>
      <c r="C78" s="57"/>
      <c r="D78" s="131"/>
      <c r="K78" s="53"/>
      <c r="L78" s="57"/>
      <c r="M78" s="57"/>
      <c r="N78" s="53"/>
      <c r="O78" s="53"/>
      <c r="P78" s="53"/>
      <c r="Q78" s="53"/>
      <c r="R78" s="57"/>
      <c r="S78" s="53"/>
      <c r="T78" s="53"/>
      <c r="U78" s="706"/>
      <c r="V78" s="53"/>
      <c r="W78" s="53"/>
      <c r="X78" s="53"/>
      <c r="Y78" s="53"/>
      <c r="Z78" s="53"/>
      <c r="AA78" s="56"/>
      <c r="AB78" s="54"/>
      <c r="AC78" s="54"/>
      <c r="AD78" s="54"/>
      <c r="AE78" s="54"/>
      <c r="AF78" s="131">
        <v>11</v>
      </c>
    </row>
    <row r="79" s="131" customFormat="1" ht="11.5" customHeight="1">
      <c r="A79" s="705"/>
      <c r="B79" s="57"/>
      <c r="C79" s="57"/>
      <c r="D79" s="131"/>
      <c r="K79" s="53"/>
      <c r="L79" s="57"/>
      <c r="M79" s="57"/>
      <c r="N79" s="53"/>
      <c r="O79" s="53"/>
      <c r="P79" s="53"/>
      <c r="Q79" s="53"/>
      <c r="R79" s="57"/>
      <c r="S79" s="53"/>
      <c r="T79" s="53"/>
      <c r="U79" s="706"/>
      <c r="V79" s="53"/>
      <c r="W79" s="53"/>
      <c r="X79" s="53"/>
      <c r="Y79" s="53"/>
      <c r="Z79" s="53"/>
      <c r="AA79" s="56"/>
      <c r="AB79" s="54"/>
      <c r="AC79" s="54"/>
      <c r="AD79" s="54"/>
      <c r="AE79" s="54"/>
      <c r="AF79" s="131">
        <v>11</v>
      </c>
    </row>
    <row r="80" s="131" customFormat="1" ht="11.5" customHeight="1">
      <c r="A80" s="705"/>
      <c r="B80" s="57"/>
      <c r="C80" s="57"/>
      <c r="D80" s="131"/>
      <c r="K80" s="53"/>
      <c r="L80" s="57"/>
      <c r="M80" s="57"/>
      <c r="N80" s="53"/>
      <c r="O80" s="53"/>
      <c r="P80" s="53"/>
      <c r="Q80" s="53"/>
      <c r="R80" s="57"/>
      <c r="S80" s="53"/>
      <c r="T80" s="53"/>
      <c r="U80" s="706"/>
      <c r="V80" s="53"/>
      <c r="W80" s="53"/>
      <c r="X80" s="53"/>
      <c r="Y80" s="53"/>
      <c r="Z80" s="53"/>
      <c r="AA80" s="56"/>
      <c r="AB80" s="54"/>
      <c r="AC80" s="54"/>
      <c r="AD80" s="54"/>
      <c r="AE80" s="54"/>
      <c r="AF80" s="131">
        <v>11</v>
      </c>
    </row>
    <row r="81" s="131" customFormat="1" ht="11.5" customHeight="1">
      <c r="A81" s="705"/>
      <c r="B81" s="57"/>
      <c r="C81" s="57"/>
      <c r="D81" s="131"/>
      <c r="K81" s="53"/>
      <c r="L81" s="57"/>
      <c r="M81" s="57"/>
      <c r="N81" s="53"/>
      <c r="O81" s="53"/>
      <c r="P81" s="53"/>
      <c r="Q81" s="53"/>
      <c r="R81" s="57"/>
      <c r="S81" s="53"/>
      <c r="T81" s="53"/>
      <c r="U81" s="706"/>
      <c r="V81" s="53"/>
      <c r="W81" s="53"/>
      <c r="X81" s="53"/>
      <c r="Y81" s="53"/>
      <c r="Z81" s="53"/>
      <c r="AA81" s="56"/>
      <c r="AB81" s="54"/>
      <c r="AC81" s="54"/>
      <c r="AD81" s="54"/>
      <c r="AE81" s="54"/>
      <c r="AF81" s="131">
        <v>11</v>
      </c>
    </row>
    <row r="82" s="131" customFormat="1" ht="11.5" customHeight="1">
      <c r="A82" s="705"/>
      <c r="B82" s="57"/>
      <c r="C82" s="57"/>
      <c r="D82" s="131"/>
      <c r="K82" s="53"/>
      <c r="L82" s="57"/>
      <c r="M82" s="57"/>
      <c r="N82" s="53"/>
      <c r="O82" s="53"/>
      <c r="P82" s="53"/>
      <c r="Q82" s="53"/>
      <c r="R82" s="57"/>
      <c r="S82" s="53"/>
      <c r="T82" s="53"/>
      <c r="U82" s="706"/>
      <c r="V82" s="53"/>
      <c r="W82" s="53"/>
      <c r="X82" s="53"/>
      <c r="Y82" s="53"/>
      <c r="Z82" s="53"/>
      <c r="AA82" s="56"/>
      <c r="AB82" s="54"/>
      <c r="AC82" s="54"/>
      <c r="AD82" s="54"/>
      <c r="AE82" s="54"/>
      <c r="AF82" s="131">
        <v>11</v>
      </c>
    </row>
    <row r="83" s="131" customFormat="1" ht="11.5" customHeight="1">
      <c r="A83" s="705"/>
      <c r="B83" s="57"/>
      <c r="C83" s="57"/>
      <c r="D83" s="131"/>
      <c r="K83" s="53"/>
      <c r="L83" s="57"/>
      <c r="M83" s="57"/>
      <c r="N83" s="53"/>
      <c r="O83" s="53"/>
      <c r="P83" s="53"/>
      <c r="Q83" s="53"/>
      <c r="R83" s="57"/>
      <c r="S83" s="53"/>
      <c r="T83" s="53"/>
      <c r="U83" s="706"/>
      <c r="V83" s="53"/>
      <c r="W83" s="53"/>
      <c r="X83" s="53"/>
      <c r="Y83" s="53"/>
      <c r="Z83" s="53"/>
      <c r="AA83" s="56"/>
      <c r="AB83" s="54"/>
      <c r="AC83" s="54"/>
      <c r="AD83" s="54"/>
      <c r="AE83" s="54"/>
      <c r="AF83" s="131">
        <v>11</v>
      </c>
    </row>
    <row r="84" s="131" customFormat="1" ht="11.5" customHeight="1">
      <c r="A84" s="705"/>
      <c r="B84" s="57"/>
      <c r="C84" s="57"/>
      <c r="D84" s="131"/>
      <c r="K84" s="53"/>
      <c r="L84" s="57"/>
      <c r="M84" s="57"/>
      <c r="N84" s="53"/>
      <c r="O84" s="53"/>
      <c r="P84" s="53"/>
      <c r="Q84" s="53"/>
      <c r="R84" s="57"/>
      <c r="S84" s="53"/>
      <c r="T84" s="53"/>
      <c r="U84" s="706"/>
      <c r="V84" s="53"/>
      <c r="W84" s="53"/>
      <c r="X84" s="53"/>
      <c r="Y84" s="53"/>
      <c r="Z84" s="53"/>
      <c r="AA84" s="56"/>
      <c r="AB84" s="54"/>
      <c r="AC84" s="54"/>
      <c r="AD84" s="54"/>
      <c r="AE84" s="54"/>
      <c r="AF84" s="131">
        <v>11</v>
      </c>
    </row>
    <row r="85" s="131" customFormat="1" ht="11.5" customHeight="1">
      <c r="A85" s="705"/>
      <c r="B85" s="57"/>
      <c r="C85" s="57"/>
      <c r="D85" s="131"/>
      <c r="K85" s="53"/>
      <c r="L85" s="57"/>
      <c r="M85" s="57"/>
      <c r="N85" s="53"/>
      <c r="O85" s="53"/>
      <c r="P85" s="53"/>
      <c r="Q85" s="53"/>
      <c r="R85" s="57"/>
      <c r="S85" s="53"/>
      <c r="T85" s="53"/>
      <c r="U85" s="706"/>
      <c r="V85" s="53"/>
      <c r="W85" s="53"/>
      <c r="X85" s="53"/>
      <c r="Y85" s="53"/>
      <c r="Z85" s="53"/>
      <c r="AA85" s="56"/>
      <c r="AB85" s="54"/>
      <c r="AC85" s="54"/>
      <c r="AD85" s="54"/>
      <c r="AE85" s="54"/>
      <c r="AF85" s="131">
        <v>11</v>
      </c>
    </row>
    <row r="86" s="131" customFormat="1" ht="11.5" customHeight="1">
      <c r="A86" s="705"/>
      <c r="B86" s="57"/>
      <c r="C86" s="57"/>
      <c r="D86" s="131"/>
      <c r="K86" s="53"/>
      <c r="L86" s="57"/>
      <c r="M86" s="57"/>
      <c r="N86" s="53"/>
      <c r="O86" s="53"/>
      <c r="P86" s="53"/>
      <c r="Q86" s="53"/>
      <c r="R86" s="57"/>
      <c r="S86" s="53"/>
      <c r="T86" s="53"/>
      <c r="U86" s="706"/>
      <c r="V86" s="53"/>
      <c r="W86" s="53"/>
      <c r="X86" s="53"/>
      <c r="Y86" s="53"/>
      <c r="Z86" s="53"/>
      <c r="AA86" s="56"/>
      <c r="AB86" s="54"/>
      <c r="AC86" s="54"/>
      <c r="AD86" s="54"/>
      <c r="AE86" s="54"/>
      <c r="AF86" s="131">
        <v>11</v>
      </c>
    </row>
    <row r="87" s="131" customFormat="1" ht="11.5" customHeight="1">
      <c r="A87" s="705"/>
      <c r="B87" s="57"/>
      <c r="C87" s="57"/>
      <c r="D87" s="131"/>
      <c r="K87" s="53"/>
      <c r="L87" s="57"/>
      <c r="M87" s="57"/>
      <c r="N87" s="53"/>
      <c r="O87" s="53"/>
      <c r="P87" s="53"/>
      <c r="Q87" s="53"/>
      <c r="R87" s="57"/>
      <c r="S87" s="53"/>
      <c r="T87" s="53"/>
      <c r="U87" s="706"/>
      <c r="V87" s="53"/>
      <c r="W87" s="53"/>
      <c r="X87" s="53"/>
      <c r="Y87" s="53"/>
      <c r="Z87" s="53"/>
      <c r="AA87" s="56"/>
      <c r="AB87" s="54"/>
      <c r="AC87" s="54"/>
      <c r="AD87" s="54"/>
      <c r="AE87" s="54"/>
      <c r="AF87" s="131">
        <v>11</v>
      </c>
    </row>
    <row r="88" s="131" customFormat="1" ht="11.5" customHeight="1">
      <c r="A88" s="705"/>
      <c r="B88" s="57"/>
      <c r="C88" s="57"/>
      <c r="D88" s="131"/>
      <c r="K88" s="53"/>
      <c r="L88" s="57"/>
      <c r="M88" s="57"/>
      <c r="N88" s="53"/>
      <c r="O88" s="53"/>
      <c r="P88" s="53"/>
      <c r="Q88" s="53"/>
      <c r="R88" s="57"/>
      <c r="S88" s="53"/>
      <c r="T88" s="53"/>
      <c r="U88" s="706"/>
      <c r="V88" s="53"/>
      <c r="W88" s="53"/>
      <c r="X88" s="53"/>
      <c r="Y88" s="53"/>
      <c r="Z88" s="53"/>
      <c r="AA88" s="56"/>
      <c r="AB88" s="54"/>
      <c r="AC88" s="54"/>
      <c r="AD88" s="54"/>
      <c r="AE88" s="54"/>
      <c r="AF88" s="131">
        <v>11</v>
      </c>
    </row>
    <row r="89" s="131" customFormat="1" ht="11.5" customHeight="1">
      <c r="A89" s="705"/>
      <c r="B89" s="57"/>
      <c r="C89" s="57"/>
      <c r="D89" s="131"/>
      <c r="K89" s="53"/>
      <c r="L89" s="57"/>
      <c r="M89" s="57"/>
      <c r="N89" s="53"/>
      <c r="O89" s="53"/>
      <c r="P89" s="53"/>
      <c r="Q89" s="53"/>
      <c r="R89" s="57"/>
      <c r="S89" s="53"/>
      <c r="T89" s="53"/>
      <c r="U89" s="706"/>
      <c r="V89" s="53"/>
      <c r="W89" s="53"/>
      <c r="X89" s="53"/>
      <c r="Y89" s="53"/>
      <c r="Z89" s="53"/>
      <c r="AA89" s="56"/>
      <c r="AB89" s="54"/>
      <c r="AC89" s="54"/>
      <c r="AD89" s="54"/>
      <c r="AE89" s="54"/>
      <c r="AF89" s="131">
        <v>11</v>
      </c>
    </row>
    <row r="90" s="131" customFormat="1" ht="11.5" customHeight="1">
      <c r="A90" s="705"/>
      <c r="B90" s="57"/>
      <c r="C90" s="57"/>
      <c r="D90" s="131"/>
      <c r="K90" s="53"/>
      <c r="L90" s="57"/>
      <c r="M90" s="57"/>
      <c r="N90" s="53"/>
      <c r="O90" s="53"/>
      <c r="P90" s="53"/>
      <c r="Q90" s="53"/>
      <c r="R90" s="57"/>
      <c r="S90" s="53"/>
      <c r="T90" s="53"/>
      <c r="U90" s="706"/>
      <c r="V90" s="53"/>
      <c r="W90" s="53"/>
      <c r="X90" s="53"/>
      <c r="Y90" s="53"/>
      <c r="Z90" s="53"/>
      <c r="AA90" s="56"/>
      <c r="AB90" s="54"/>
      <c r="AC90" s="54"/>
      <c r="AD90" s="54"/>
      <c r="AE90" s="54"/>
      <c r="AF90" s="131">
        <v>11</v>
      </c>
    </row>
    <row r="91" s="131" customFormat="1" ht="11.5" customHeight="1">
      <c r="A91" s="705"/>
      <c r="B91" s="57"/>
      <c r="C91" s="57"/>
      <c r="D91" s="131"/>
      <c r="K91" s="53"/>
      <c r="L91" s="57"/>
      <c r="M91" s="57"/>
      <c r="N91" s="53"/>
      <c r="O91" s="53"/>
      <c r="P91" s="53"/>
      <c r="Q91" s="53"/>
      <c r="R91" s="57"/>
      <c r="S91" s="53"/>
      <c r="T91" s="53"/>
      <c r="U91" s="706"/>
      <c r="V91" s="53"/>
      <c r="W91" s="53"/>
      <c r="X91" s="53"/>
      <c r="Y91" s="53"/>
      <c r="Z91" s="53"/>
      <c r="AA91" s="56"/>
      <c r="AB91" s="54"/>
      <c r="AC91" s="54"/>
      <c r="AD91" s="54"/>
      <c r="AE91" s="54"/>
      <c r="AF91" s="131">
        <v>11</v>
      </c>
    </row>
    <row r="92" s="131" customFormat="1" ht="11.5" customHeight="1">
      <c r="A92" s="705"/>
      <c r="B92" s="57"/>
      <c r="C92" s="57"/>
      <c r="D92" s="131"/>
      <c r="K92" s="53"/>
      <c r="L92" s="57"/>
      <c r="M92" s="57"/>
      <c r="N92" s="53"/>
      <c r="O92" s="53"/>
      <c r="P92" s="53"/>
      <c r="Q92" s="53"/>
      <c r="R92" s="57"/>
      <c r="S92" s="53"/>
      <c r="T92" s="53"/>
      <c r="U92" s="706"/>
      <c r="V92" s="53"/>
      <c r="W92" s="53"/>
      <c r="X92" s="53"/>
      <c r="Y92" s="53"/>
      <c r="Z92" s="53"/>
      <c r="AA92" s="56"/>
      <c r="AB92" s="54"/>
      <c r="AC92" s="54"/>
      <c r="AD92" s="54"/>
      <c r="AE92" s="54"/>
      <c r="AF92" s="131">
        <v>11</v>
      </c>
    </row>
    <row r="93" s="131" customFormat="1" ht="11.5" customHeight="1">
      <c r="A93" s="705"/>
      <c r="B93" s="57"/>
      <c r="C93" s="57"/>
      <c r="D93" s="131"/>
      <c r="K93" s="53"/>
      <c r="L93" s="57"/>
      <c r="M93" s="57"/>
      <c r="N93" s="53"/>
      <c r="O93" s="53"/>
      <c r="P93" s="53"/>
      <c r="Q93" s="53"/>
      <c r="R93" s="57"/>
      <c r="S93" s="53"/>
      <c r="T93" s="53"/>
      <c r="U93" s="706"/>
      <c r="V93" s="53"/>
      <c r="W93" s="53"/>
      <c r="X93" s="53"/>
      <c r="Y93" s="53"/>
      <c r="Z93" s="53"/>
      <c r="AA93" s="56"/>
      <c r="AB93" s="54"/>
      <c r="AC93" s="54"/>
      <c r="AD93" s="54"/>
      <c r="AE93" s="54"/>
      <c r="AF93" s="131">
        <v>11</v>
      </c>
    </row>
    <row r="94" s="131" customFormat="1" ht="11.5" customHeight="1">
      <c r="A94" s="705"/>
      <c r="B94" s="57"/>
      <c r="C94" s="57"/>
      <c r="D94" s="131"/>
      <c r="K94" s="53"/>
      <c r="L94" s="57"/>
      <c r="M94" s="57"/>
      <c r="N94" s="53"/>
      <c r="O94" s="53"/>
      <c r="P94" s="53"/>
      <c r="Q94" s="53"/>
      <c r="R94" s="57"/>
      <c r="S94" s="53"/>
      <c r="T94" s="53"/>
      <c r="U94" s="706"/>
      <c r="V94" s="53"/>
      <c r="W94" s="53"/>
      <c r="X94" s="53"/>
      <c r="Y94" s="53"/>
      <c r="Z94" s="53"/>
      <c r="AA94" s="56"/>
      <c r="AB94" s="54"/>
      <c r="AC94" s="54"/>
      <c r="AD94" s="54"/>
      <c r="AE94" s="54"/>
      <c r="AF94" s="131">
        <v>11</v>
      </c>
    </row>
    <row r="95" s="131" customFormat="1" ht="11.5" customHeight="1">
      <c r="A95" s="705"/>
      <c r="B95" s="57"/>
      <c r="C95" s="57"/>
      <c r="D95" s="131"/>
      <c r="K95" s="53"/>
      <c r="L95" s="57"/>
      <c r="M95" s="57"/>
      <c r="N95" s="53"/>
      <c r="O95" s="53"/>
      <c r="P95" s="53"/>
      <c r="Q95" s="53"/>
      <c r="R95" s="57"/>
      <c r="S95" s="53"/>
      <c r="T95" s="53"/>
      <c r="U95" s="706"/>
      <c r="V95" s="53"/>
      <c r="W95" s="53"/>
      <c r="X95" s="53"/>
      <c r="Y95" s="53"/>
      <c r="Z95" s="53"/>
      <c r="AA95" s="56"/>
      <c r="AB95" s="54"/>
      <c r="AC95" s="54"/>
      <c r="AD95" s="54"/>
      <c r="AE95" s="54"/>
      <c r="AF95" s="131">
        <v>11</v>
      </c>
    </row>
    <row r="96" s="131" customFormat="1" ht="11.5" customHeight="1">
      <c r="A96" s="705"/>
      <c r="B96" s="57"/>
      <c r="C96" s="57"/>
      <c r="D96" s="131"/>
      <c r="K96" s="53"/>
      <c r="L96" s="57"/>
      <c r="M96" s="57"/>
      <c r="N96" s="53"/>
      <c r="O96" s="53"/>
      <c r="P96" s="53"/>
      <c r="Q96" s="53"/>
      <c r="R96" s="57"/>
      <c r="S96" s="53"/>
      <c r="T96" s="53"/>
      <c r="U96" s="706"/>
      <c r="V96" s="53"/>
      <c r="W96" s="53"/>
      <c r="X96" s="53"/>
      <c r="Y96" s="53"/>
      <c r="Z96" s="53"/>
      <c r="AA96" s="56"/>
      <c r="AB96" s="54"/>
      <c r="AC96" s="54"/>
      <c r="AD96" s="54"/>
      <c r="AE96" s="54"/>
      <c r="AF96" s="131">
        <v>11</v>
      </c>
    </row>
    <row r="97" s="131" customFormat="1" ht="11.5" customHeight="1">
      <c r="A97" s="705"/>
      <c r="B97" s="57"/>
      <c r="C97" s="57"/>
      <c r="D97" s="131"/>
      <c r="K97" s="53"/>
      <c r="L97" s="57"/>
      <c r="M97" s="57"/>
      <c r="N97" s="53"/>
      <c r="O97" s="53"/>
      <c r="P97" s="53"/>
      <c r="Q97" s="53"/>
      <c r="R97" s="57"/>
      <c r="S97" s="53"/>
      <c r="T97" s="53"/>
      <c r="U97" s="706"/>
      <c r="V97" s="53"/>
      <c r="W97" s="53"/>
      <c r="X97" s="53"/>
      <c r="Y97" s="53"/>
      <c r="Z97" s="53"/>
      <c r="AA97" s="56"/>
      <c r="AB97" s="54"/>
      <c r="AC97" s="54"/>
      <c r="AD97" s="54"/>
      <c r="AE97" s="54"/>
      <c r="AF97" s="131">
        <v>11</v>
      </c>
    </row>
    <row r="98" s="131" customFormat="1" ht="11.5" customHeight="1">
      <c r="A98" s="705"/>
      <c r="B98" s="57"/>
      <c r="C98" s="57"/>
      <c r="D98" s="131"/>
      <c r="K98" s="53"/>
      <c r="L98" s="57"/>
      <c r="M98" s="57"/>
      <c r="N98" s="53"/>
      <c r="O98" s="53"/>
      <c r="P98" s="53"/>
      <c r="Q98" s="53"/>
      <c r="R98" s="57"/>
      <c r="S98" s="53"/>
      <c r="T98" s="53"/>
      <c r="U98" s="706"/>
      <c r="V98" s="53"/>
      <c r="W98" s="53"/>
      <c r="X98" s="53"/>
      <c r="Y98" s="53"/>
      <c r="Z98" s="53"/>
      <c r="AA98" s="56"/>
      <c r="AB98" s="54"/>
      <c r="AC98" s="54"/>
      <c r="AD98" s="54"/>
      <c r="AE98" s="54"/>
      <c r="AF98" s="131">
        <v>11</v>
      </c>
    </row>
    <row r="99" s="131" customFormat="1" ht="11.5" customHeight="1">
      <c r="A99" s="705"/>
      <c r="B99" s="57"/>
      <c r="C99" s="57"/>
      <c r="D99" s="131"/>
      <c r="K99" s="53"/>
      <c r="L99" s="57"/>
      <c r="M99" s="57"/>
      <c r="N99" s="53"/>
      <c r="O99" s="53"/>
      <c r="P99" s="53"/>
      <c r="Q99" s="53"/>
      <c r="R99" s="57"/>
      <c r="S99" s="53"/>
      <c r="T99" s="53"/>
      <c r="U99" s="706"/>
      <c r="V99" s="53"/>
      <c r="W99" s="53"/>
      <c r="X99" s="53"/>
      <c r="Y99" s="53"/>
      <c r="Z99" s="53"/>
      <c r="AA99" s="56"/>
      <c r="AB99" s="54"/>
      <c r="AC99" s="54"/>
      <c r="AD99" s="54"/>
      <c r="AE99" s="54"/>
      <c r="AF99" s="131">
        <v>11</v>
      </c>
    </row>
    <row r="100" s="131" customFormat="1" ht="11.5" customHeight="1">
      <c r="A100" s="705"/>
      <c r="B100" s="57"/>
      <c r="C100" s="57"/>
      <c r="D100" s="131"/>
      <c r="K100" s="53"/>
      <c r="L100" s="57"/>
      <c r="M100" s="57"/>
      <c r="N100" s="53"/>
      <c r="O100" s="53"/>
      <c r="P100" s="53"/>
      <c r="Q100" s="53"/>
      <c r="R100" s="57"/>
      <c r="S100" s="53"/>
      <c r="T100" s="53"/>
      <c r="U100" s="706"/>
      <c r="V100" s="53"/>
      <c r="W100" s="53"/>
      <c r="X100" s="53"/>
      <c r="Y100" s="53"/>
      <c r="Z100" s="53"/>
      <c r="AA100" s="56"/>
      <c r="AB100" s="54"/>
      <c r="AC100" s="54"/>
      <c r="AD100" s="54"/>
      <c r="AE100" s="54"/>
      <c r="AF100" s="131">
        <v>11</v>
      </c>
    </row>
    <row r="101" s="131" customFormat="1" ht="11.5" customHeight="1">
      <c r="A101" s="705"/>
      <c r="B101" s="57"/>
      <c r="C101" s="57"/>
      <c r="D101" s="131"/>
      <c r="K101" s="53"/>
      <c r="L101" s="57"/>
      <c r="M101" s="57"/>
      <c r="N101" s="53"/>
      <c r="O101" s="53"/>
      <c r="P101" s="53"/>
      <c r="Q101" s="53"/>
      <c r="R101" s="57"/>
      <c r="S101" s="53"/>
      <c r="T101" s="53"/>
      <c r="U101" s="706"/>
      <c r="V101" s="53"/>
      <c r="W101" s="53"/>
      <c r="X101" s="53"/>
      <c r="Y101" s="53"/>
      <c r="Z101" s="53"/>
      <c r="AA101" s="56"/>
      <c r="AB101" s="54"/>
      <c r="AC101" s="54"/>
      <c r="AD101" s="54"/>
      <c r="AE101" s="54"/>
      <c r="AF101" s="131">
        <v>11</v>
      </c>
    </row>
    <row r="102" s="131" customFormat="1" ht="11.5" customHeight="1">
      <c r="A102" s="705"/>
      <c r="B102" s="57"/>
      <c r="C102" s="57"/>
      <c r="D102" s="131"/>
      <c r="K102" s="53"/>
      <c r="L102" s="57"/>
      <c r="M102" s="57"/>
      <c r="N102" s="53"/>
      <c r="O102" s="53"/>
      <c r="P102" s="53"/>
      <c r="Q102" s="53"/>
      <c r="R102" s="57"/>
      <c r="S102" s="53"/>
      <c r="T102" s="53"/>
      <c r="U102" s="706"/>
      <c r="V102" s="53"/>
      <c r="W102" s="53"/>
      <c r="X102" s="53"/>
      <c r="Y102" s="53"/>
      <c r="Z102" s="53"/>
      <c r="AA102" s="56"/>
      <c r="AB102" s="54"/>
      <c r="AC102" s="54"/>
      <c r="AD102" s="54"/>
      <c r="AE102" s="54"/>
      <c r="AF102" s="131">
        <v>11</v>
      </c>
    </row>
    <row r="103" s="131" customFormat="1" ht="11.5" customHeight="1">
      <c r="A103" s="705"/>
      <c r="B103" s="57"/>
      <c r="C103" s="57"/>
      <c r="D103" s="131"/>
      <c r="K103" s="53"/>
      <c r="L103" s="57"/>
      <c r="M103" s="57"/>
      <c r="N103" s="53"/>
      <c r="O103" s="53"/>
      <c r="P103" s="53"/>
      <c r="Q103" s="53"/>
      <c r="R103" s="57"/>
      <c r="S103" s="53"/>
      <c r="T103" s="53"/>
      <c r="U103" s="706"/>
      <c r="V103" s="53"/>
      <c r="W103" s="53"/>
      <c r="X103" s="53"/>
      <c r="Y103" s="53"/>
      <c r="Z103" s="53"/>
      <c r="AA103" s="56"/>
      <c r="AB103" s="54"/>
      <c r="AC103" s="54"/>
      <c r="AD103" s="54"/>
      <c r="AE103" s="54"/>
      <c r="AF103" s="131">
        <v>11</v>
      </c>
    </row>
    <row r="104" s="131" customFormat="1" ht="11.5" customHeight="1">
      <c r="A104" s="705"/>
      <c r="B104" s="57"/>
      <c r="C104" s="57"/>
      <c r="D104" s="131"/>
      <c r="K104" s="53"/>
      <c r="L104" s="57"/>
      <c r="M104" s="57"/>
      <c r="N104" s="53"/>
      <c r="O104" s="53"/>
      <c r="P104" s="53"/>
      <c r="Q104" s="53"/>
      <c r="R104" s="57"/>
      <c r="S104" s="53"/>
      <c r="T104" s="53"/>
      <c r="U104" s="706"/>
      <c r="V104" s="53"/>
      <c r="W104" s="53"/>
      <c r="X104" s="53"/>
      <c r="Y104" s="53"/>
      <c r="Z104" s="53"/>
      <c r="AA104" s="56"/>
      <c r="AB104" s="54"/>
      <c r="AC104" s="54"/>
      <c r="AD104" s="54"/>
      <c r="AE104" s="54"/>
      <c r="AF104" s="131">
        <v>11</v>
      </c>
    </row>
    <row r="105" s="131" customFormat="1" ht="11.5" customHeight="1">
      <c r="A105" s="705"/>
      <c r="B105" s="57"/>
      <c r="C105" s="57"/>
      <c r="D105" s="131"/>
      <c r="K105" s="53"/>
      <c r="L105" s="57"/>
      <c r="M105" s="57"/>
      <c r="N105" s="53"/>
      <c r="O105" s="53"/>
      <c r="P105" s="53"/>
      <c r="Q105" s="53"/>
      <c r="R105" s="57"/>
      <c r="S105" s="53"/>
      <c r="T105" s="53"/>
      <c r="U105" s="706"/>
      <c r="V105" s="53"/>
      <c r="W105" s="53"/>
      <c r="X105" s="53"/>
      <c r="Y105" s="53"/>
      <c r="Z105" s="53"/>
      <c r="AA105" s="56"/>
      <c r="AB105" s="54"/>
      <c r="AC105" s="54"/>
      <c r="AD105" s="54"/>
      <c r="AE105" s="54"/>
      <c r="AF105" s="131">
        <v>11</v>
      </c>
    </row>
    <row r="106" s="131" customFormat="1" ht="11.5" customHeight="1">
      <c r="A106" s="705"/>
      <c r="B106" s="57"/>
      <c r="C106" s="57"/>
      <c r="D106" s="131"/>
      <c r="K106" s="53"/>
      <c r="L106" s="57"/>
      <c r="M106" s="57"/>
      <c r="N106" s="53"/>
      <c r="O106" s="53"/>
      <c r="P106" s="53"/>
      <c r="Q106" s="53"/>
      <c r="R106" s="57"/>
      <c r="S106" s="53"/>
      <c r="T106" s="53"/>
      <c r="U106" s="706"/>
      <c r="V106" s="53"/>
      <c r="W106" s="53"/>
      <c r="X106" s="53"/>
      <c r="Y106" s="53"/>
      <c r="Z106" s="53"/>
      <c r="AA106" s="56"/>
      <c r="AB106" s="54"/>
      <c r="AC106" s="54"/>
      <c r="AD106" s="54"/>
      <c r="AE106" s="54"/>
      <c r="AF106" s="131">
        <v>11</v>
      </c>
    </row>
    <row r="107" s="131" customFormat="1" ht="11.5" customHeight="1">
      <c r="A107" s="705"/>
      <c r="B107" s="57"/>
      <c r="C107" s="57"/>
      <c r="D107" s="131"/>
      <c r="K107" s="53"/>
      <c r="L107" s="57"/>
      <c r="M107" s="57"/>
      <c r="N107" s="53"/>
      <c r="O107" s="53"/>
      <c r="P107" s="53"/>
      <c r="Q107" s="53"/>
      <c r="R107" s="57"/>
      <c r="S107" s="53"/>
      <c r="T107" s="53"/>
      <c r="U107" s="706"/>
      <c r="V107" s="53"/>
      <c r="W107" s="53"/>
      <c r="X107" s="53"/>
      <c r="Y107" s="53"/>
      <c r="Z107" s="53"/>
      <c r="AA107" s="56"/>
      <c r="AB107" s="54"/>
      <c r="AC107" s="54"/>
      <c r="AD107" s="54"/>
      <c r="AE107" s="54"/>
      <c r="AF107" s="131">
        <v>11</v>
      </c>
    </row>
    <row r="108" s="131" customFormat="1" ht="11.5" customHeight="1">
      <c r="A108" s="705"/>
      <c r="B108" s="57"/>
      <c r="C108" s="57"/>
      <c r="D108" s="131"/>
      <c r="K108" s="53"/>
      <c r="L108" s="57"/>
      <c r="M108" s="57"/>
      <c r="N108" s="53"/>
      <c r="O108" s="53"/>
      <c r="P108" s="53"/>
      <c r="Q108" s="53"/>
      <c r="R108" s="57"/>
      <c r="S108" s="53"/>
      <c r="T108" s="53"/>
      <c r="U108" s="706"/>
      <c r="V108" s="53"/>
      <c r="W108" s="53"/>
      <c r="X108" s="53"/>
      <c r="Y108" s="53"/>
      <c r="Z108" s="53"/>
      <c r="AA108" s="56"/>
      <c r="AB108" s="54"/>
      <c r="AC108" s="54"/>
      <c r="AD108" s="54"/>
      <c r="AE108" s="54"/>
      <c r="AF108" s="131">
        <v>11</v>
      </c>
    </row>
    <row r="109" s="131" customFormat="1" ht="11.5" customHeight="1">
      <c r="A109" s="705"/>
      <c r="B109" s="57"/>
      <c r="C109" s="57"/>
      <c r="D109" s="131"/>
      <c r="K109" s="53"/>
      <c r="L109" s="57"/>
      <c r="M109" s="57"/>
      <c r="N109" s="53"/>
      <c r="O109" s="53"/>
      <c r="P109" s="53"/>
      <c r="Q109" s="53"/>
      <c r="R109" s="57"/>
      <c r="S109" s="53"/>
      <c r="T109" s="53"/>
      <c r="U109" s="706"/>
      <c r="V109" s="53"/>
      <c r="W109" s="53"/>
      <c r="X109" s="53"/>
      <c r="Y109" s="53"/>
      <c r="Z109" s="53"/>
      <c r="AA109" s="56"/>
      <c r="AB109" s="54"/>
      <c r="AC109" s="54"/>
      <c r="AD109" s="54"/>
      <c r="AE109" s="54"/>
      <c r="AF109" s="131">
        <v>11</v>
      </c>
    </row>
    <row r="110" s="131" customFormat="1" ht="11.5" customHeight="1">
      <c r="A110" s="705"/>
      <c r="B110" s="57"/>
      <c r="C110" s="57"/>
      <c r="D110" s="131"/>
      <c r="K110" s="53"/>
      <c r="L110" s="57"/>
      <c r="M110" s="57"/>
      <c r="N110" s="53"/>
      <c r="O110" s="53"/>
      <c r="P110" s="53"/>
      <c r="Q110" s="53"/>
      <c r="R110" s="57"/>
      <c r="S110" s="53"/>
      <c r="T110" s="53"/>
      <c r="U110" s="706"/>
      <c r="V110" s="53"/>
      <c r="W110" s="53"/>
      <c r="X110" s="53"/>
      <c r="Y110" s="53"/>
      <c r="Z110" s="53"/>
      <c r="AA110" s="56"/>
      <c r="AB110" s="54"/>
      <c r="AC110" s="54"/>
      <c r="AD110" s="54"/>
      <c r="AE110" s="54"/>
      <c r="AF110" s="131">
        <v>11</v>
      </c>
    </row>
    <row r="111" s="131" customFormat="1" ht="11.5" customHeight="1">
      <c r="A111" s="705"/>
      <c r="B111" s="57"/>
      <c r="C111" s="57"/>
      <c r="D111" s="131"/>
      <c r="K111" s="53"/>
      <c r="L111" s="57"/>
      <c r="M111" s="57"/>
      <c r="N111" s="53"/>
      <c r="O111" s="53"/>
      <c r="P111" s="53"/>
      <c r="Q111" s="53"/>
      <c r="R111" s="57"/>
      <c r="S111" s="53"/>
      <c r="T111" s="53"/>
      <c r="U111" s="706"/>
      <c r="V111" s="53"/>
      <c r="W111" s="53"/>
      <c r="X111" s="53"/>
      <c r="Y111" s="53"/>
      <c r="Z111" s="53"/>
      <c r="AA111" s="56"/>
      <c r="AB111" s="54"/>
      <c r="AC111" s="54"/>
      <c r="AD111" s="54"/>
      <c r="AE111" s="54"/>
      <c r="AF111" s="131">
        <v>11</v>
      </c>
    </row>
    <row r="112" s="131" customFormat="1" ht="11.5" customHeight="1">
      <c r="A112" s="705"/>
      <c r="B112" s="57"/>
      <c r="C112" s="57"/>
      <c r="D112" s="131"/>
      <c r="K112" s="53"/>
      <c r="L112" s="57"/>
      <c r="M112" s="57"/>
      <c r="N112" s="53"/>
      <c r="O112" s="53"/>
      <c r="P112" s="53"/>
      <c r="Q112" s="53"/>
      <c r="R112" s="57"/>
      <c r="S112" s="53"/>
      <c r="T112" s="53"/>
      <c r="U112" s="706"/>
      <c r="V112" s="53"/>
      <c r="W112" s="53"/>
      <c r="X112" s="53"/>
      <c r="Y112" s="53"/>
      <c r="Z112" s="53"/>
      <c r="AA112" s="56"/>
      <c r="AB112" s="54"/>
      <c r="AC112" s="54"/>
      <c r="AD112" s="54"/>
      <c r="AE112" s="54"/>
      <c r="AF112" s="131">
        <v>11</v>
      </c>
    </row>
    <row r="113" s="131" customFormat="1" ht="11.5" customHeight="1">
      <c r="A113" s="705"/>
      <c r="B113" s="57"/>
      <c r="C113" s="57"/>
      <c r="D113" s="131"/>
      <c r="K113" s="53"/>
      <c r="L113" s="57"/>
      <c r="M113" s="57"/>
      <c r="N113" s="53"/>
      <c r="O113" s="53"/>
      <c r="P113" s="53"/>
      <c r="Q113" s="53"/>
      <c r="R113" s="57"/>
      <c r="S113" s="53"/>
      <c r="T113" s="53"/>
      <c r="U113" s="706"/>
      <c r="V113" s="53"/>
      <c r="W113" s="53"/>
      <c r="X113" s="53"/>
      <c r="Y113" s="53"/>
      <c r="Z113" s="53"/>
      <c r="AA113" s="56"/>
      <c r="AB113" s="54"/>
      <c r="AC113" s="54"/>
      <c r="AD113" s="54"/>
      <c r="AE113" s="54"/>
      <c r="AF113" s="131">
        <v>11</v>
      </c>
    </row>
    <row r="114" s="131" customFormat="1" ht="11.5" customHeight="1">
      <c r="A114" s="705"/>
      <c r="B114" s="57"/>
      <c r="C114" s="57"/>
      <c r="D114" s="131"/>
      <c r="K114" s="53"/>
      <c r="L114" s="57"/>
      <c r="M114" s="57"/>
      <c r="N114" s="53"/>
      <c r="O114" s="53"/>
      <c r="P114" s="53"/>
      <c r="Q114" s="53"/>
      <c r="R114" s="57"/>
      <c r="S114" s="53"/>
      <c r="T114" s="53"/>
      <c r="U114" s="706"/>
      <c r="V114" s="53"/>
      <c r="W114" s="53"/>
      <c r="X114" s="53"/>
      <c r="Y114" s="53"/>
      <c r="Z114" s="53"/>
      <c r="AA114" s="56"/>
      <c r="AB114" s="54"/>
      <c r="AC114" s="54"/>
      <c r="AD114" s="54"/>
      <c r="AE114" s="54"/>
      <c r="AF114" s="131">
        <v>11</v>
      </c>
    </row>
    <row r="115" s="131" customFormat="1" ht="11.5" customHeight="1">
      <c r="A115" s="705"/>
      <c r="B115" s="57"/>
      <c r="C115" s="57"/>
      <c r="D115" s="131"/>
      <c r="K115" s="53"/>
      <c r="L115" s="57"/>
      <c r="M115" s="57"/>
      <c r="N115" s="53"/>
      <c r="O115" s="53"/>
      <c r="P115" s="53"/>
      <c r="Q115" s="53"/>
      <c r="R115" s="57"/>
      <c r="S115" s="53"/>
      <c r="T115" s="53"/>
      <c r="U115" s="706"/>
      <c r="V115" s="53"/>
      <c r="W115" s="53"/>
      <c r="X115" s="53"/>
      <c r="Y115" s="53"/>
      <c r="Z115" s="53"/>
      <c r="AA115" s="56"/>
      <c r="AB115" s="54"/>
      <c r="AC115" s="54"/>
      <c r="AD115" s="54"/>
      <c r="AE115" s="54"/>
      <c r="AF115" s="131">
        <v>11</v>
      </c>
    </row>
    <row r="116" s="131" customFormat="1" ht="11.5" customHeight="1">
      <c r="A116" s="705"/>
      <c r="B116" s="57"/>
      <c r="C116" s="57"/>
      <c r="D116" s="131"/>
      <c r="K116" s="53"/>
      <c r="L116" s="57"/>
      <c r="M116" s="57"/>
      <c r="N116" s="53"/>
      <c r="O116" s="53"/>
      <c r="P116" s="53"/>
      <c r="Q116" s="53"/>
      <c r="R116" s="57"/>
      <c r="S116" s="53"/>
      <c r="T116" s="53"/>
      <c r="U116" s="706"/>
      <c r="V116" s="53"/>
      <c r="W116" s="53"/>
      <c r="X116" s="53"/>
      <c r="Y116" s="53"/>
      <c r="Z116" s="53"/>
      <c r="AA116" s="56"/>
      <c r="AB116" s="54"/>
      <c r="AC116" s="54"/>
      <c r="AD116" s="54"/>
      <c r="AE116" s="54"/>
      <c r="AF116" s="131">
        <v>11</v>
      </c>
    </row>
    <row r="117" s="131" customFormat="1" ht="11.5" customHeight="1">
      <c r="A117" s="705"/>
      <c r="B117" s="57"/>
      <c r="C117" s="57"/>
      <c r="D117" s="131"/>
      <c r="K117" s="53"/>
      <c r="L117" s="57"/>
      <c r="M117" s="57"/>
      <c r="N117" s="53"/>
      <c r="O117" s="53"/>
      <c r="P117" s="53"/>
      <c r="Q117" s="53"/>
      <c r="R117" s="57"/>
      <c r="S117" s="53"/>
      <c r="T117" s="53"/>
      <c r="U117" s="706"/>
      <c r="V117" s="53"/>
      <c r="W117" s="53"/>
      <c r="X117" s="53"/>
      <c r="Y117" s="53"/>
      <c r="Z117" s="53"/>
      <c r="AA117" s="56"/>
      <c r="AB117" s="54"/>
      <c r="AC117" s="54"/>
      <c r="AD117" s="54"/>
      <c r="AE117" s="54"/>
      <c r="AF117" s="131">
        <v>11</v>
      </c>
    </row>
    <row r="118" s="131" customFormat="1" ht="11.5" customHeight="1">
      <c r="A118" s="705"/>
      <c r="B118" s="57"/>
      <c r="C118" s="57"/>
      <c r="D118" s="131"/>
      <c r="K118" s="53"/>
      <c r="L118" s="57"/>
      <c r="M118" s="57"/>
      <c r="N118" s="53"/>
      <c r="O118" s="53"/>
      <c r="P118" s="53"/>
      <c r="Q118" s="53"/>
      <c r="R118" s="57"/>
      <c r="S118" s="53"/>
      <c r="T118" s="53"/>
      <c r="U118" s="706"/>
      <c r="V118" s="53"/>
      <c r="W118" s="53"/>
      <c r="X118" s="53"/>
      <c r="Y118" s="53"/>
      <c r="Z118" s="53"/>
      <c r="AA118" s="56"/>
      <c r="AB118" s="54"/>
      <c r="AC118" s="54"/>
      <c r="AD118" s="54"/>
      <c r="AE118" s="54"/>
      <c r="AF118" s="131">
        <v>11</v>
      </c>
    </row>
    <row r="119" s="131" customFormat="1" ht="11.5" customHeight="1">
      <c r="A119" s="705"/>
      <c r="B119" s="57"/>
      <c r="C119" s="57"/>
      <c r="D119" s="131"/>
      <c r="K119" s="53"/>
      <c r="L119" s="57"/>
      <c r="M119" s="57"/>
      <c r="N119" s="53"/>
      <c r="O119" s="53"/>
      <c r="P119" s="53"/>
      <c r="Q119" s="53"/>
      <c r="R119" s="57"/>
      <c r="S119" s="53"/>
      <c r="T119" s="53"/>
      <c r="U119" s="706"/>
      <c r="V119" s="53"/>
      <c r="W119" s="53"/>
      <c r="X119" s="53"/>
      <c r="Y119" s="53"/>
      <c r="Z119" s="53"/>
      <c r="AA119" s="56"/>
      <c r="AB119" s="54"/>
      <c r="AC119" s="54"/>
      <c r="AD119" s="54"/>
      <c r="AE119" s="54"/>
      <c r="AF119" s="131">
        <v>11</v>
      </c>
    </row>
    <row r="120" s="131" customFormat="1" ht="11.5" customHeight="1">
      <c r="A120" s="705"/>
      <c r="B120" s="57"/>
      <c r="C120" s="57"/>
      <c r="D120" s="131"/>
      <c r="K120" s="53"/>
      <c r="L120" s="57"/>
      <c r="M120" s="57"/>
      <c r="N120" s="53"/>
      <c r="O120" s="53"/>
      <c r="P120" s="53"/>
      <c r="Q120" s="53"/>
      <c r="R120" s="57"/>
      <c r="S120" s="53"/>
      <c r="T120" s="53"/>
      <c r="U120" s="706"/>
      <c r="V120" s="53"/>
      <c r="W120" s="53"/>
      <c r="X120" s="53"/>
      <c r="Y120" s="53"/>
      <c r="Z120" s="53"/>
      <c r="AA120" s="56"/>
      <c r="AB120" s="54"/>
      <c r="AC120" s="54"/>
      <c r="AD120" s="54"/>
      <c r="AE120" s="54"/>
      <c r="AF120" s="131">
        <v>11</v>
      </c>
    </row>
    <row r="121" s="131" customFormat="1" ht="11.5" customHeight="1">
      <c r="A121" s="705"/>
      <c r="B121" s="57"/>
      <c r="C121" s="57"/>
      <c r="D121" s="131"/>
      <c r="K121" s="53"/>
      <c r="L121" s="57"/>
      <c r="M121" s="57"/>
      <c r="N121" s="53"/>
      <c r="O121" s="53"/>
      <c r="P121" s="53"/>
      <c r="Q121" s="53"/>
      <c r="R121" s="57"/>
      <c r="S121" s="53"/>
      <c r="T121" s="53"/>
      <c r="U121" s="706"/>
      <c r="V121" s="53"/>
      <c r="W121" s="53"/>
      <c r="X121" s="53"/>
      <c r="Y121" s="53"/>
      <c r="Z121" s="53"/>
      <c r="AA121" s="56"/>
      <c r="AB121" s="54"/>
      <c r="AC121" s="54"/>
      <c r="AD121" s="54"/>
      <c r="AE121" s="54"/>
      <c r="AF121" s="131">
        <v>11</v>
      </c>
    </row>
    <row r="122" s="131" customFormat="1" ht="11.5" customHeight="1">
      <c r="A122" s="705"/>
      <c r="B122" s="57"/>
      <c r="C122" s="57"/>
      <c r="D122" s="131"/>
      <c r="K122" s="53"/>
      <c r="L122" s="57"/>
      <c r="M122" s="57"/>
      <c r="N122" s="53"/>
      <c r="O122" s="53"/>
      <c r="P122" s="53"/>
      <c r="Q122" s="53"/>
      <c r="R122" s="57"/>
      <c r="S122" s="53"/>
      <c r="T122" s="53"/>
      <c r="U122" s="706"/>
      <c r="V122" s="53"/>
      <c r="W122" s="53"/>
      <c r="X122" s="53"/>
      <c r="Y122" s="53"/>
      <c r="Z122" s="53"/>
      <c r="AA122" s="56"/>
      <c r="AB122" s="54"/>
      <c r="AC122" s="54"/>
      <c r="AD122" s="54"/>
      <c r="AE122" s="54"/>
      <c r="AF122" s="131">
        <v>11</v>
      </c>
    </row>
    <row r="123" s="131" customFormat="1" ht="11.5" customHeight="1">
      <c r="A123" s="705"/>
      <c r="B123" s="57"/>
      <c r="C123" s="57"/>
      <c r="D123" s="131"/>
      <c r="K123" s="53"/>
      <c r="L123" s="57"/>
      <c r="M123" s="57"/>
      <c r="N123" s="53"/>
      <c r="O123" s="53"/>
      <c r="P123" s="53"/>
      <c r="Q123" s="53"/>
      <c r="R123" s="57"/>
      <c r="S123" s="53"/>
      <c r="T123" s="53"/>
      <c r="U123" s="706"/>
      <c r="V123" s="53"/>
      <c r="W123" s="53"/>
      <c r="X123" s="53"/>
      <c r="Y123" s="53"/>
      <c r="Z123" s="53"/>
      <c r="AA123" s="56"/>
      <c r="AB123" s="54"/>
      <c r="AC123" s="54"/>
      <c r="AD123" s="54"/>
      <c r="AE123" s="54"/>
      <c r="AF123" s="131">
        <v>11</v>
      </c>
    </row>
    <row r="124" s="131" customFormat="1" ht="11.5" customHeight="1">
      <c r="A124" s="705"/>
      <c r="B124" s="57"/>
      <c r="C124" s="57"/>
      <c r="D124" s="131"/>
      <c r="K124" s="53"/>
      <c r="L124" s="57"/>
      <c r="M124" s="57"/>
      <c r="N124" s="53"/>
      <c r="O124" s="53"/>
      <c r="P124" s="53"/>
      <c r="Q124" s="53"/>
      <c r="R124" s="57"/>
      <c r="S124" s="53"/>
      <c r="T124" s="53"/>
      <c r="U124" s="706"/>
      <c r="V124" s="53"/>
      <c r="W124" s="53"/>
      <c r="X124" s="53"/>
      <c r="Y124" s="53"/>
      <c r="Z124" s="53"/>
      <c r="AA124" s="56"/>
      <c r="AB124" s="54"/>
      <c r="AC124" s="54"/>
      <c r="AD124" s="54"/>
      <c r="AE124" s="54"/>
      <c r="AF124" s="131">
        <v>11</v>
      </c>
    </row>
    <row r="125" s="131" customFormat="1" ht="11.5" customHeight="1">
      <c r="A125" s="705"/>
      <c r="B125" s="57"/>
      <c r="C125" s="57"/>
      <c r="D125" s="131"/>
      <c r="K125" s="53"/>
      <c r="L125" s="57"/>
      <c r="M125" s="57"/>
      <c r="N125" s="53"/>
      <c r="O125" s="53"/>
      <c r="P125" s="53"/>
      <c r="Q125" s="53"/>
      <c r="R125" s="57"/>
      <c r="S125" s="53"/>
      <c r="T125" s="53"/>
      <c r="U125" s="706"/>
      <c r="V125" s="53"/>
      <c r="W125" s="53"/>
      <c r="X125" s="53"/>
      <c r="Y125" s="53"/>
      <c r="Z125" s="53"/>
      <c r="AA125" s="56"/>
      <c r="AB125" s="54"/>
      <c r="AC125" s="54"/>
      <c r="AD125" s="54"/>
      <c r="AE125" s="54"/>
      <c r="AF125" s="131">
        <v>11</v>
      </c>
    </row>
    <row r="126" s="131" customFormat="1" ht="11.5" customHeight="1">
      <c r="A126" s="705"/>
      <c r="B126" s="57"/>
      <c r="C126" s="57"/>
      <c r="D126" s="131"/>
      <c r="K126" s="53"/>
      <c r="L126" s="57"/>
      <c r="M126" s="57"/>
      <c r="N126" s="53"/>
      <c r="O126" s="53"/>
      <c r="P126" s="53"/>
      <c r="Q126" s="53"/>
      <c r="R126" s="57"/>
      <c r="S126" s="53"/>
      <c r="T126" s="53"/>
      <c r="U126" s="706"/>
      <c r="V126" s="53"/>
      <c r="W126" s="53"/>
      <c r="X126" s="53"/>
      <c r="Y126" s="53"/>
      <c r="Z126" s="53"/>
      <c r="AA126" s="56"/>
      <c r="AB126" s="54"/>
      <c r="AC126" s="54"/>
      <c r="AD126" s="54"/>
      <c r="AE126" s="54"/>
      <c r="AF126" s="131">
        <v>11</v>
      </c>
    </row>
    <row r="127" s="131" customFormat="1" ht="11.5" customHeight="1">
      <c r="A127" s="705"/>
      <c r="B127" s="57"/>
      <c r="C127" s="57"/>
      <c r="D127" s="131"/>
      <c r="K127" s="53"/>
      <c r="L127" s="57"/>
      <c r="M127" s="57"/>
      <c r="N127" s="53"/>
      <c r="O127" s="53"/>
      <c r="P127" s="53"/>
      <c r="Q127" s="53"/>
      <c r="R127" s="57"/>
      <c r="S127" s="53"/>
      <c r="T127" s="53"/>
      <c r="U127" s="706"/>
      <c r="V127" s="53"/>
      <c r="W127" s="53"/>
      <c r="X127" s="53"/>
      <c r="Y127" s="53"/>
      <c r="Z127" s="53"/>
      <c r="AA127" s="56"/>
      <c r="AB127" s="54"/>
      <c r="AC127" s="54"/>
      <c r="AD127" s="54"/>
      <c r="AE127" s="54"/>
      <c r="AF127" s="131">
        <v>11</v>
      </c>
    </row>
    <row r="128" s="131" customFormat="1" ht="11.5" customHeight="1">
      <c r="A128" s="705"/>
      <c r="B128" s="57"/>
      <c r="C128" s="57"/>
      <c r="D128" s="131"/>
      <c r="K128" s="53"/>
      <c r="L128" s="57"/>
      <c r="M128" s="57"/>
      <c r="N128" s="53"/>
      <c r="O128" s="53"/>
      <c r="P128" s="53"/>
      <c r="Q128" s="53"/>
      <c r="R128" s="57"/>
      <c r="S128" s="53"/>
      <c r="T128" s="53"/>
      <c r="U128" s="706"/>
      <c r="V128" s="53"/>
      <c r="W128" s="53"/>
      <c r="X128" s="53"/>
      <c r="Y128" s="53"/>
      <c r="Z128" s="53"/>
      <c r="AA128" s="56"/>
      <c r="AB128" s="54"/>
      <c r="AC128" s="54"/>
      <c r="AD128" s="54"/>
      <c r="AE128" s="54"/>
      <c r="AF128" s="131">
        <v>11</v>
      </c>
    </row>
    <row r="129" s="131" customFormat="1" ht="11.5" customHeight="1">
      <c r="A129" s="705"/>
      <c r="B129" s="57"/>
      <c r="C129" s="57"/>
      <c r="D129" s="131"/>
      <c r="K129" s="53"/>
      <c r="L129" s="57"/>
      <c r="M129" s="57"/>
      <c r="N129" s="53"/>
      <c r="O129" s="53"/>
      <c r="P129" s="53"/>
      <c r="Q129" s="53"/>
      <c r="R129" s="57"/>
      <c r="S129" s="53"/>
      <c r="T129" s="53"/>
      <c r="U129" s="706"/>
      <c r="V129" s="53"/>
      <c r="W129" s="53"/>
      <c r="X129" s="53"/>
      <c r="Y129" s="53"/>
      <c r="Z129" s="53"/>
      <c r="AA129" s="56"/>
      <c r="AB129" s="54"/>
      <c r="AC129" s="54"/>
      <c r="AD129" s="54"/>
      <c r="AE129" s="54"/>
      <c r="AF129" s="131">
        <v>11</v>
      </c>
    </row>
    <row r="130" s="131" customFormat="1" ht="11.5" customHeight="1">
      <c r="A130" s="705"/>
      <c r="B130" s="57"/>
      <c r="C130" s="57"/>
      <c r="D130" s="131"/>
      <c r="K130" s="53"/>
      <c r="L130" s="57"/>
      <c r="M130" s="57"/>
      <c r="N130" s="53"/>
      <c r="O130" s="53"/>
      <c r="P130" s="53"/>
      <c r="Q130" s="53"/>
      <c r="R130" s="57"/>
      <c r="S130" s="53"/>
      <c r="T130" s="53"/>
      <c r="U130" s="706"/>
      <c r="V130" s="53"/>
      <c r="W130" s="53"/>
      <c r="X130" s="53"/>
      <c r="Y130" s="53"/>
      <c r="Z130" s="53"/>
      <c r="AA130" s="56"/>
      <c r="AB130" s="54"/>
      <c r="AC130" s="54"/>
      <c r="AD130" s="54"/>
      <c r="AE130" s="54"/>
      <c r="AF130" s="131">
        <v>11</v>
      </c>
    </row>
    <row r="131" s="131" customFormat="1" ht="11.5" customHeight="1">
      <c r="A131" s="705"/>
      <c r="B131" s="57"/>
      <c r="C131" s="57"/>
      <c r="D131" s="131"/>
      <c r="K131" s="53"/>
      <c r="L131" s="57"/>
      <c r="M131" s="57"/>
      <c r="N131" s="53"/>
      <c r="O131" s="53"/>
      <c r="P131" s="53"/>
      <c r="Q131" s="53"/>
      <c r="R131" s="57"/>
      <c r="S131" s="53"/>
      <c r="T131" s="53"/>
      <c r="U131" s="706"/>
      <c r="V131" s="53"/>
      <c r="W131" s="53"/>
      <c r="X131" s="53"/>
      <c r="Y131" s="53"/>
      <c r="Z131" s="53"/>
      <c r="AA131" s="56"/>
      <c r="AB131" s="54"/>
      <c r="AC131" s="54"/>
      <c r="AD131" s="54"/>
      <c r="AE131" s="54"/>
      <c r="AF131" s="131">
        <v>11</v>
      </c>
    </row>
    <row r="132" s="131" customFormat="1" ht="11.5" customHeight="1">
      <c r="A132" s="705"/>
      <c r="B132" s="57"/>
      <c r="C132" s="57"/>
      <c r="D132" s="131"/>
      <c r="K132" s="53"/>
      <c r="L132" s="57"/>
      <c r="M132" s="57"/>
      <c r="N132" s="53"/>
      <c r="O132" s="53"/>
      <c r="P132" s="53"/>
      <c r="Q132" s="53"/>
      <c r="R132" s="57"/>
      <c r="S132" s="53"/>
      <c r="T132" s="53"/>
      <c r="U132" s="706"/>
      <c r="V132" s="53"/>
      <c r="W132" s="53"/>
      <c r="X132" s="53"/>
      <c r="Y132" s="53"/>
      <c r="Z132" s="53"/>
      <c r="AA132" s="56"/>
      <c r="AB132" s="54"/>
      <c r="AC132" s="54"/>
      <c r="AD132" s="54"/>
      <c r="AE132" s="54"/>
      <c r="AF132" s="131">
        <v>11</v>
      </c>
    </row>
    <row r="133" s="131" customFormat="1" ht="11.5" customHeight="1">
      <c r="A133" s="705"/>
      <c r="B133" s="57"/>
      <c r="C133" s="57"/>
      <c r="D133" s="131"/>
      <c r="K133" s="53"/>
      <c r="L133" s="57"/>
      <c r="M133" s="57"/>
      <c r="N133" s="53"/>
      <c r="O133" s="53"/>
      <c r="P133" s="53"/>
      <c r="Q133" s="53"/>
      <c r="R133" s="57"/>
      <c r="S133" s="53"/>
      <c r="T133" s="53"/>
      <c r="U133" s="706"/>
      <c r="V133" s="53"/>
      <c r="W133" s="53"/>
      <c r="X133" s="53"/>
      <c r="Y133" s="53"/>
      <c r="Z133" s="53"/>
      <c r="AA133" s="56"/>
      <c r="AB133" s="54"/>
      <c r="AC133" s="54"/>
      <c r="AD133" s="54"/>
      <c r="AE133" s="54"/>
      <c r="AF133" s="131">
        <v>11</v>
      </c>
    </row>
    <row r="134" s="131" customFormat="1" ht="11.5" customHeight="1">
      <c r="A134" s="705"/>
      <c r="B134" s="57"/>
      <c r="C134" s="57"/>
      <c r="D134" s="131"/>
      <c r="K134" s="53"/>
      <c r="L134" s="57"/>
      <c r="M134" s="57"/>
      <c r="N134" s="53"/>
      <c r="O134" s="53"/>
      <c r="P134" s="53"/>
      <c r="Q134" s="53"/>
      <c r="R134" s="57"/>
      <c r="S134" s="53"/>
      <c r="T134" s="53"/>
      <c r="U134" s="706"/>
      <c r="V134" s="53"/>
      <c r="W134" s="53"/>
      <c r="X134" s="53"/>
      <c r="Y134" s="53"/>
      <c r="Z134" s="53"/>
      <c r="AA134" s="56"/>
      <c r="AB134" s="54"/>
      <c r="AC134" s="54"/>
      <c r="AD134" s="54"/>
      <c r="AE134" s="54"/>
      <c r="AF134" s="131">
        <v>11</v>
      </c>
    </row>
    <row r="135" s="131" customFormat="1" ht="11.5" customHeight="1">
      <c r="A135" s="705"/>
      <c r="B135" s="57"/>
      <c r="C135" s="57"/>
      <c r="D135" s="131"/>
      <c r="K135" s="53"/>
      <c r="L135" s="57"/>
      <c r="M135" s="57"/>
      <c r="N135" s="53"/>
      <c r="O135" s="53"/>
      <c r="P135" s="53"/>
      <c r="Q135" s="53"/>
      <c r="R135" s="57"/>
      <c r="S135" s="53"/>
      <c r="T135" s="53"/>
      <c r="U135" s="706"/>
      <c r="V135" s="53"/>
      <c r="W135" s="53"/>
      <c r="X135" s="53"/>
      <c r="Y135" s="53"/>
      <c r="Z135" s="53"/>
      <c r="AA135" s="56"/>
      <c r="AB135" s="54"/>
      <c r="AC135" s="54"/>
      <c r="AD135" s="54"/>
      <c r="AE135" s="54"/>
      <c r="AF135" s="131">
        <v>11</v>
      </c>
    </row>
    <row r="136" s="131" customFormat="1" ht="11.5" customHeight="1">
      <c r="A136" s="705"/>
      <c r="B136" s="57"/>
      <c r="C136" s="57"/>
      <c r="D136" s="131"/>
      <c r="K136" s="53"/>
      <c r="L136" s="57"/>
      <c r="M136" s="57"/>
      <c r="N136" s="53"/>
      <c r="O136" s="53"/>
      <c r="P136" s="53"/>
      <c r="Q136" s="53"/>
      <c r="R136" s="57"/>
      <c r="S136" s="53"/>
      <c r="T136" s="53"/>
      <c r="U136" s="706"/>
      <c r="V136" s="53"/>
      <c r="W136" s="53"/>
      <c r="X136" s="53"/>
      <c r="Y136" s="53"/>
      <c r="Z136" s="53"/>
      <c r="AA136" s="56"/>
      <c r="AB136" s="54"/>
      <c r="AC136" s="54"/>
      <c r="AD136" s="54"/>
      <c r="AE136" s="54"/>
      <c r="AF136" s="131">
        <v>11</v>
      </c>
    </row>
    <row r="137" s="131" customFormat="1" ht="11.5" customHeight="1">
      <c r="A137" s="705"/>
      <c r="B137" s="57"/>
      <c r="C137" s="57"/>
      <c r="D137" s="131"/>
      <c r="K137" s="53"/>
      <c r="L137" s="57"/>
      <c r="M137" s="57"/>
      <c r="N137" s="53"/>
      <c r="O137" s="53"/>
      <c r="P137" s="53"/>
      <c r="Q137" s="53"/>
      <c r="R137" s="57"/>
      <c r="S137" s="53"/>
      <c r="T137" s="53"/>
      <c r="U137" s="706"/>
      <c r="V137" s="53"/>
      <c r="W137" s="53"/>
      <c r="X137" s="53"/>
      <c r="Y137" s="53"/>
      <c r="Z137" s="53"/>
      <c r="AA137" s="56"/>
      <c r="AB137" s="54"/>
      <c r="AC137" s="54"/>
      <c r="AD137" s="54"/>
      <c r="AE137" s="54"/>
      <c r="AF137" s="131">
        <v>11</v>
      </c>
    </row>
    <row r="138" s="131" customFormat="1" ht="11.5" customHeight="1">
      <c r="A138" s="705"/>
      <c r="B138" s="57"/>
      <c r="C138" s="57"/>
      <c r="D138" s="131"/>
      <c r="K138" s="53"/>
      <c r="L138" s="57"/>
      <c r="M138" s="57"/>
      <c r="N138" s="53"/>
      <c r="O138" s="53"/>
      <c r="P138" s="53"/>
      <c r="Q138" s="53"/>
      <c r="R138" s="57"/>
      <c r="S138" s="53"/>
      <c r="T138" s="53"/>
      <c r="U138" s="706"/>
      <c r="V138" s="53"/>
      <c r="W138" s="53"/>
      <c r="X138" s="53"/>
      <c r="Y138" s="53"/>
      <c r="Z138" s="53"/>
      <c r="AA138" s="56"/>
      <c r="AB138" s="54"/>
      <c r="AC138" s="54"/>
      <c r="AD138" s="54"/>
      <c r="AE138" s="54"/>
      <c r="AF138" s="131">
        <v>11</v>
      </c>
    </row>
    <row r="139" s="131" customFormat="1" ht="11.5" customHeight="1">
      <c r="A139" s="705"/>
      <c r="B139" s="57"/>
      <c r="C139" s="57"/>
      <c r="D139" s="131"/>
      <c r="K139" s="53"/>
      <c r="L139" s="57"/>
      <c r="M139" s="57"/>
      <c r="N139" s="53"/>
      <c r="O139" s="53"/>
      <c r="P139" s="53"/>
      <c r="Q139" s="53"/>
      <c r="R139" s="57"/>
      <c r="S139" s="53"/>
      <c r="T139" s="53"/>
      <c r="U139" s="706"/>
      <c r="V139" s="53"/>
      <c r="W139" s="53"/>
      <c r="X139" s="53"/>
      <c r="Y139" s="53"/>
      <c r="Z139" s="53"/>
      <c r="AA139" s="56"/>
      <c r="AB139" s="54"/>
      <c r="AC139" s="54"/>
      <c r="AD139" s="54"/>
      <c r="AE139" s="54"/>
      <c r="AF139" s="131">
        <v>11</v>
      </c>
    </row>
    <row r="140" s="131" customFormat="1" ht="11.5" customHeight="1">
      <c r="A140" s="705"/>
      <c r="B140" s="57"/>
      <c r="C140" s="57"/>
      <c r="D140" s="131"/>
      <c r="K140" s="53"/>
      <c r="L140" s="57"/>
      <c r="M140" s="57"/>
      <c r="N140" s="53"/>
      <c r="O140" s="53"/>
      <c r="P140" s="53"/>
      <c r="Q140" s="53"/>
      <c r="R140" s="57"/>
      <c r="S140" s="53"/>
      <c r="T140" s="53"/>
      <c r="U140" s="706"/>
      <c r="V140" s="53"/>
      <c r="W140" s="53"/>
      <c r="X140" s="53"/>
      <c r="Y140" s="53"/>
      <c r="Z140" s="53"/>
      <c r="AA140" s="56"/>
      <c r="AB140" s="54"/>
      <c r="AC140" s="54"/>
      <c r="AD140" s="54"/>
      <c r="AE140" s="54"/>
      <c r="AF140" s="131">
        <v>11</v>
      </c>
    </row>
    <row r="141" s="131" customFormat="1" ht="11.5" customHeight="1">
      <c r="A141" s="705"/>
      <c r="B141" s="57"/>
      <c r="C141" s="57"/>
      <c r="D141" s="131"/>
      <c r="K141" s="53"/>
      <c r="L141" s="57"/>
      <c r="M141" s="57"/>
      <c r="N141" s="53"/>
      <c r="O141" s="53"/>
      <c r="P141" s="53"/>
      <c r="Q141" s="53"/>
      <c r="R141" s="57"/>
      <c r="S141" s="53"/>
      <c r="T141" s="53"/>
      <c r="U141" s="706"/>
      <c r="V141" s="53"/>
      <c r="W141" s="53"/>
      <c r="X141" s="53"/>
      <c r="Y141" s="53"/>
      <c r="Z141" s="53"/>
      <c r="AA141" s="56"/>
      <c r="AB141" s="54"/>
      <c r="AC141" s="54"/>
      <c r="AD141" s="54"/>
      <c r="AE141" s="54"/>
      <c r="AF141" s="131">
        <v>11</v>
      </c>
    </row>
    <row r="142" s="131" customFormat="1" ht="11.5" customHeight="1">
      <c r="A142" s="705"/>
      <c r="B142" s="57"/>
      <c r="C142" s="57"/>
      <c r="D142" s="131"/>
      <c r="K142" s="53"/>
      <c r="L142" s="57"/>
      <c r="M142" s="57"/>
      <c r="N142" s="53"/>
      <c r="O142" s="53"/>
      <c r="P142" s="53"/>
      <c r="Q142" s="53"/>
      <c r="R142" s="57"/>
      <c r="S142" s="53"/>
      <c r="T142" s="53"/>
      <c r="U142" s="706"/>
      <c r="V142" s="53"/>
      <c r="W142" s="53"/>
      <c r="X142" s="53"/>
      <c r="Y142" s="53"/>
      <c r="Z142" s="53"/>
      <c r="AA142" s="56"/>
      <c r="AB142" s="54"/>
      <c r="AC142" s="54"/>
      <c r="AD142" s="54"/>
      <c r="AE142" s="54"/>
      <c r="AF142" s="131">
        <v>11</v>
      </c>
    </row>
    <row r="143" s="131" customFormat="1" ht="11.5" customHeight="1">
      <c r="A143" s="705"/>
      <c r="B143" s="57"/>
      <c r="C143" s="57"/>
      <c r="D143" s="131"/>
      <c r="K143" s="53"/>
      <c r="L143" s="57"/>
      <c r="M143" s="57"/>
      <c r="N143" s="53"/>
      <c r="O143" s="53"/>
      <c r="P143" s="53"/>
      <c r="Q143" s="53"/>
      <c r="R143" s="57"/>
      <c r="S143" s="53"/>
      <c r="T143" s="53"/>
      <c r="U143" s="706"/>
      <c r="V143" s="53"/>
      <c r="W143" s="53"/>
      <c r="X143" s="53"/>
      <c r="Y143" s="53"/>
      <c r="Z143" s="53"/>
      <c r="AA143" s="56"/>
      <c r="AB143" s="54"/>
      <c r="AC143" s="54"/>
      <c r="AD143" s="54"/>
      <c r="AE143" s="54"/>
      <c r="AF143" s="131">
        <v>11</v>
      </c>
    </row>
    <row r="144" s="131" customFormat="1" ht="11.5" customHeight="1">
      <c r="A144" s="705"/>
      <c r="B144" s="57"/>
      <c r="C144" s="57"/>
      <c r="D144" s="131"/>
      <c r="K144" s="53"/>
      <c r="L144" s="57"/>
      <c r="M144" s="57"/>
      <c r="N144" s="53"/>
      <c r="O144" s="53"/>
      <c r="P144" s="53"/>
      <c r="Q144" s="53"/>
      <c r="R144" s="57"/>
      <c r="S144" s="53"/>
      <c r="T144" s="53"/>
      <c r="U144" s="706"/>
      <c r="V144" s="53"/>
      <c r="W144" s="53"/>
      <c r="X144" s="53"/>
      <c r="Y144" s="53"/>
      <c r="Z144" s="53"/>
      <c r="AA144" s="56"/>
      <c r="AB144" s="54"/>
      <c r="AC144" s="54"/>
      <c r="AD144" s="54"/>
      <c r="AE144" s="54"/>
      <c r="AF144" s="131">
        <v>11</v>
      </c>
    </row>
    <row r="145" s="131" customFormat="1" ht="11.5" customHeight="1">
      <c r="A145" s="705"/>
      <c r="B145" s="57"/>
      <c r="C145" s="57"/>
      <c r="D145" s="131"/>
      <c r="K145" s="53"/>
      <c r="L145" s="57"/>
      <c r="M145" s="57"/>
      <c r="N145" s="53"/>
      <c r="O145" s="53"/>
      <c r="P145" s="53"/>
      <c r="Q145" s="53"/>
      <c r="R145" s="57"/>
      <c r="S145" s="53"/>
      <c r="T145" s="53"/>
      <c r="U145" s="706"/>
      <c r="V145" s="53"/>
      <c r="W145" s="53"/>
      <c r="X145" s="53"/>
      <c r="Y145" s="53"/>
      <c r="Z145" s="53"/>
      <c r="AA145" s="56"/>
      <c r="AB145" s="54"/>
      <c r="AC145" s="54"/>
      <c r="AD145" s="54"/>
      <c r="AE145" s="54"/>
      <c r="AF145" s="131">
        <v>11</v>
      </c>
    </row>
    <row r="146" s="131" customFormat="1" ht="11.5" customHeight="1">
      <c r="A146" s="705"/>
      <c r="B146" s="57"/>
      <c r="C146" s="57"/>
      <c r="D146" s="131"/>
      <c r="K146" s="53"/>
      <c r="L146" s="57"/>
      <c r="M146" s="57"/>
      <c r="N146" s="53"/>
      <c r="O146" s="53"/>
      <c r="P146" s="53"/>
      <c r="Q146" s="53"/>
      <c r="R146" s="57"/>
      <c r="S146" s="53"/>
      <c r="T146" s="53"/>
      <c r="U146" s="706"/>
      <c r="V146" s="53"/>
      <c r="W146" s="53"/>
      <c r="X146" s="53"/>
      <c r="Y146" s="53"/>
      <c r="Z146" s="53"/>
      <c r="AA146" s="56"/>
      <c r="AB146" s="54"/>
      <c r="AC146" s="54"/>
      <c r="AD146" s="54"/>
      <c r="AE146" s="54"/>
      <c r="AF146" s="131">
        <v>11</v>
      </c>
    </row>
    <row r="147" s="131" customFormat="1" ht="11.5" customHeight="1">
      <c r="A147" s="705"/>
      <c r="B147" s="57"/>
      <c r="C147" s="57"/>
      <c r="D147" s="131"/>
      <c r="K147" s="53"/>
      <c r="L147" s="57"/>
      <c r="M147" s="57"/>
      <c r="N147" s="53"/>
      <c r="O147" s="53"/>
      <c r="P147" s="53"/>
      <c r="Q147" s="53"/>
      <c r="R147" s="57"/>
      <c r="S147" s="53"/>
      <c r="T147" s="53"/>
      <c r="U147" s="706"/>
      <c r="V147" s="53"/>
      <c r="W147" s="53"/>
      <c r="X147" s="53"/>
      <c r="Y147" s="53"/>
      <c r="Z147" s="53"/>
      <c r="AA147" s="56"/>
      <c r="AB147" s="54"/>
      <c r="AC147" s="54"/>
      <c r="AD147" s="54"/>
      <c r="AE147" s="54"/>
      <c r="AF147" s="131">
        <v>11</v>
      </c>
    </row>
    <row r="148" s="131" customFormat="1" ht="11.5" customHeight="1">
      <c r="A148" s="705"/>
      <c r="B148" s="57"/>
      <c r="C148" s="57"/>
      <c r="D148" s="131"/>
      <c r="K148" s="53"/>
      <c r="L148" s="57"/>
      <c r="M148" s="57"/>
      <c r="N148" s="53"/>
      <c r="O148" s="53"/>
      <c r="P148" s="53"/>
      <c r="Q148" s="53"/>
      <c r="R148" s="57"/>
      <c r="S148" s="53"/>
      <c r="T148" s="53"/>
      <c r="U148" s="706"/>
      <c r="V148" s="53"/>
      <c r="W148" s="53"/>
      <c r="X148" s="53"/>
      <c r="Y148" s="53"/>
      <c r="Z148" s="53"/>
      <c r="AA148" s="56"/>
      <c r="AB148" s="54"/>
      <c r="AC148" s="54"/>
      <c r="AD148" s="54"/>
      <c r="AE148" s="54"/>
      <c r="AF148" s="131">
        <v>11</v>
      </c>
    </row>
    <row r="149" s="131" customFormat="1" ht="11.5" customHeight="1">
      <c r="A149" s="705"/>
      <c r="B149" s="57"/>
      <c r="C149" s="57"/>
      <c r="D149" s="131"/>
      <c r="K149" s="53"/>
      <c r="L149" s="57"/>
      <c r="M149" s="57"/>
      <c r="N149" s="53"/>
      <c r="O149" s="53"/>
      <c r="P149" s="53"/>
      <c r="Q149" s="53"/>
      <c r="R149" s="57"/>
      <c r="S149" s="53"/>
      <c r="T149" s="53"/>
      <c r="U149" s="706"/>
      <c r="V149" s="53"/>
      <c r="W149" s="53"/>
      <c r="X149" s="53"/>
      <c r="Y149" s="53"/>
      <c r="Z149" s="53"/>
      <c r="AA149" s="56"/>
      <c r="AB149" s="54"/>
      <c r="AC149" s="54"/>
      <c r="AD149" s="54"/>
      <c r="AE149" s="54"/>
      <c r="AF149" s="131">
        <v>11</v>
      </c>
    </row>
    <row r="150" s="131" customFormat="1" ht="11.5" customHeight="1">
      <c r="A150" s="705"/>
      <c r="B150" s="57"/>
      <c r="C150" s="57"/>
      <c r="D150" s="131"/>
      <c r="K150" s="53"/>
      <c r="L150" s="57"/>
      <c r="M150" s="57"/>
      <c r="N150" s="53"/>
      <c r="O150" s="53"/>
      <c r="P150" s="53"/>
      <c r="Q150" s="53"/>
      <c r="R150" s="57"/>
      <c r="S150" s="53"/>
      <c r="T150" s="53"/>
      <c r="U150" s="706"/>
      <c r="V150" s="53"/>
      <c r="W150" s="53"/>
      <c r="X150" s="53"/>
      <c r="Y150" s="53"/>
      <c r="Z150" s="53"/>
      <c r="AA150" s="56"/>
      <c r="AB150" s="54"/>
      <c r="AC150" s="54"/>
      <c r="AD150" s="54"/>
      <c r="AE150" s="54"/>
      <c r="AF150" s="131">
        <v>11</v>
      </c>
    </row>
    <row r="151" s="131" customFormat="1" ht="11.5" customHeight="1">
      <c r="A151" s="705"/>
      <c r="B151" s="57"/>
      <c r="C151" s="57"/>
      <c r="D151" s="131"/>
      <c r="K151" s="53"/>
      <c r="L151" s="57"/>
      <c r="M151" s="57"/>
      <c r="N151" s="53"/>
      <c r="O151" s="53"/>
      <c r="P151" s="53"/>
      <c r="Q151" s="53"/>
      <c r="R151" s="57"/>
      <c r="S151" s="53"/>
      <c r="T151" s="53"/>
      <c r="U151" s="706"/>
      <c r="V151" s="53"/>
      <c r="W151" s="53"/>
      <c r="X151" s="53"/>
      <c r="Y151" s="53"/>
      <c r="Z151" s="53"/>
      <c r="AA151" s="56"/>
      <c r="AB151" s="54"/>
      <c r="AC151" s="54"/>
      <c r="AD151" s="54"/>
      <c r="AE151" s="54"/>
      <c r="AF151" s="131">
        <v>11</v>
      </c>
    </row>
    <row r="152" s="131" customFormat="1" ht="11.5" customHeight="1">
      <c r="A152" s="705"/>
      <c r="B152" s="57"/>
      <c r="C152" s="57"/>
      <c r="D152" s="131"/>
      <c r="K152" s="53"/>
      <c r="L152" s="57"/>
      <c r="M152" s="57"/>
      <c r="N152" s="53"/>
      <c r="O152" s="53"/>
      <c r="P152" s="53"/>
      <c r="Q152" s="53"/>
      <c r="R152" s="57"/>
      <c r="S152" s="53"/>
      <c r="T152" s="53"/>
      <c r="U152" s="706"/>
      <c r="V152" s="53"/>
      <c r="W152" s="53"/>
      <c r="X152" s="53"/>
      <c r="Y152" s="53"/>
      <c r="Z152" s="53"/>
      <c r="AA152" s="56"/>
      <c r="AB152" s="54"/>
      <c r="AC152" s="54"/>
      <c r="AD152" s="54"/>
      <c r="AE152" s="54"/>
      <c r="AF152" s="131">
        <v>11</v>
      </c>
    </row>
    <row r="153" s="131" customFormat="1" ht="11.5" customHeight="1">
      <c r="A153" s="705"/>
      <c r="B153" s="57"/>
      <c r="C153" s="57"/>
      <c r="D153" s="131"/>
      <c r="K153" s="53"/>
      <c r="L153" s="57"/>
      <c r="M153" s="57"/>
      <c r="N153" s="53"/>
      <c r="O153" s="53"/>
      <c r="P153" s="53"/>
      <c r="Q153" s="53"/>
      <c r="R153" s="57"/>
      <c r="S153" s="53"/>
      <c r="T153" s="53"/>
      <c r="U153" s="706"/>
      <c r="V153" s="53"/>
      <c r="W153" s="53"/>
      <c r="X153" s="53"/>
      <c r="Y153" s="53"/>
      <c r="Z153" s="53"/>
      <c r="AA153" s="56"/>
      <c r="AB153" s="54"/>
      <c r="AC153" s="54"/>
      <c r="AD153" s="54"/>
      <c r="AE153" s="54"/>
      <c r="AF153" s="131">
        <v>11</v>
      </c>
    </row>
    <row r="154" s="131" customFormat="1" ht="11.5" customHeight="1">
      <c r="A154" s="705"/>
      <c r="B154" s="57"/>
      <c r="C154" s="57"/>
      <c r="D154" s="131"/>
      <c r="K154" s="53"/>
      <c r="L154" s="57"/>
      <c r="M154" s="57"/>
      <c r="N154" s="53"/>
      <c r="O154" s="53"/>
      <c r="P154" s="53"/>
      <c r="Q154" s="53"/>
      <c r="R154" s="57"/>
      <c r="S154" s="53"/>
      <c r="T154" s="53"/>
      <c r="U154" s="706"/>
      <c r="V154" s="53"/>
      <c r="W154" s="53"/>
      <c r="X154" s="53"/>
      <c r="Y154" s="53"/>
      <c r="Z154" s="53"/>
      <c r="AA154" s="56"/>
      <c r="AB154" s="54"/>
      <c r="AC154" s="54"/>
      <c r="AD154" s="54"/>
      <c r="AE154" s="54"/>
      <c r="AF154" s="131">
        <v>11</v>
      </c>
    </row>
    <row r="155" s="131" customFormat="1" ht="11.5" customHeight="1">
      <c r="A155" s="705"/>
      <c r="B155" s="57"/>
      <c r="C155" s="57"/>
      <c r="D155" s="131"/>
      <c r="K155" s="53"/>
      <c r="L155" s="57"/>
      <c r="M155" s="57"/>
      <c r="N155" s="53"/>
      <c r="O155" s="53"/>
      <c r="P155" s="53"/>
      <c r="Q155" s="53"/>
      <c r="R155" s="57"/>
      <c r="S155" s="53"/>
      <c r="T155" s="53"/>
      <c r="U155" s="706"/>
      <c r="V155" s="53"/>
      <c r="W155" s="53"/>
      <c r="X155" s="53"/>
      <c r="Y155" s="53"/>
      <c r="Z155" s="53"/>
      <c r="AA155" s="56"/>
      <c r="AB155" s="54"/>
      <c r="AC155" s="54"/>
      <c r="AD155" s="54"/>
      <c r="AE155" s="54"/>
      <c r="AF155" s="131">
        <v>11</v>
      </c>
    </row>
    <row r="156" s="131" customFormat="1" ht="11.5" customHeight="1">
      <c r="A156" s="705"/>
      <c r="B156" s="57"/>
      <c r="C156" s="57"/>
      <c r="D156" s="131"/>
      <c r="K156" s="53"/>
      <c r="L156" s="57"/>
      <c r="M156" s="57"/>
      <c r="N156" s="53"/>
      <c r="O156" s="53"/>
      <c r="P156" s="53"/>
      <c r="Q156" s="53"/>
      <c r="R156" s="57"/>
      <c r="S156" s="53"/>
      <c r="T156" s="53"/>
      <c r="U156" s="706"/>
      <c r="V156" s="53"/>
      <c r="W156" s="53"/>
      <c r="X156" s="53"/>
      <c r="Y156" s="53"/>
      <c r="Z156" s="53"/>
      <c r="AA156" s="56"/>
      <c r="AB156" s="54"/>
      <c r="AC156" s="54"/>
      <c r="AD156" s="54"/>
      <c r="AE156" s="54"/>
      <c r="AF156" s="131">
        <v>11</v>
      </c>
    </row>
    <row r="157" s="131" customFormat="1" ht="11.5" customHeight="1">
      <c r="A157" s="705"/>
      <c r="B157" s="57"/>
      <c r="C157" s="57"/>
      <c r="D157" s="131"/>
      <c r="K157" s="53"/>
      <c r="L157" s="57"/>
      <c r="M157" s="57"/>
      <c r="N157" s="53"/>
      <c r="O157" s="53"/>
      <c r="P157" s="53"/>
      <c r="Q157" s="53"/>
      <c r="R157" s="57"/>
      <c r="S157" s="53"/>
      <c r="T157" s="53"/>
      <c r="U157" s="706"/>
      <c r="V157" s="53"/>
      <c r="W157" s="53"/>
      <c r="X157" s="53"/>
      <c r="Y157" s="53"/>
      <c r="Z157" s="53"/>
      <c r="AA157" s="56"/>
      <c r="AB157" s="54"/>
      <c r="AC157" s="54"/>
      <c r="AD157" s="54"/>
      <c r="AE157" s="54"/>
      <c r="AF157" s="131">
        <v>11</v>
      </c>
    </row>
    <row r="158" s="131" customFormat="1" ht="11.5" customHeight="1">
      <c r="A158" s="705"/>
      <c r="B158" s="57"/>
      <c r="C158" s="57"/>
      <c r="D158" s="131"/>
      <c r="K158" s="53"/>
      <c r="L158" s="57"/>
      <c r="M158" s="57"/>
      <c r="N158" s="53"/>
      <c r="O158" s="53"/>
      <c r="P158" s="53"/>
      <c r="Q158" s="53"/>
      <c r="R158" s="57"/>
      <c r="S158" s="53"/>
      <c r="T158" s="53"/>
      <c r="U158" s="706"/>
      <c r="V158" s="53"/>
      <c r="W158" s="53"/>
      <c r="X158" s="53"/>
      <c r="Y158" s="53"/>
      <c r="Z158" s="53"/>
      <c r="AA158" s="56"/>
      <c r="AB158" s="54"/>
      <c r="AC158" s="54"/>
      <c r="AD158" s="54"/>
      <c r="AE158" s="54"/>
      <c r="AF158" s="131">
        <v>11</v>
      </c>
    </row>
    <row r="159" s="131" customFormat="1" ht="11.5" customHeight="1">
      <c r="A159" s="705"/>
      <c r="B159" s="57"/>
      <c r="C159" s="57"/>
      <c r="D159" s="131"/>
      <c r="K159" s="53"/>
      <c r="L159" s="57"/>
      <c r="M159" s="57"/>
      <c r="N159" s="53"/>
      <c r="O159" s="53"/>
      <c r="P159" s="53"/>
      <c r="Q159" s="53"/>
      <c r="R159" s="57"/>
      <c r="S159" s="53"/>
      <c r="T159" s="53"/>
      <c r="U159" s="706"/>
      <c r="V159" s="53"/>
      <c r="W159" s="53"/>
      <c r="X159" s="53"/>
      <c r="Y159" s="53"/>
      <c r="Z159" s="53"/>
      <c r="AA159" s="56"/>
      <c r="AB159" s="54"/>
      <c r="AC159" s="54"/>
      <c r="AD159" s="54"/>
      <c r="AE159" s="54"/>
      <c r="AF159" s="131">
        <v>11</v>
      </c>
    </row>
    <row r="160" s="131" customFormat="1" ht="11.5" customHeight="1">
      <c r="A160" s="705"/>
      <c r="B160" s="57"/>
      <c r="C160" s="57"/>
      <c r="D160" s="131"/>
      <c r="K160" s="53"/>
      <c r="L160" s="57"/>
      <c r="M160" s="57"/>
      <c r="N160" s="53"/>
      <c r="O160" s="53"/>
      <c r="P160" s="53"/>
      <c r="Q160" s="53"/>
      <c r="R160" s="57"/>
      <c r="S160" s="53"/>
      <c r="T160" s="53"/>
      <c r="U160" s="706"/>
      <c r="V160" s="53"/>
      <c r="W160" s="53"/>
      <c r="X160" s="53"/>
      <c r="Y160" s="53"/>
      <c r="Z160" s="53"/>
      <c r="AA160" s="56"/>
      <c r="AB160" s="54"/>
      <c r="AC160" s="54"/>
      <c r="AD160" s="54"/>
      <c r="AE160" s="54"/>
      <c r="AF160" s="131">
        <v>11</v>
      </c>
    </row>
    <row r="161" s="131" customFormat="1" ht="11.5" customHeight="1">
      <c r="A161" s="705"/>
      <c r="B161" s="57"/>
      <c r="C161" s="57"/>
      <c r="D161" s="131"/>
      <c r="K161" s="53"/>
      <c r="L161" s="57"/>
      <c r="M161" s="57"/>
      <c r="N161" s="53"/>
      <c r="O161" s="53"/>
      <c r="P161" s="53"/>
      <c r="Q161" s="53"/>
      <c r="R161" s="57"/>
      <c r="S161" s="53"/>
      <c r="T161" s="53"/>
      <c r="U161" s="706"/>
      <c r="V161" s="53"/>
      <c r="W161" s="53"/>
      <c r="X161" s="53"/>
      <c r="Y161" s="53"/>
      <c r="Z161" s="53"/>
      <c r="AA161" s="56"/>
      <c r="AB161" s="54"/>
      <c r="AC161" s="54"/>
      <c r="AD161" s="54"/>
      <c r="AE161" s="54"/>
      <c r="AF161" s="131">
        <v>11</v>
      </c>
    </row>
    <row r="162" s="131" customFormat="1" ht="11.5" customHeight="1">
      <c r="A162" s="705"/>
      <c r="B162" s="57"/>
      <c r="C162" s="57"/>
      <c r="D162" s="131"/>
      <c r="K162" s="53"/>
      <c r="L162" s="57"/>
      <c r="M162" s="57"/>
      <c r="N162" s="53"/>
      <c r="O162" s="53"/>
      <c r="P162" s="53"/>
      <c r="Q162" s="53"/>
      <c r="R162" s="57"/>
      <c r="S162" s="53"/>
      <c r="T162" s="53"/>
      <c r="U162" s="706"/>
      <c r="V162" s="53"/>
      <c r="W162" s="53"/>
      <c r="X162" s="53"/>
      <c r="Y162" s="53"/>
      <c r="Z162" s="53"/>
      <c r="AA162" s="56"/>
      <c r="AB162" s="54"/>
      <c r="AC162" s="54"/>
      <c r="AD162" s="54"/>
      <c r="AE162" s="54"/>
      <c r="AF162" s="131">
        <v>11</v>
      </c>
    </row>
    <row r="163" s="131" customFormat="1" ht="11.5" customHeight="1">
      <c r="A163" s="705"/>
      <c r="B163" s="57"/>
      <c r="C163" s="57"/>
      <c r="D163" s="131"/>
      <c r="K163" s="53"/>
      <c r="L163" s="57"/>
      <c r="M163" s="57"/>
      <c r="N163" s="53"/>
      <c r="O163" s="53"/>
      <c r="P163" s="53"/>
      <c r="Q163" s="53"/>
      <c r="R163" s="57"/>
      <c r="S163" s="53"/>
      <c r="T163" s="53"/>
      <c r="U163" s="706"/>
      <c r="V163" s="53"/>
      <c r="W163" s="53"/>
      <c r="X163" s="53"/>
      <c r="Y163" s="53"/>
      <c r="Z163" s="53"/>
      <c r="AA163" s="56"/>
      <c r="AB163" s="54"/>
      <c r="AC163" s="54"/>
      <c r="AD163" s="54"/>
      <c r="AE163" s="54"/>
      <c r="AF163" s="131">
        <v>11</v>
      </c>
    </row>
    <row r="164" s="131" customFormat="1" ht="11.5" customHeight="1">
      <c r="A164" s="705"/>
      <c r="B164" s="57"/>
      <c r="C164" s="57"/>
      <c r="D164" s="131"/>
      <c r="K164" s="53"/>
      <c r="L164" s="57"/>
      <c r="M164" s="57"/>
      <c r="N164" s="53"/>
      <c r="O164" s="53"/>
      <c r="P164" s="53"/>
      <c r="Q164" s="53"/>
      <c r="R164" s="57"/>
      <c r="S164" s="53"/>
      <c r="T164" s="53"/>
      <c r="U164" s="706"/>
      <c r="V164" s="53"/>
      <c r="W164" s="53"/>
      <c r="X164" s="53"/>
      <c r="Y164" s="53"/>
      <c r="Z164" s="53"/>
      <c r="AA164" s="56"/>
      <c r="AB164" s="54"/>
      <c r="AC164" s="54"/>
      <c r="AD164" s="54"/>
      <c r="AE164" s="54"/>
      <c r="AF164" s="131">
        <v>11</v>
      </c>
    </row>
    <row r="165" s="131" customFormat="1" ht="11.5" customHeight="1">
      <c r="A165" s="705"/>
      <c r="B165" s="57"/>
      <c r="C165" s="57"/>
      <c r="D165" s="131"/>
      <c r="K165" s="53"/>
      <c r="L165" s="57"/>
      <c r="M165" s="57"/>
      <c r="N165" s="53"/>
      <c r="O165" s="53"/>
      <c r="P165" s="53"/>
      <c r="Q165" s="53"/>
      <c r="R165" s="57"/>
      <c r="S165" s="53"/>
      <c r="T165" s="53"/>
      <c r="U165" s="706"/>
      <c r="V165" s="53"/>
      <c r="W165" s="53"/>
      <c r="X165" s="53"/>
      <c r="Y165" s="53"/>
      <c r="Z165" s="53"/>
      <c r="AA165" s="56"/>
      <c r="AB165" s="54"/>
      <c r="AC165" s="54"/>
      <c r="AD165" s="54"/>
      <c r="AE165" s="54"/>
      <c r="AF165" s="131">
        <v>11</v>
      </c>
    </row>
    <row r="166" s="131" customFormat="1" ht="11.5" customHeight="1">
      <c r="A166" s="705"/>
      <c r="B166" s="57"/>
      <c r="C166" s="57"/>
      <c r="D166" s="131"/>
      <c r="K166" s="53"/>
      <c r="L166" s="57"/>
      <c r="M166" s="57"/>
      <c r="N166" s="53"/>
      <c r="O166" s="53"/>
      <c r="P166" s="53"/>
      <c r="Q166" s="53"/>
      <c r="R166" s="57"/>
      <c r="S166" s="53"/>
      <c r="T166" s="53"/>
      <c r="U166" s="706"/>
      <c r="V166" s="53"/>
      <c r="W166" s="53"/>
      <c r="X166" s="53"/>
      <c r="Y166" s="53"/>
      <c r="Z166" s="53"/>
      <c r="AA166" s="56"/>
      <c r="AB166" s="54"/>
      <c r="AC166" s="54"/>
      <c r="AD166" s="54"/>
      <c r="AE166" s="54"/>
      <c r="AF166" s="131">
        <v>11</v>
      </c>
    </row>
    <row r="167" s="131" customFormat="1" ht="11.5" customHeight="1">
      <c r="A167" s="705"/>
      <c r="B167" s="57"/>
      <c r="C167" s="57"/>
      <c r="D167" s="131"/>
      <c r="K167" s="53"/>
      <c r="L167" s="57"/>
      <c r="M167" s="57"/>
      <c r="N167" s="53"/>
      <c r="O167" s="53"/>
      <c r="P167" s="53"/>
      <c r="Q167" s="53"/>
      <c r="R167" s="57"/>
      <c r="S167" s="53"/>
      <c r="T167" s="53"/>
      <c r="U167" s="706"/>
      <c r="V167" s="53"/>
      <c r="W167" s="53"/>
      <c r="X167" s="53"/>
      <c r="Y167" s="53"/>
      <c r="Z167" s="53"/>
      <c r="AA167" s="56"/>
      <c r="AB167" s="54"/>
      <c r="AC167" s="54"/>
      <c r="AD167" s="54"/>
      <c r="AE167" s="54"/>
      <c r="AF167" s="131">
        <v>11</v>
      </c>
    </row>
    <row r="168" s="131" customFormat="1" ht="11.5" customHeight="1">
      <c r="A168" s="705"/>
      <c r="B168" s="57"/>
      <c r="C168" s="57"/>
      <c r="D168" s="131"/>
      <c r="K168" s="53"/>
      <c r="L168" s="57"/>
      <c r="M168" s="57"/>
      <c r="N168" s="53"/>
      <c r="O168" s="53"/>
      <c r="P168" s="53"/>
      <c r="Q168" s="53"/>
      <c r="R168" s="57"/>
      <c r="S168" s="53"/>
      <c r="T168" s="53"/>
      <c r="U168" s="706"/>
      <c r="V168" s="53"/>
      <c r="W168" s="53"/>
      <c r="X168" s="53"/>
      <c r="Y168" s="53"/>
      <c r="Z168" s="53"/>
      <c r="AA168" s="56"/>
      <c r="AB168" s="54"/>
      <c r="AC168" s="54"/>
      <c r="AD168" s="54"/>
      <c r="AE168" s="54"/>
      <c r="AF168" s="131">
        <v>11</v>
      </c>
    </row>
    <row r="169" s="131" customFormat="1" ht="11.5" customHeight="1">
      <c r="A169" s="705"/>
      <c r="B169" s="57"/>
      <c r="C169" s="57"/>
      <c r="D169" s="131"/>
      <c r="K169" s="53"/>
      <c r="L169" s="57"/>
      <c r="M169" s="57"/>
      <c r="N169" s="53"/>
      <c r="O169" s="53"/>
      <c r="P169" s="53"/>
      <c r="Q169" s="53"/>
      <c r="R169" s="57"/>
      <c r="S169" s="53"/>
      <c r="T169" s="53"/>
      <c r="U169" s="706"/>
      <c r="V169" s="53"/>
      <c r="W169" s="53"/>
      <c r="X169" s="53"/>
      <c r="Y169" s="53"/>
      <c r="Z169" s="53"/>
      <c r="AA169" s="56"/>
      <c r="AB169" s="54"/>
      <c r="AC169" s="54"/>
      <c r="AD169" s="54"/>
      <c r="AE169" s="54"/>
      <c r="AF169" s="131">
        <v>11</v>
      </c>
    </row>
    <row r="170" s="131" customFormat="1" ht="11.5" customHeight="1">
      <c r="A170" s="705"/>
      <c r="B170" s="57"/>
      <c r="C170" s="57"/>
      <c r="D170" s="131"/>
      <c r="K170" s="53"/>
      <c r="L170" s="57"/>
      <c r="M170" s="57"/>
      <c r="N170" s="53"/>
      <c r="O170" s="53"/>
      <c r="P170" s="53"/>
      <c r="Q170" s="53"/>
      <c r="R170" s="57"/>
      <c r="S170" s="53"/>
      <c r="T170" s="53"/>
      <c r="U170" s="706"/>
      <c r="V170" s="53"/>
      <c r="W170" s="53"/>
      <c r="X170" s="53"/>
      <c r="Y170" s="53"/>
      <c r="Z170" s="53"/>
      <c r="AA170" s="56"/>
      <c r="AB170" s="54"/>
      <c r="AC170" s="54"/>
      <c r="AD170" s="54"/>
      <c r="AE170" s="54"/>
      <c r="AF170" s="131">
        <v>11</v>
      </c>
    </row>
    <row r="171" s="131" customFormat="1" ht="11.5" customHeight="1">
      <c r="A171" s="705"/>
      <c r="B171" s="57"/>
      <c r="C171" s="57"/>
      <c r="D171" s="131"/>
      <c r="K171" s="53"/>
      <c r="L171" s="57"/>
      <c r="M171" s="57"/>
      <c r="N171" s="53"/>
      <c r="O171" s="53"/>
      <c r="P171" s="53"/>
      <c r="Q171" s="53"/>
      <c r="R171" s="57"/>
      <c r="S171" s="53"/>
      <c r="T171" s="53"/>
      <c r="U171" s="706"/>
      <c r="V171" s="53"/>
      <c r="W171" s="53"/>
      <c r="X171" s="53"/>
      <c r="Y171" s="53"/>
      <c r="Z171" s="53"/>
      <c r="AA171" s="56"/>
      <c r="AB171" s="54"/>
      <c r="AC171" s="54"/>
      <c r="AD171" s="54"/>
      <c r="AE171" s="54"/>
      <c r="AF171" s="131">
        <v>11</v>
      </c>
    </row>
    <row r="172" s="131" customFormat="1" ht="11.5" customHeight="1">
      <c r="A172" s="705"/>
      <c r="B172" s="57"/>
      <c r="C172" s="57"/>
      <c r="D172" s="131"/>
      <c r="K172" s="53"/>
      <c r="L172" s="57"/>
      <c r="M172" s="57"/>
      <c r="N172" s="53"/>
      <c r="O172" s="53"/>
      <c r="P172" s="53"/>
      <c r="Q172" s="53"/>
      <c r="R172" s="57"/>
      <c r="S172" s="53"/>
      <c r="T172" s="53"/>
      <c r="U172" s="706"/>
      <c r="V172" s="53"/>
      <c r="W172" s="53"/>
      <c r="X172" s="53"/>
      <c r="Y172" s="53"/>
      <c r="Z172" s="53"/>
      <c r="AA172" s="56"/>
      <c r="AB172" s="54"/>
      <c r="AC172" s="54"/>
      <c r="AD172" s="54"/>
      <c r="AE172" s="54"/>
      <c r="AF172" s="131">
        <v>11</v>
      </c>
    </row>
    <row r="173" s="131" customFormat="1" ht="11.5" customHeight="1">
      <c r="A173" s="705"/>
      <c r="B173" s="57"/>
      <c r="C173" s="57"/>
      <c r="D173" s="131"/>
      <c r="K173" s="53"/>
      <c r="L173" s="57"/>
      <c r="M173" s="57"/>
      <c r="N173" s="53"/>
      <c r="O173" s="53"/>
      <c r="P173" s="53"/>
      <c r="Q173" s="53"/>
      <c r="R173" s="57"/>
      <c r="S173" s="53"/>
      <c r="T173" s="53"/>
      <c r="U173" s="706"/>
      <c r="V173" s="53"/>
      <c r="W173" s="53"/>
      <c r="X173" s="53"/>
      <c r="Y173" s="53"/>
      <c r="Z173" s="53"/>
      <c r="AA173" s="56"/>
      <c r="AB173" s="54"/>
      <c r="AC173" s="54"/>
      <c r="AD173" s="54"/>
      <c r="AE173" s="54"/>
      <c r="AF173" s="131">
        <v>11</v>
      </c>
    </row>
    <row r="174" s="131" customFormat="1" ht="11.5" customHeight="1">
      <c r="A174" s="705"/>
      <c r="B174" s="57"/>
      <c r="C174" s="57"/>
      <c r="D174" s="131"/>
      <c r="K174" s="53"/>
      <c r="L174" s="57"/>
      <c r="M174" s="57"/>
      <c r="N174" s="53"/>
      <c r="O174" s="53"/>
      <c r="P174" s="53"/>
      <c r="Q174" s="53"/>
      <c r="R174" s="57"/>
      <c r="S174" s="53"/>
      <c r="T174" s="53"/>
      <c r="U174" s="706"/>
      <c r="V174" s="53"/>
      <c r="W174" s="53"/>
      <c r="X174" s="53"/>
      <c r="Y174" s="53"/>
      <c r="Z174" s="53"/>
      <c r="AA174" s="56"/>
      <c r="AB174" s="54"/>
      <c r="AC174" s="54"/>
      <c r="AD174" s="54"/>
      <c r="AE174" s="54"/>
      <c r="AF174" s="131">
        <v>11</v>
      </c>
    </row>
    <row r="175" s="131" customFormat="1" ht="11.5" customHeight="1">
      <c r="A175" s="705"/>
      <c r="B175" s="57"/>
      <c r="C175" s="57"/>
      <c r="D175" s="131"/>
      <c r="K175" s="53"/>
      <c r="L175" s="57"/>
      <c r="M175" s="57"/>
      <c r="N175" s="53"/>
      <c r="O175" s="53"/>
      <c r="P175" s="53"/>
      <c r="Q175" s="53"/>
      <c r="R175" s="57"/>
      <c r="S175" s="53"/>
      <c r="T175" s="53"/>
      <c r="U175" s="706"/>
      <c r="V175" s="53"/>
      <c r="W175" s="53"/>
      <c r="X175" s="53"/>
      <c r="Y175" s="53"/>
      <c r="Z175" s="53"/>
      <c r="AA175" s="56"/>
      <c r="AB175" s="54"/>
      <c r="AC175" s="54"/>
      <c r="AD175" s="54"/>
      <c r="AE175" s="54"/>
      <c r="AF175" s="131">
        <v>11</v>
      </c>
    </row>
    <row r="176" s="131" customFormat="1" ht="11.5" customHeight="1">
      <c r="A176" s="705"/>
      <c r="B176" s="57"/>
      <c r="C176" s="57"/>
      <c r="D176" s="131"/>
      <c r="K176" s="53"/>
      <c r="L176" s="57"/>
      <c r="M176" s="57"/>
      <c r="N176" s="53"/>
      <c r="O176" s="53"/>
      <c r="P176" s="53"/>
      <c r="Q176" s="53"/>
      <c r="R176" s="57"/>
      <c r="S176" s="53"/>
      <c r="T176" s="53"/>
      <c r="U176" s="706"/>
      <c r="V176" s="53"/>
      <c r="W176" s="53"/>
      <c r="X176" s="53"/>
      <c r="Y176" s="53"/>
      <c r="Z176" s="53"/>
      <c r="AA176" s="56"/>
      <c r="AB176" s="54"/>
      <c r="AC176" s="54"/>
      <c r="AD176" s="54"/>
      <c r="AE176" s="54"/>
      <c r="AF176" s="131">
        <v>11</v>
      </c>
    </row>
    <row r="177" s="131" customFormat="1" ht="11.5" customHeight="1">
      <c r="A177" s="705"/>
      <c r="B177" s="57"/>
      <c r="C177" s="57"/>
      <c r="D177" s="131"/>
      <c r="K177" s="53"/>
      <c r="L177" s="57"/>
      <c r="M177" s="57"/>
      <c r="N177" s="53"/>
      <c r="O177" s="53"/>
      <c r="P177" s="53"/>
      <c r="Q177" s="53"/>
      <c r="R177" s="57"/>
      <c r="S177" s="53"/>
      <c r="T177" s="53"/>
      <c r="U177" s="706"/>
      <c r="V177" s="53"/>
      <c r="W177" s="53"/>
      <c r="X177" s="53"/>
      <c r="Y177" s="53"/>
      <c r="Z177" s="53"/>
      <c r="AA177" s="56"/>
      <c r="AB177" s="54"/>
      <c r="AC177" s="54"/>
      <c r="AD177" s="54"/>
      <c r="AE177" s="54"/>
      <c r="AF177" s="131">
        <v>11</v>
      </c>
    </row>
    <row r="178" s="131" customFormat="1" ht="11.5" customHeight="1">
      <c r="A178" s="705"/>
      <c r="B178" s="57"/>
      <c r="C178" s="57"/>
      <c r="D178" s="131"/>
      <c r="K178" s="53"/>
      <c r="L178" s="57"/>
      <c r="M178" s="57"/>
      <c r="N178" s="53"/>
      <c r="O178" s="53"/>
      <c r="P178" s="53"/>
      <c r="Q178" s="53"/>
      <c r="R178" s="57"/>
      <c r="S178" s="53"/>
      <c r="T178" s="53"/>
      <c r="U178" s="706"/>
      <c r="V178" s="53"/>
      <c r="W178" s="53"/>
      <c r="X178" s="53"/>
      <c r="Y178" s="53"/>
      <c r="Z178" s="53"/>
      <c r="AA178" s="56"/>
      <c r="AB178" s="54"/>
      <c r="AC178" s="54"/>
      <c r="AD178" s="54"/>
      <c r="AE178" s="54"/>
      <c r="AF178" s="131">
        <v>11</v>
      </c>
    </row>
    <row r="179" s="131" customFormat="1" ht="11.5" customHeight="1">
      <c r="A179" s="705"/>
      <c r="B179" s="57"/>
      <c r="C179" s="57"/>
      <c r="D179" s="131"/>
      <c r="K179" s="53"/>
      <c r="L179" s="57"/>
      <c r="M179" s="57"/>
      <c r="N179" s="53"/>
      <c r="O179" s="53"/>
      <c r="P179" s="53"/>
      <c r="Q179" s="53"/>
      <c r="R179" s="57"/>
      <c r="S179" s="53"/>
      <c r="T179" s="53"/>
      <c r="U179" s="706"/>
      <c r="V179" s="53"/>
      <c r="W179" s="53"/>
      <c r="X179" s="53"/>
      <c r="Y179" s="53"/>
      <c r="Z179" s="53"/>
      <c r="AA179" s="56"/>
      <c r="AB179" s="54"/>
      <c r="AC179" s="54"/>
      <c r="AD179" s="54"/>
      <c r="AE179" s="54"/>
      <c r="AF179" s="131">
        <v>11</v>
      </c>
    </row>
    <row r="180" s="131" customFormat="1" ht="11.5" customHeight="1">
      <c r="A180" s="705"/>
      <c r="B180" s="57"/>
      <c r="C180" s="57"/>
      <c r="D180" s="131"/>
      <c r="K180" s="53"/>
      <c r="L180" s="57"/>
      <c r="M180" s="57"/>
      <c r="N180" s="53"/>
      <c r="O180" s="53"/>
      <c r="P180" s="53"/>
      <c r="Q180" s="53"/>
      <c r="R180" s="57"/>
      <c r="S180" s="53"/>
      <c r="T180" s="53"/>
      <c r="U180" s="706"/>
      <c r="V180" s="53"/>
      <c r="W180" s="53"/>
      <c r="X180" s="53"/>
      <c r="Y180" s="53"/>
      <c r="Z180" s="53"/>
      <c r="AA180" s="56"/>
      <c r="AB180" s="54"/>
      <c r="AC180" s="54"/>
      <c r="AD180" s="54"/>
      <c r="AE180" s="54"/>
      <c r="AF180" s="131">
        <v>11</v>
      </c>
    </row>
    <row r="181" s="131" customFormat="1" ht="11.5" customHeight="1">
      <c r="A181" s="705"/>
      <c r="B181" s="57"/>
      <c r="C181" s="57"/>
      <c r="D181" s="131"/>
      <c r="K181" s="53"/>
      <c r="L181" s="57"/>
      <c r="M181" s="57"/>
      <c r="N181" s="53"/>
      <c r="O181" s="53"/>
      <c r="P181" s="53"/>
      <c r="Q181" s="53"/>
      <c r="R181" s="57"/>
      <c r="S181" s="53"/>
      <c r="T181" s="53"/>
      <c r="U181" s="706"/>
      <c r="V181" s="53"/>
      <c r="W181" s="53"/>
      <c r="X181" s="53"/>
      <c r="Y181" s="53"/>
      <c r="Z181" s="53"/>
      <c r="AA181" s="56"/>
      <c r="AB181" s="54"/>
      <c r="AC181" s="54"/>
      <c r="AD181" s="54"/>
      <c r="AE181" s="54"/>
      <c r="AF181" s="131">
        <v>11</v>
      </c>
    </row>
    <row r="182" s="131" customFormat="1" ht="11.5" customHeight="1">
      <c r="A182" s="705"/>
      <c r="B182" s="57"/>
      <c r="C182" s="57"/>
      <c r="D182" s="131"/>
      <c r="K182" s="53"/>
      <c r="L182" s="57"/>
      <c r="M182" s="57"/>
      <c r="N182" s="53"/>
      <c r="O182" s="53"/>
      <c r="P182" s="53"/>
      <c r="Q182" s="53"/>
      <c r="R182" s="57"/>
      <c r="S182" s="53"/>
      <c r="T182" s="53"/>
      <c r="U182" s="706"/>
      <c r="V182" s="53"/>
      <c r="W182" s="53"/>
      <c r="X182" s="53"/>
      <c r="Y182" s="53"/>
      <c r="Z182" s="53"/>
      <c r="AA182" s="56"/>
      <c r="AB182" s="54"/>
      <c r="AC182" s="54"/>
      <c r="AD182" s="54"/>
      <c r="AE182" s="54"/>
      <c r="AF182" s="131">
        <v>11</v>
      </c>
    </row>
    <row r="183" s="131" customFormat="1" ht="11.5" customHeight="1">
      <c r="A183" s="705"/>
      <c r="B183" s="57"/>
      <c r="C183" s="57"/>
      <c r="D183" s="131"/>
      <c r="K183" s="53"/>
      <c r="L183" s="57"/>
      <c r="M183" s="57"/>
      <c r="N183" s="53"/>
      <c r="O183" s="53"/>
      <c r="P183" s="53"/>
      <c r="Q183" s="53"/>
      <c r="R183" s="57"/>
      <c r="S183" s="53"/>
      <c r="T183" s="53"/>
      <c r="U183" s="706"/>
      <c r="V183" s="53"/>
      <c r="W183" s="53"/>
      <c r="X183" s="53"/>
      <c r="Y183" s="53"/>
      <c r="Z183" s="53"/>
      <c r="AA183" s="56"/>
      <c r="AB183" s="54"/>
      <c r="AC183" s="54"/>
      <c r="AD183" s="54"/>
      <c r="AE183" s="54"/>
      <c r="AF183" s="131">
        <v>11</v>
      </c>
    </row>
    <row r="184" s="131" customFormat="1" ht="11.5" customHeight="1">
      <c r="A184" s="705"/>
      <c r="B184" s="57"/>
      <c r="C184" s="57"/>
      <c r="D184" s="131"/>
      <c r="K184" s="53"/>
      <c r="L184" s="57"/>
      <c r="M184" s="57"/>
      <c r="N184" s="53"/>
      <c r="O184" s="53"/>
      <c r="P184" s="53"/>
      <c r="Q184" s="53"/>
      <c r="R184" s="57"/>
      <c r="S184" s="53"/>
      <c r="T184" s="53"/>
      <c r="U184" s="706"/>
      <c r="V184" s="53"/>
      <c r="W184" s="53"/>
      <c r="X184" s="53"/>
      <c r="Y184" s="53"/>
      <c r="Z184" s="53"/>
      <c r="AA184" s="56"/>
      <c r="AB184" s="54"/>
      <c r="AC184" s="54"/>
      <c r="AD184" s="54"/>
      <c r="AE184" s="54"/>
      <c r="AF184" s="131">
        <v>11</v>
      </c>
    </row>
    <row r="185" s="131" customFormat="1" ht="11.5" customHeight="1">
      <c r="A185" s="705"/>
      <c r="B185" s="57"/>
      <c r="C185" s="57"/>
      <c r="D185" s="131"/>
      <c r="K185" s="53"/>
      <c r="L185" s="57"/>
      <c r="M185" s="57"/>
      <c r="N185" s="53"/>
      <c r="O185" s="53"/>
      <c r="P185" s="53"/>
      <c r="Q185" s="53"/>
      <c r="R185" s="57"/>
      <c r="S185" s="53"/>
      <c r="T185" s="53"/>
      <c r="U185" s="706"/>
      <c r="V185" s="53"/>
      <c r="W185" s="53"/>
      <c r="X185" s="53"/>
      <c r="Y185" s="53"/>
      <c r="Z185" s="53"/>
      <c r="AA185" s="56"/>
      <c r="AB185" s="54"/>
      <c r="AC185" s="54"/>
      <c r="AD185" s="54"/>
      <c r="AE185" s="54"/>
      <c r="AF185" s="131">
        <v>11</v>
      </c>
    </row>
    <row r="186" s="131" customFormat="1" ht="11.5" customHeight="1">
      <c r="A186" s="705"/>
      <c r="B186" s="57"/>
      <c r="C186" s="57"/>
      <c r="D186" s="131"/>
      <c r="K186" s="53"/>
      <c r="L186" s="57"/>
      <c r="M186" s="57"/>
      <c r="N186" s="53"/>
      <c r="O186" s="53"/>
      <c r="P186" s="53"/>
      <c r="Q186" s="53"/>
      <c r="R186" s="57"/>
      <c r="S186" s="53"/>
      <c r="T186" s="53"/>
      <c r="U186" s="706"/>
      <c r="V186" s="53"/>
      <c r="W186" s="53"/>
      <c r="X186" s="53"/>
      <c r="Y186" s="53"/>
      <c r="Z186" s="53"/>
      <c r="AA186" s="56"/>
      <c r="AB186" s="54"/>
      <c r="AC186" s="54"/>
      <c r="AD186" s="54"/>
      <c r="AE186" s="54"/>
      <c r="AF186" s="131">
        <v>11</v>
      </c>
    </row>
    <row r="187" s="131" customFormat="1" ht="11.5" customHeight="1">
      <c r="A187" s="705"/>
      <c r="B187" s="57"/>
      <c r="C187" s="57"/>
      <c r="D187" s="131"/>
      <c r="K187" s="53"/>
      <c r="L187" s="57"/>
      <c r="M187" s="57"/>
      <c r="N187" s="53"/>
      <c r="O187" s="53"/>
      <c r="P187" s="53"/>
      <c r="Q187" s="53"/>
      <c r="R187" s="57"/>
      <c r="S187" s="53"/>
      <c r="T187" s="53"/>
      <c r="U187" s="706"/>
      <c r="V187" s="53"/>
      <c r="W187" s="53"/>
      <c r="X187" s="53"/>
      <c r="Y187" s="53"/>
      <c r="Z187" s="53"/>
      <c r="AA187" s="56"/>
      <c r="AB187" s="54"/>
      <c r="AC187" s="54"/>
      <c r="AD187" s="54"/>
      <c r="AE187" s="54"/>
      <c r="AF187" s="131">
        <v>11</v>
      </c>
    </row>
    <row r="188" s="131" customFormat="1" ht="11.5" customHeight="1">
      <c r="A188" s="705"/>
      <c r="B188" s="57"/>
      <c r="C188" s="57"/>
      <c r="D188" s="131"/>
      <c r="K188" s="53"/>
      <c r="L188" s="57"/>
      <c r="M188" s="57"/>
      <c r="N188" s="53"/>
      <c r="O188" s="53"/>
      <c r="P188" s="53"/>
      <c r="Q188" s="53"/>
      <c r="R188" s="57"/>
      <c r="S188" s="53"/>
      <c r="T188" s="53"/>
      <c r="U188" s="706"/>
      <c r="V188" s="53"/>
      <c r="W188" s="53"/>
      <c r="X188" s="53"/>
      <c r="Y188" s="53"/>
      <c r="Z188" s="53"/>
      <c r="AA188" s="56"/>
      <c r="AB188" s="54"/>
      <c r="AC188" s="54"/>
      <c r="AD188" s="54"/>
      <c r="AE188" s="54"/>
      <c r="AF188" s="131">
        <v>11</v>
      </c>
    </row>
    <row r="189" s="131" customFormat="1" ht="11.5" customHeight="1">
      <c r="A189" s="705"/>
      <c r="B189" s="57"/>
      <c r="C189" s="57"/>
      <c r="D189" s="131"/>
      <c r="K189" s="53"/>
      <c r="L189" s="57"/>
      <c r="M189" s="57"/>
      <c r="N189" s="53"/>
      <c r="O189" s="53"/>
      <c r="P189" s="53"/>
      <c r="Q189" s="53"/>
      <c r="R189" s="57"/>
      <c r="S189" s="53"/>
      <c r="T189" s="53"/>
      <c r="U189" s="706"/>
      <c r="V189" s="53"/>
      <c r="W189" s="53"/>
      <c r="X189" s="53"/>
      <c r="Y189" s="53"/>
      <c r="Z189" s="53"/>
      <c r="AA189" s="56"/>
      <c r="AB189" s="54"/>
      <c r="AC189" s="54"/>
      <c r="AD189" s="54"/>
      <c r="AE189" s="54"/>
      <c r="AF189" s="131">
        <v>11</v>
      </c>
    </row>
    <row r="190" s="131" customFormat="1" ht="11.5" customHeight="1">
      <c r="A190" s="705"/>
      <c r="B190" s="57"/>
      <c r="C190" s="57"/>
      <c r="D190" s="131"/>
      <c r="K190" s="53"/>
      <c r="L190" s="57"/>
      <c r="M190" s="57"/>
      <c r="N190" s="53"/>
      <c r="O190" s="53"/>
      <c r="P190" s="53"/>
      <c r="Q190" s="53"/>
      <c r="R190" s="57"/>
      <c r="S190" s="53"/>
      <c r="T190" s="53"/>
      <c r="U190" s="706"/>
      <c r="V190" s="53"/>
      <c r="W190" s="53"/>
      <c r="X190" s="53"/>
      <c r="Y190" s="53"/>
      <c r="Z190" s="53"/>
      <c r="AA190" s="56"/>
      <c r="AB190" s="54"/>
      <c r="AC190" s="54"/>
      <c r="AD190" s="54"/>
      <c r="AE190" s="54"/>
      <c r="AF190" s="131">
        <v>11</v>
      </c>
    </row>
    <row r="191" s="131" customFormat="1" ht="11.5" customHeight="1">
      <c r="A191" s="705"/>
      <c r="B191" s="57"/>
      <c r="C191" s="57"/>
      <c r="D191" s="131"/>
      <c r="K191" s="53"/>
      <c r="L191" s="57"/>
      <c r="M191" s="57"/>
      <c r="N191" s="53"/>
      <c r="O191" s="53"/>
      <c r="P191" s="53"/>
      <c r="Q191" s="53"/>
      <c r="R191" s="57"/>
      <c r="S191" s="53"/>
      <c r="T191" s="53"/>
      <c r="U191" s="706"/>
      <c r="V191" s="53"/>
      <c r="W191" s="53"/>
      <c r="X191" s="53"/>
      <c r="Y191" s="53"/>
      <c r="Z191" s="53"/>
      <c r="AA191" s="56"/>
      <c r="AB191" s="54"/>
      <c r="AC191" s="54"/>
      <c r="AD191" s="54"/>
      <c r="AE191" s="54"/>
      <c r="AF191" s="131">
        <v>11</v>
      </c>
    </row>
    <row r="192" s="131" customFormat="1" ht="11.5" customHeight="1">
      <c r="A192" s="705"/>
      <c r="B192" s="57"/>
      <c r="C192" s="57"/>
      <c r="D192" s="131"/>
      <c r="K192" s="53"/>
      <c r="L192" s="57"/>
      <c r="M192" s="57"/>
      <c r="N192" s="53"/>
      <c r="O192" s="53"/>
      <c r="P192" s="53"/>
      <c r="Q192" s="53"/>
      <c r="R192" s="57"/>
      <c r="S192" s="53"/>
      <c r="T192" s="53"/>
      <c r="U192" s="706"/>
      <c r="V192" s="53"/>
      <c r="W192" s="53"/>
      <c r="X192" s="53"/>
      <c r="Y192" s="53"/>
      <c r="Z192" s="53"/>
      <c r="AA192" s="56"/>
      <c r="AB192" s="54"/>
      <c r="AC192" s="54"/>
      <c r="AD192" s="54"/>
      <c r="AE192" s="54"/>
      <c r="AF192" s="131">
        <v>11</v>
      </c>
    </row>
    <row r="193" s="131" customFormat="1" ht="11.5" customHeight="1">
      <c r="A193" s="705"/>
      <c r="B193" s="57"/>
      <c r="C193" s="57"/>
      <c r="D193" s="131"/>
      <c r="K193" s="53"/>
      <c r="L193" s="57"/>
      <c r="M193" s="57"/>
      <c r="N193" s="53"/>
      <c r="O193" s="53"/>
      <c r="P193" s="53"/>
      <c r="Q193" s="53"/>
      <c r="R193" s="57"/>
      <c r="S193" s="53"/>
      <c r="T193" s="53"/>
      <c r="U193" s="706"/>
      <c r="V193" s="53"/>
      <c r="W193" s="53"/>
      <c r="X193" s="53"/>
      <c r="Y193" s="53"/>
      <c r="Z193" s="53"/>
      <c r="AA193" s="56"/>
      <c r="AB193" s="54"/>
      <c r="AC193" s="54"/>
      <c r="AD193" s="54"/>
      <c r="AE193" s="54"/>
      <c r="AF193" s="131">
        <v>11</v>
      </c>
    </row>
    <row r="194" s="131" customFormat="1" ht="11.5" customHeight="1">
      <c r="A194" s="705"/>
      <c r="B194" s="57"/>
      <c r="C194" s="57"/>
      <c r="D194" s="131"/>
      <c r="K194" s="53"/>
      <c r="L194" s="57"/>
      <c r="M194" s="57"/>
      <c r="N194" s="53"/>
      <c r="O194" s="53"/>
      <c r="P194" s="53"/>
      <c r="Q194" s="53"/>
      <c r="R194" s="57"/>
      <c r="S194" s="53"/>
      <c r="T194" s="53"/>
      <c r="U194" s="706"/>
      <c r="V194" s="53"/>
      <c r="W194" s="53"/>
      <c r="X194" s="53"/>
      <c r="Y194" s="53"/>
      <c r="Z194" s="53"/>
      <c r="AA194" s="56"/>
      <c r="AB194" s="54"/>
      <c r="AC194" s="54"/>
      <c r="AD194" s="54"/>
      <c r="AE194" s="54"/>
      <c r="AF194" s="131">
        <v>11</v>
      </c>
    </row>
    <row r="195" s="131" customFormat="1" ht="11.5" customHeight="1">
      <c r="A195" s="705"/>
      <c r="B195" s="57"/>
      <c r="C195" s="57"/>
      <c r="D195" s="131"/>
      <c r="K195" s="53"/>
      <c r="L195" s="57"/>
      <c r="M195" s="57"/>
      <c r="N195" s="53"/>
      <c r="O195" s="53"/>
      <c r="P195" s="53"/>
      <c r="Q195" s="53"/>
      <c r="R195" s="57"/>
      <c r="S195" s="53"/>
      <c r="T195" s="53"/>
      <c r="U195" s="706"/>
      <c r="V195" s="53"/>
      <c r="W195" s="53"/>
      <c r="X195" s="53"/>
      <c r="Y195" s="53"/>
      <c r="Z195" s="53"/>
      <c r="AA195" s="56"/>
      <c r="AB195" s="54"/>
      <c r="AC195" s="54"/>
      <c r="AD195" s="54"/>
      <c r="AE195" s="54"/>
      <c r="AF195" s="131">
        <v>11</v>
      </c>
    </row>
    <row r="196" ht="11.5" customHeight="1">
      <c r="AF196" s="50">
        <v>11</v>
      </c>
    </row>
    <row r="197" ht="11.5" customHeight="1">
      <c r="AF197" s="50">
        <v>11</v>
      </c>
    </row>
    <row r="198" ht="11.5" customHeight="1">
      <c r="AF198" s="50">
        <v>11</v>
      </c>
    </row>
    <row r="199" ht="11.5" customHeight="1">
      <c r="A199" s="773"/>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73"/>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73"/>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73"/>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73"/>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73"/>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73"/>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7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7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7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7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05"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06">
        <v>8</v>
      </c>
      <c r="V210" s="53">
        <v>8</v>
      </c>
      <c r="W210" s="53">
        <v>8</v>
      </c>
      <c r="X210" s="53">
        <v>8</v>
      </c>
      <c r="Y210" s="53">
        <v>8</v>
      </c>
      <c r="Z210" s="53">
        <v>8</v>
      </c>
      <c r="AA210" s="56">
        <v>8</v>
      </c>
      <c r="AB210" s="56">
        <v>8</v>
      </c>
      <c r="AC210" s="56">
        <v>8</v>
      </c>
      <c r="AD210" s="56">
        <v>8</v>
      </c>
      <c r="AE210" s="56">
        <v>8</v>
      </c>
      <c r="AF210" s="50">
        <v>11</v>
      </c>
    </row>
  </sheetData>
  <sheetProtection autoFilter="0" deleteColumns="1" deleteRows="1" formatCells="1" formatColumns="0" formatRows="0" insertColumns="1" insertHyperlinks="1" insertRows="1" objects="0" pivotTables="1" scenarios="0" selectLockedCells="0" selectUnlockedCells="0" sheet="1" sort="1"/>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EC0042-0011-4CE0-A674-00D800B10021}"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0200D8-00C0-49A6-BD12-008B006000F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0300DD-001F-4DDF-8D07-00F7006300F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76001E-00D6-4C55-80C6-00A90003002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FE0053-003C-4007-98FD-00FA00F60087}"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4"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4"/>
      <c r="B1" s="57"/>
      <c r="G1" s="53">
        <v>4</v>
      </c>
      <c r="I1" s="53">
        <v>4</v>
      </c>
      <c r="K1" s="53">
        <v>5</v>
      </c>
      <c r="X1" s="53" t="s">
        <v>14</v>
      </c>
    </row>
    <row r="2" ht="3" customHeight="1">
      <c r="X2" s="50">
        <v>3</v>
      </c>
    </row>
    <row r="3" ht="78.75" customHeight="1">
      <c r="D3" s="185"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6"/>
      <c r="F3" s="187"/>
      <c r="X3" s="50">
        <v>75</v>
      </c>
    </row>
    <row r="4" s="50" customFormat="1" ht="21" customHeight="1">
      <c r="A4" s="124"/>
      <c r="B4" s="57"/>
      <c r="D4" s="408" t="str">
        <f>IF(org=0,"Не определено",org)</f>
        <v xml:space="preserve">АО "ДГК" СП "Биробиджанская ТЭЦ"</v>
      </c>
      <c r="E4" s="409"/>
      <c r="F4" s="410"/>
      <c r="X4" s="50">
        <v>20</v>
      </c>
    </row>
    <row r="5" ht="11.5" customHeight="1">
      <c r="C5" s="50"/>
      <c r="D5" s="50"/>
      <c r="E5" s="50"/>
      <c r="F5" s="50"/>
      <c r="G5" s="50"/>
      <c r="H5" s="341"/>
      <c r="I5" s="50"/>
      <c r="J5" s="341"/>
      <c r="K5" s="50"/>
      <c r="X5" s="50">
        <v>11</v>
      </c>
    </row>
    <row r="6" ht="1.05" customHeight="1">
      <c r="C6" s="50"/>
      <c r="D6" s="50"/>
      <c r="E6" s="51"/>
      <c r="F6" s="777"/>
      <c r="G6" s="842"/>
      <c r="H6" s="842"/>
      <c r="I6" s="842" t="s">
        <v>114</v>
      </c>
      <c r="J6" s="842"/>
      <c r="X6" s="50">
        <v>1</v>
      </c>
    </row>
    <row r="7" ht="11.5" customHeight="1">
      <c r="D7" s="721"/>
      <c r="E7" s="722" t="s">
        <v>102</v>
      </c>
      <c r="F7" s="723"/>
      <c r="G7" s="724" t="str">
        <f>IF(G6="","",INDEX(DIFFERENTIATION_UNMERGE_VD,MATCH(G6,DIFFERENTIATION_ID_DIFF,0)))</f>
        <v/>
      </c>
      <c r="H7" s="843"/>
      <c r="I7" s="724">
        <f>IF(I6="","",INDEX(DIFFERENTIATION_UNMERGE_VD,MATCH(I6,DIFFERENTIATION_ID_DIFF,0)))</f>
        <v>0</v>
      </c>
      <c r="J7" s="843"/>
      <c r="K7" s="307"/>
      <c r="L7" s="50"/>
      <c r="X7" s="50">
        <v>11</v>
      </c>
    </row>
    <row r="8" ht="11.5" customHeight="1">
      <c r="A8" s="124"/>
      <c r="D8" s="721"/>
      <c r="E8" s="722" t="s">
        <v>559</v>
      </c>
      <c r="F8" s="723"/>
      <c r="G8" s="724" t="str">
        <f>IF(G6="","",INDEX(DIFFERENTIATION_UNMERGE_AREA,MATCH(G6,DIFFERENTIATION_ID_DIFF,0)))</f>
        <v/>
      </c>
      <c r="H8" s="843"/>
      <c r="I8" s="724" t="str">
        <f>IF(I6="","",INDEX(DIFFERENTIATION_UNMERGE_AREA,MATCH(I6,DIFFERENTIATION_ID_DIFF,0)))</f>
        <v/>
      </c>
      <c r="J8" s="843"/>
      <c r="K8" s="306"/>
      <c r="L8" s="50"/>
      <c r="X8" s="50">
        <v>11</v>
      </c>
    </row>
    <row r="9" ht="11.5" customHeight="1">
      <c r="A9" s="124"/>
      <c r="D9" s="721"/>
      <c r="E9" s="722" t="s">
        <v>560</v>
      </c>
      <c r="F9" s="723"/>
      <c r="G9" s="724" t="str">
        <f>IF(G6="","",INDEX(DIFFERENTIATION_UNMERGE_SYSTEM,MATCH(G6,DIFFERENTIATION_ID_DIFF,0)))</f>
        <v/>
      </c>
      <c r="H9" s="843"/>
      <c r="I9" s="724" t="str">
        <f>IF(I6="","",INDEX(DIFFERENTIATION_UNMERGE_SYSTEM,MATCH(I6,DIFFERENTIATION_ID_DIFF,0)))</f>
        <v xml:space="preserve">без дифференциации</v>
      </c>
      <c r="J9" s="843"/>
      <c r="K9" s="306"/>
      <c r="L9" s="50"/>
      <c r="X9" s="50">
        <v>11</v>
      </c>
    </row>
    <row r="10" s="50" customFormat="1" ht="11.5" customHeight="1">
      <c r="A10" s="124"/>
      <c r="B10" s="57"/>
      <c r="D10" s="73" t="s">
        <v>295</v>
      </c>
      <c r="E10" s="145"/>
      <c r="F10" s="145"/>
      <c r="G10" s="145"/>
      <c r="H10" s="145"/>
      <c r="I10" s="145"/>
      <c r="J10" s="72"/>
      <c r="K10" s="306"/>
      <c r="L10" s="50"/>
      <c r="X10" s="50">
        <v>11</v>
      </c>
    </row>
    <row r="11" s="50" customFormat="1" ht="24" customHeight="1">
      <c r="A11" s="574"/>
      <c r="B11" s="574"/>
      <c r="C11" s="395"/>
      <c r="D11" s="157" t="s">
        <v>88</v>
      </c>
      <c r="E11" s="157" t="s">
        <v>802</v>
      </c>
      <c r="F11" s="157" t="s">
        <v>561</v>
      </c>
      <c r="G11" s="157" t="s">
        <v>298</v>
      </c>
      <c r="H11" s="157" t="s">
        <v>385</v>
      </c>
      <c r="I11" s="157" t="s">
        <v>298</v>
      </c>
      <c r="J11" s="73" t="s">
        <v>385</v>
      </c>
      <c r="K11" s="162"/>
      <c r="L11" s="574"/>
      <c r="X11" s="50">
        <v>23</v>
      </c>
    </row>
    <row r="12" s="57" customFormat="1" ht="10.5" customHeight="1">
      <c r="A12" s="531"/>
      <c r="D12" s="531" t="s">
        <v>106</v>
      </c>
      <c r="E12" s="531" t="s">
        <v>107</v>
      </c>
      <c r="F12" s="531" t="s">
        <v>90</v>
      </c>
      <c r="G12" s="132" t="str">
        <f>G1&amp;".1"</f>
        <v>4.1</v>
      </c>
      <c r="H12" s="132" t="str">
        <f>G1&amp;".2"</f>
        <v>4.2</v>
      </c>
      <c r="I12" s="132" t="str">
        <f>I1&amp;".1"</f>
        <v>4.1</v>
      </c>
      <c r="J12" s="132" t="str">
        <f>I1&amp;".2"</f>
        <v>4.2</v>
      </c>
      <c r="K12" s="132"/>
      <c r="X12" s="57">
        <v>10</v>
      </c>
    </row>
    <row r="13" ht="22.5" customHeight="1">
      <c r="A13" s="844" t="s">
        <v>803</v>
      </c>
      <c r="D13" s="218" t="s">
        <v>106</v>
      </c>
      <c r="E13" s="313" t="s">
        <v>804</v>
      </c>
      <c r="F13" s="146" t="s">
        <v>805</v>
      </c>
      <c r="G13" s="727"/>
      <c r="H13" s="810"/>
      <c r="I13" s="727"/>
      <c r="J13" s="810"/>
      <c r="K13" s="485" t="s">
        <v>806</v>
      </c>
      <c r="L13" s="845"/>
      <c r="X13" s="50">
        <v>0</v>
      </c>
    </row>
    <row r="14" ht="22.5" customHeight="1">
      <c r="A14" s="844"/>
      <c r="D14" s="218" t="s">
        <v>107</v>
      </c>
      <c r="E14" s="313" t="s">
        <v>807</v>
      </c>
      <c r="F14" s="146" t="s">
        <v>808</v>
      </c>
      <c r="G14" s="727"/>
      <c r="H14" s="810"/>
      <c r="I14" s="727"/>
      <c r="J14" s="810"/>
      <c r="K14" s="485" t="s">
        <v>809</v>
      </c>
      <c r="L14" s="845"/>
      <c r="X14" s="50">
        <v>0</v>
      </c>
    </row>
    <row r="15" s="50" customFormat="1" ht="78.75" customHeight="1">
      <c r="A15" s="844"/>
      <c r="B15" s="57"/>
      <c r="D15" s="218" t="s">
        <v>90</v>
      </c>
      <c r="E15" s="313" t="s">
        <v>810</v>
      </c>
      <c r="F15" s="157" t="s">
        <v>301</v>
      </c>
      <c r="G15" s="157" t="s">
        <v>301</v>
      </c>
      <c r="H15" s="387"/>
      <c r="I15" s="157" t="s">
        <v>301</v>
      </c>
      <c r="J15" s="387"/>
      <c r="K15" s="485" t="s">
        <v>811</v>
      </c>
      <c r="L15" s="845"/>
      <c r="X15" s="50">
        <v>0</v>
      </c>
    </row>
    <row r="16" s="50" customFormat="1" ht="22.5" customHeight="1">
      <c r="A16" s="844"/>
      <c r="B16" s="57"/>
      <c r="D16" s="218" t="s">
        <v>319</v>
      </c>
      <c r="E16" s="673" t="s">
        <v>812</v>
      </c>
      <c r="F16" s="157" t="s">
        <v>813</v>
      </c>
      <c r="G16" s="846"/>
      <c r="H16" s="387"/>
      <c r="I16" s="846"/>
      <c r="J16" s="387"/>
      <c r="K16" s="485"/>
      <c r="L16" s="845"/>
      <c r="X16" s="50">
        <v>0</v>
      </c>
    </row>
    <row r="17" s="50" customFormat="1" ht="22.5" customHeight="1">
      <c r="A17" s="844"/>
      <c r="B17" s="57"/>
      <c r="D17" s="218" t="s">
        <v>327</v>
      </c>
      <c r="E17" s="673" t="s">
        <v>814</v>
      </c>
      <c r="F17" s="157" t="s">
        <v>815</v>
      </c>
      <c r="G17" s="846"/>
      <c r="H17" s="387"/>
      <c r="I17" s="846"/>
      <c r="J17" s="387"/>
      <c r="K17" s="485"/>
      <c r="L17" s="845"/>
      <c r="X17" s="50">
        <v>0</v>
      </c>
    </row>
    <row r="18" s="50" customFormat="1" ht="33.75" customHeight="1">
      <c r="A18" s="844"/>
      <c r="B18" s="57"/>
      <c r="D18" s="218" t="s">
        <v>329</v>
      </c>
      <c r="E18" s="673" t="s">
        <v>816</v>
      </c>
      <c r="F18" s="157" t="s">
        <v>566</v>
      </c>
      <c r="G18" s="847"/>
      <c r="H18" s="387"/>
      <c r="I18" s="847"/>
      <c r="J18" s="387"/>
      <c r="K18" s="485"/>
      <c r="L18" s="845"/>
      <c r="X18" s="50">
        <v>0</v>
      </c>
    </row>
    <row r="19" ht="101.25" customHeight="1">
      <c r="A19" s="844"/>
      <c r="D19" s="218" t="s">
        <v>91</v>
      </c>
      <c r="E19" s="313" t="s">
        <v>817</v>
      </c>
      <c r="F19" s="146" t="s">
        <v>541</v>
      </c>
      <c r="G19" s="448"/>
      <c r="H19" s="810"/>
      <c r="I19" s="448"/>
      <c r="J19" s="810"/>
      <c r="K19" s="485" t="s">
        <v>818</v>
      </c>
      <c r="L19" s="845"/>
      <c r="X19" s="50">
        <v>0</v>
      </c>
    </row>
    <row r="20" s="50" customFormat="1" ht="18.75" customHeight="1">
      <c r="A20" s="844"/>
      <c r="C20" s="128"/>
      <c r="D20" s="218" t="s">
        <v>749</v>
      </c>
      <c r="E20" s="673" t="s">
        <v>819</v>
      </c>
      <c r="F20" s="157" t="s">
        <v>301</v>
      </c>
      <c r="G20" s="157" t="s">
        <v>301</v>
      </c>
      <c r="H20" s="307" t="s">
        <v>301</v>
      </c>
      <c r="I20" s="157" t="s">
        <v>301</v>
      </c>
      <c r="J20" s="307" t="s">
        <v>301</v>
      </c>
      <c r="K20" s="73"/>
      <c r="L20" s="845"/>
      <c r="W20" s="115"/>
      <c r="X20" s="50">
        <v>0</v>
      </c>
    </row>
    <row r="21" s="50" customFormat="1" ht="33.75" customHeight="1">
      <c r="A21" s="844"/>
      <c r="C21" s="128"/>
      <c r="D21" s="218" t="s">
        <v>752</v>
      </c>
      <c r="E21" s="743" t="s">
        <v>820</v>
      </c>
      <c r="F21" s="157" t="s">
        <v>821</v>
      </c>
      <c r="G21" s="847"/>
      <c r="H21" s="387"/>
      <c r="I21" s="847"/>
      <c r="J21" s="387"/>
      <c r="K21" s="73"/>
      <c r="L21" s="845"/>
      <c r="W21" s="115"/>
      <c r="X21" s="50">
        <v>0</v>
      </c>
    </row>
    <row r="22" s="50" customFormat="1" ht="33.75" customHeight="1">
      <c r="A22" s="844"/>
      <c r="C22" s="128"/>
      <c r="D22" s="218" t="s">
        <v>755</v>
      </c>
      <c r="E22" s="743" t="s">
        <v>822</v>
      </c>
      <c r="F22" s="157" t="s">
        <v>823</v>
      </c>
      <c r="G22" s="847"/>
      <c r="H22" s="387"/>
      <c r="I22" s="847"/>
      <c r="J22" s="387"/>
      <c r="K22" s="73"/>
      <c r="L22" s="845"/>
      <c r="W22" s="115"/>
      <c r="X22" s="50">
        <v>0</v>
      </c>
    </row>
    <row r="23" s="50" customFormat="1" ht="22.5" customHeight="1">
      <c r="A23" s="844"/>
      <c r="C23" s="128"/>
      <c r="D23" s="218" t="s">
        <v>791</v>
      </c>
      <c r="E23" s="673" t="s">
        <v>824</v>
      </c>
      <c r="F23" s="157" t="s">
        <v>301</v>
      </c>
      <c r="G23" s="157" t="s">
        <v>301</v>
      </c>
      <c r="H23" s="307" t="s">
        <v>301</v>
      </c>
      <c r="I23" s="157" t="s">
        <v>301</v>
      </c>
      <c r="J23" s="307" t="s">
        <v>301</v>
      </c>
      <c r="K23" s="73"/>
      <c r="L23" s="845"/>
      <c r="W23" s="115"/>
      <c r="X23" s="50">
        <v>0</v>
      </c>
    </row>
    <row r="24" s="50" customFormat="1" ht="22.5" customHeight="1">
      <c r="A24" s="844"/>
      <c r="C24" s="128"/>
      <c r="D24" s="218" t="s">
        <v>825</v>
      </c>
      <c r="E24" s="743" t="s">
        <v>826</v>
      </c>
      <c r="F24" s="157" t="s">
        <v>827</v>
      </c>
      <c r="G24" s="847"/>
      <c r="H24" s="679"/>
      <c r="I24" s="847"/>
      <c r="J24" s="679"/>
      <c r="K24" s="73"/>
      <c r="L24" s="845"/>
      <c r="W24" s="115"/>
      <c r="X24" s="50">
        <v>0</v>
      </c>
    </row>
    <row r="25" s="50" customFormat="1" ht="22.5" customHeight="1">
      <c r="A25" s="844"/>
      <c r="C25" s="128"/>
      <c r="D25" s="218" t="s">
        <v>828</v>
      </c>
      <c r="E25" s="743" t="s">
        <v>829</v>
      </c>
      <c r="F25" s="157" t="s">
        <v>301</v>
      </c>
      <c r="G25" s="157" t="s">
        <v>301</v>
      </c>
      <c r="H25" s="307" t="s">
        <v>301</v>
      </c>
      <c r="I25" s="157" t="s">
        <v>301</v>
      </c>
      <c r="J25" s="307" t="s">
        <v>301</v>
      </c>
      <c r="K25" s="73"/>
      <c r="L25" s="845"/>
      <c r="W25" s="115"/>
      <c r="X25" s="50">
        <v>0</v>
      </c>
    </row>
    <row r="26" s="50" customFormat="1" ht="18.75" customHeight="1">
      <c r="A26" s="844"/>
      <c r="C26" s="128"/>
      <c r="D26" s="218" t="s">
        <v>830</v>
      </c>
      <c r="E26" s="712" t="s">
        <v>831</v>
      </c>
      <c r="F26" s="157" t="s">
        <v>832</v>
      </c>
      <c r="G26" s="847"/>
      <c r="H26" s="679"/>
      <c r="I26" s="847"/>
      <c r="J26" s="679"/>
      <c r="K26" s="73"/>
      <c r="L26" s="845"/>
      <c r="W26" s="115"/>
      <c r="X26" s="50">
        <v>0</v>
      </c>
    </row>
    <row r="27" s="50" customFormat="1" ht="18.75" customHeight="1">
      <c r="A27" s="844"/>
      <c r="C27" s="128"/>
      <c r="D27" s="218" t="s">
        <v>833</v>
      </c>
      <c r="E27" s="712" t="s">
        <v>834</v>
      </c>
      <c r="F27" s="157" t="s">
        <v>835</v>
      </c>
      <c r="G27" s="847"/>
      <c r="H27" s="679"/>
      <c r="I27" s="847"/>
      <c r="J27" s="679"/>
      <c r="K27" s="73"/>
      <c r="L27" s="845"/>
      <c r="W27" s="115"/>
      <c r="X27" s="50">
        <v>0</v>
      </c>
    </row>
    <row r="28" s="50" customFormat="1" ht="18.75" customHeight="1">
      <c r="A28" s="844"/>
      <c r="C28" s="128"/>
      <c r="D28" s="218" t="s">
        <v>836</v>
      </c>
      <c r="E28" s="743" t="s">
        <v>837</v>
      </c>
      <c r="F28" s="157" t="s">
        <v>301</v>
      </c>
      <c r="G28" s="157" t="s">
        <v>301</v>
      </c>
      <c r="H28" s="307" t="s">
        <v>301</v>
      </c>
      <c r="I28" s="157" t="s">
        <v>301</v>
      </c>
      <c r="J28" s="307" t="s">
        <v>301</v>
      </c>
      <c r="K28" s="73"/>
      <c r="L28" s="845"/>
      <c r="W28" s="115"/>
      <c r="X28" s="50">
        <v>0</v>
      </c>
    </row>
    <row r="29" s="50" customFormat="1" ht="18.75" customHeight="1">
      <c r="A29" s="844"/>
      <c r="C29" s="128"/>
      <c r="D29" s="218" t="s">
        <v>838</v>
      </c>
      <c r="E29" s="712" t="s">
        <v>831</v>
      </c>
      <c r="F29" s="157" t="s">
        <v>839</v>
      </c>
      <c r="G29" s="847"/>
      <c r="H29" s="679"/>
      <c r="I29" s="847"/>
      <c r="J29" s="679"/>
      <c r="K29" s="73"/>
      <c r="L29" s="845"/>
      <c r="W29" s="115"/>
      <c r="X29" s="50">
        <v>0</v>
      </c>
    </row>
    <row r="30" s="50" customFormat="1" ht="18.75" customHeight="1">
      <c r="A30" s="844"/>
      <c r="C30" s="128"/>
      <c r="D30" s="218" t="s">
        <v>840</v>
      </c>
      <c r="E30" s="712" t="s">
        <v>841</v>
      </c>
      <c r="F30" s="157" t="s">
        <v>842</v>
      </c>
      <c r="G30" s="847"/>
      <c r="H30" s="679"/>
      <c r="I30" s="847"/>
      <c r="J30" s="679"/>
      <c r="K30" s="73"/>
      <c r="L30" s="845"/>
      <c r="W30" s="115"/>
      <c r="X30" s="50">
        <v>0</v>
      </c>
    </row>
    <row r="31" ht="126.75" customHeight="1">
      <c r="A31" s="844"/>
      <c r="D31" s="218" t="s">
        <v>108</v>
      </c>
      <c r="E31" s="313" t="s">
        <v>843</v>
      </c>
      <c r="F31" s="146" t="s">
        <v>553</v>
      </c>
      <c r="G31" s="727"/>
      <c r="H31" s="810"/>
      <c r="I31" s="727"/>
      <c r="J31" s="810"/>
      <c r="K31" s="485" t="s">
        <v>844</v>
      </c>
      <c r="L31" s="845"/>
      <c r="X31" s="50">
        <v>0</v>
      </c>
    </row>
    <row r="32" ht="56.25" customHeight="1">
      <c r="A32" s="844"/>
      <c r="D32" s="218" t="s">
        <v>92</v>
      </c>
      <c r="E32" s="313" t="s">
        <v>845</v>
      </c>
      <c r="F32" s="218" t="s">
        <v>815</v>
      </c>
      <c r="G32" s="727"/>
      <c r="H32" s="810"/>
      <c r="I32" s="727"/>
      <c r="J32" s="810"/>
      <c r="K32" s="485" t="s">
        <v>846</v>
      </c>
      <c r="L32" s="845"/>
      <c r="X32" s="50">
        <v>0</v>
      </c>
    </row>
    <row r="33" ht="11.25" customHeight="1">
      <c r="A33" s="844"/>
      <c r="E33" s="477"/>
      <c r="F33" s="180"/>
      <c r="G33" s="180"/>
      <c r="H33" s="180"/>
      <c r="I33" s="180"/>
      <c r="J33" s="180"/>
      <c r="K33" s="180"/>
      <c r="X33" s="50">
        <v>0</v>
      </c>
    </row>
    <row r="34" ht="12.75" customHeight="1">
      <c r="A34" s="844"/>
      <c r="D34" s="395">
        <v>1</v>
      </c>
      <c r="E34" s="848" t="s">
        <v>847</v>
      </c>
      <c r="X34" s="50">
        <v>0</v>
      </c>
    </row>
    <row r="35" ht="11.25" customHeight="1">
      <c r="A35" s="844"/>
      <c r="D35" s="395"/>
      <c r="E35" s="848" t="s">
        <v>848</v>
      </c>
      <c r="X35" s="50">
        <v>0</v>
      </c>
    </row>
    <row r="36" s="50" customFormat="1" ht="11.5" customHeight="1">
      <c r="A36" s="124"/>
      <c r="B36" s="57"/>
      <c r="D36" s="395"/>
      <c r="E36" s="848"/>
      <c r="X36" s="50">
        <v>11</v>
      </c>
    </row>
    <row r="37" s="50" customFormat="1" ht="22.5" hidden="1" customHeight="1">
      <c r="A37" s="844" t="s">
        <v>849</v>
      </c>
      <c r="B37" s="57"/>
      <c r="D37" s="218">
        <v>1</v>
      </c>
      <c r="E37" s="313" t="s">
        <v>850</v>
      </c>
      <c r="F37" s="146" t="s">
        <v>805</v>
      </c>
      <c r="G37" s="727"/>
      <c r="H37" s="849"/>
      <c r="I37" s="727"/>
      <c r="J37" s="849"/>
      <c r="K37" s="485" t="s">
        <v>851</v>
      </c>
      <c r="X37" s="50">
        <v>0</v>
      </c>
    </row>
    <row r="38" s="50" customFormat="1" ht="22.5" hidden="1" customHeight="1">
      <c r="A38" s="844"/>
      <c r="B38" s="57"/>
      <c r="D38" s="850" t="s">
        <v>107</v>
      </c>
      <c r="E38" s="851" t="s">
        <v>852</v>
      </c>
      <c r="F38" s="852" t="s">
        <v>541</v>
      </c>
      <c r="G38" s="852" t="s">
        <v>541</v>
      </c>
      <c r="H38" s="853"/>
      <c r="I38" s="852" t="s">
        <v>541</v>
      </c>
      <c r="J38" s="853"/>
      <c r="K38" s="555"/>
      <c r="X38" s="50">
        <v>0</v>
      </c>
    </row>
    <row r="39" s="50" customFormat="1" ht="33.75" hidden="1" customHeight="1">
      <c r="A39" s="844"/>
      <c r="B39" s="57"/>
      <c r="D39" s="854" t="s">
        <v>707</v>
      </c>
      <c r="E39" s="855" t="s">
        <v>853</v>
      </c>
      <c r="F39" s="146" t="s">
        <v>854</v>
      </c>
      <c r="G39" s="856"/>
      <c r="H39" s="857"/>
      <c r="I39" s="856"/>
      <c r="J39" s="857"/>
      <c r="K39" s="485" t="s">
        <v>855</v>
      </c>
      <c r="X39" s="50">
        <v>0</v>
      </c>
    </row>
    <row r="40" s="50" customFormat="1" ht="33.75" hidden="1" customHeight="1">
      <c r="A40" s="844"/>
      <c r="B40" s="57"/>
      <c r="D40" s="854" t="s">
        <v>710</v>
      </c>
      <c r="E40" s="855" t="s">
        <v>856</v>
      </c>
      <c r="F40" s="858" t="s">
        <v>857</v>
      </c>
      <c r="G40" s="859"/>
      <c r="H40" s="857"/>
      <c r="I40" s="859"/>
      <c r="J40" s="857"/>
      <c r="K40" s="485" t="s">
        <v>858</v>
      </c>
      <c r="X40" s="50">
        <v>0</v>
      </c>
    </row>
    <row r="41" s="50" customFormat="1" ht="22.5" hidden="1" customHeight="1">
      <c r="A41" s="844"/>
      <c r="B41" s="57"/>
      <c r="D41" s="854" t="s">
        <v>90</v>
      </c>
      <c r="E41" s="860" t="s">
        <v>859</v>
      </c>
      <c r="F41" s="146" t="s">
        <v>541</v>
      </c>
      <c r="G41" s="146" t="s">
        <v>541</v>
      </c>
      <c r="H41" s="861"/>
      <c r="I41" s="146" t="s">
        <v>541</v>
      </c>
      <c r="J41" s="861"/>
      <c r="K41" s="559"/>
      <c r="X41" s="50">
        <v>0</v>
      </c>
    </row>
    <row r="42" s="50" customFormat="1" ht="45" hidden="1" customHeight="1">
      <c r="A42" s="844"/>
      <c r="B42" s="57"/>
      <c r="D42" s="854" t="s">
        <v>319</v>
      </c>
      <c r="E42" s="855" t="s">
        <v>860</v>
      </c>
      <c r="F42" s="146" t="s">
        <v>553</v>
      </c>
      <c r="G42" s="727"/>
      <c r="H42" s="861"/>
      <c r="I42" s="727"/>
      <c r="J42" s="861"/>
      <c r="K42" s="559" t="s">
        <v>861</v>
      </c>
      <c r="X42" s="50">
        <v>0</v>
      </c>
    </row>
    <row r="43" s="50" customFormat="1" ht="45" hidden="1" customHeight="1">
      <c r="A43" s="844"/>
      <c r="B43" s="57"/>
      <c r="D43" s="854" t="s">
        <v>327</v>
      </c>
      <c r="E43" s="862" t="s">
        <v>862</v>
      </c>
      <c r="F43" s="863" t="s">
        <v>553</v>
      </c>
      <c r="G43" s="763"/>
      <c r="H43" s="857"/>
      <c r="I43" s="763"/>
      <c r="J43" s="857"/>
      <c r="K43" s="559" t="s">
        <v>863</v>
      </c>
      <c r="X43" s="50">
        <v>0</v>
      </c>
    </row>
    <row r="44" s="50" customFormat="1" ht="11.25" hidden="1" customHeight="1">
      <c r="A44" s="844"/>
      <c r="B44" s="57"/>
      <c r="D44" s="854" t="s">
        <v>91</v>
      </c>
      <c r="E44" s="864" t="s">
        <v>864</v>
      </c>
      <c r="F44" s="146" t="s">
        <v>854</v>
      </c>
      <c r="G44" s="856"/>
      <c r="H44" s="857"/>
      <c r="I44" s="856"/>
      <c r="J44" s="857"/>
      <c r="K44" s="485"/>
      <c r="X44" s="50">
        <v>0</v>
      </c>
    </row>
    <row r="45" s="50" customFormat="1" ht="11.25" hidden="1" customHeight="1">
      <c r="A45" s="844"/>
      <c r="B45" s="57"/>
      <c r="D45" s="854" t="s">
        <v>749</v>
      </c>
      <c r="E45" s="862" t="s">
        <v>865</v>
      </c>
      <c r="F45" s="146" t="s">
        <v>854</v>
      </c>
      <c r="G45" s="856"/>
      <c r="H45" s="857"/>
      <c r="I45" s="856"/>
      <c r="J45" s="857"/>
      <c r="K45" s="485"/>
      <c r="X45" s="50">
        <v>0</v>
      </c>
    </row>
    <row r="46" s="50" customFormat="1" ht="11.25" hidden="1" customHeight="1">
      <c r="A46" s="844"/>
      <c r="B46" s="57"/>
      <c r="D46" s="854" t="s">
        <v>791</v>
      </c>
      <c r="E46" s="862" t="s">
        <v>866</v>
      </c>
      <c r="F46" s="146" t="s">
        <v>854</v>
      </c>
      <c r="G46" s="856"/>
      <c r="H46" s="857"/>
      <c r="I46" s="856"/>
      <c r="J46" s="857"/>
      <c r="K46" s="485"/>
      <c r="X46" s="50">
        <v>0</v>
      </c>
    </row>
    <row r="47" s="50" customFormat="1" ht="11.25" hidden="1" customHeight="1">
      <c r="A47" s="844"/>
      <c r="B47" s="57"/>
      <c r="D47" s="854" t="s">
        <v>794</v>
      </c>
      <c r="E47" s="862" t="s">
        <v>867</v>
      </c>
      <c r="F47" s="146" t="s">
        <v>854</v>
      </c>
      <c r="G47" s="856"/>
      <c r="H47" s="857"/>
      <c r="I47" s="856"/>
      <c r="J47" s="857"/>
      <c r="K47" s="485"/>
      <c r="X47" s="50">
        <v>0</v>
      </c>
    </row>
    <row r="48" s="50" customFormat="1" ht="11.25" hidden="1" customHeight="1">
      <c r="A48" s="844"/>
      <c r="B48" s="57"/>
      <c r="D48" s="854" t="s">
        <v>868</v>
      </c>
      <c r="E48" s="865" t="s">
        <v>869</v>
      </c>
      <c r="F48" s="146" t="s">
        <v>854</v>
      </c>
      <c r="G48" s="856"/>
      <c r="H48" s="857"/>
      <c r="I48" s="856"/>
      <c r="J48" s="857"/>
      <c r="K48" s="485"/>
      <c r="X48" s="50">
        <v>0</v>
      </c>
    </row>
    <row r="49" s="50" customFormat="1" ht="11.25" hidden="1" customHeight="1">
      <c r="A49" s="844"/>
      <c r="B49" s="57"/>
      <c r="D49" s="854" t="s">
        <v>870</v>
      </c>
      <c r="E49" s="865" t="s">
        <v>871</v>
      </c>
      <c r="F49" s="146" t="s">
        <v>854</v>
      </c>
      <c r="G49" s="856"/>
      <c r="H49" s="857"/>
      <c r="I49" s="856"/>
      <c r="J49" s="857"/>
      <c r="K49" s="485"/>
      <c r="X49" s="50">
        <v>0</v>
      </c>
    </row>
    <row r="50" s="50" customFormat="1" ht="11.25" hidden="1" customHeight="1">
      <c r="A50" s="844"/>
      <c r="B50" s="57"/>
      <c r="D50" s="854" t="s">
        <v>872</v>
      </c>
      <c r="E50" s="862" t="s">
        <v>873</v>
      </c>
      <c r="F50" s="146" t="s">
        <v>854</v>
      </c>
      <c r="G50" s="856"/>
      <c r="H50" s="857"/>
      <c r="I50" s="856"/>
      <c r="J50" s="857"/>
      <c r="K50" s="485"/>
      <c r="X50" s="50">
        <v>0</v>
      </c>
    </row>
    <row r="51" s="50" customFormat="1" ht="11.25" hidden="1" customHeight="1">
      <c r="A51" s="844"/>
      <c r="B51" s="57"/>
      <c r="D51" s="854" t="s">
        <v>874</v>
      </c>
      <c r="E51" s="862" t="s">
        <v>875</v>
      </c>
      <c r="F51" s="146" t="s">
        <v>854</v>
      </c>
      <c r="G51" s="856"/>
      <c r="H51" s="857"/>
      <c r="I51" s="856"/>
      <c r="J51" s="857"/>
      <c r="K51" s="485"/>
      <c r="X51" s="50">
        <v>0</v>
      </c>
    </row>
    <row r="52" s="50" customFormat="1" ht="45" hidden="1" customHeight="1">
      <c r="A52" s="844"/>
      <c r="B52" s="57"/>
      <c r="D52" s="854" t="s">
        <v>108</v>
      </c>
      <c r="E52" s="864" t="s">
        <v>876</v>
      </c>
      <c r="F52" s="146" t="s">
        <v>854</v>
      </c>
      <c r="G52" s="856"/>
      <c r="H52" s="857"/>
      <c r="I52" s="856"/>
      <c r="J52" s="857"/>
      <c r="K52" s="485"/>
      <c r="X52" s="50">
        <v>0</v>
      </c>
    </row>
    <row r="53" s="50" customFormat="1" ht="11.25" hidden="1" customHeight="1">
      <c r="A53" s="844"/>
      <c r="B53" s="57"/>
      <c r="D53" s="854" t="s">
        <v>308</v>
      </c>
      <c r="E53" s="862" t="s">
        <v>865</v>
      </c>
      <c r="F53" s="146" t="s">
        <v>854</v>
      </c>
      <c r="G53" s="856"/>
      <c r="H53" s="857"/>
      <c r="I53" s="856"/>
      <c r="J53" s="857"/>
      <c r="K53" s="485"/>
      <c r="X53" s="50">
        <v>0</v>
      </c>
    </row>
    <row r="54" s="50" customFormat="1" ht="11.25" hidden="1" customHeight="1">
      <c r="A54" s="844"/>
      <c r="B54" s="57"/>
      <c r="D54" s="854" t="s">
        <v>877</v>
      </c>
      <c r="E54" s="862" t="s">
        <v>866</v>
      </c>
      <c r="F54" s="146" t="s">
        <v>854</v>
      </c>
      <c r="G54" s="856"/>
      <c r="H54" s="857"/>
      <c r="I54" s="856"/>
      <c r="J54" s="857"/>
      <c r="K54" s="485"/>
      <c r="X54" s="50">
        <v>0</v>
      </c>
    </row>
    <row r="55" s="50" customFormat="1" ht="11.25" hidden="1" customHeight="1">
      <c r="A55" s="844"/>
      <c r="B55" s="57"/>
      <c r="D55" s="854" t="s">
        <v>878</v>
      </c>
      <c r="E55" s="862" t="s">
        <v>867</v>
      </c>
      <c r="F55" s="146" t="s">
        <v>854</v>
      </c>
      <c r="G55" s="856"/>
      <c r="H55" s="857"/>
      <c r="I55" s="856"/>
      <c r="J55" s="857"/>
      <c r="K55" s="485"/>
      <c r="X55" s="50">
        <v>0</v>
      </c>
    </row>
    <row r="56" s="50" customFormat="1" ht="11.25" hidden="1" customHeight="1">
      <c r="A56" s="844"/>
      <c r="B56" s="57"/>
      <c r="D56" s="854" t="s">
        <v>879</v>
      </c>
      <c r="E56" s="865" t="s">
        <v>869</v>
      </c>
      <c r="F56" s="146" t="s">
        <v>854</v>
      </c>
      <c r="G56" s="856"/>
      <c r="H56" s="857"/>
      <c r="I56" s="856"/>
      <c r="J56" s="857"/>
      <c r="K56" s="485"/>
      <c r="X56" s="50">
        <v>0</v>
      </c>
    </row>
    <row r="57" s="50" customFormat="1" ht="11.25" hidden="1" customHeight="1">
      <c r="A57" s="844"/>
      <c r="B57" s="57"/>
      <c r="D57" s="854" t="s">
        <v>880</v>
      </c>
      <c r="E57" s="865" t="s">
        <v>871</v>
      </c>
      <c r="F57" s="146" t="s">
        <v>854</v>
      </c>
      <c r="G57" s="856"/>
      <c r="H57" s="857"/>
      <c r="I57" s="856"/>
      <c r="J57" s="857"/>
      <c r="K57" s="485"/>
      <c r="X57" s="50">
        <v>0</v>
      </c>
    </row>
    <row r="58" s="50" customFormat="1" ht="11.25" hidden="1" customHeight="1">
      <c r="A58" s="844"/>
      <c r="B58" s="57"/>
      <c r="D58" s="854" t="s">
        <v>881</v>
      </c>
      <c r="E58" s="862" t="s">
        <v>873</v>
      </c>
      <c r="F58" s="146" t="s">
        <v>854</v>
      </c>
      <c r="G58" s="856"/>
      <c r="H58" s="857"/>
      <c r="I58" s="856"/>
      <c r="J58" s="857"/>
      <c r="K58" s="485"/>
      <c r="X58" s="50">
        <v>0</v>
      </c>
    </row>
    <row r="59" s="50" customFormat="1" ht="11.25" hidden="1" customHeight="1">
      <c r="A59" s="844"/>
      <c r="B59" s="57"/>
      <c r="D59" s="854" t="s">
        <v>882</v>
      </c>
      <c r="E59" s="862" t="s">
        <v>875</v>
      </c>
      <c r="F59" s="146" t="s">
        <v>854</v>
      </c>
      <c r="G59" s="856"/>
      <c r="H59" s="857"/>
      <c r="I59" s="856"/>
      <c r="J59" s="857"/>
      <c r="K59" s="485"/>
      <c r="X59" s="50">
        <v>0</v>
      </c>
    </row>
    <row r="60" s="50" customFormat="1" ht="33.75" hidden="1" customHeight="1">
      <c r="A60" s="844"/>
      <c r="B60" s="57"/>
      <c r="D60" s="854" t="s">
        <v>92</v>
      </c>
      <c r="E60" s="864" t="s">
        <v>883</v>
      </c>
      <c r="F60" s="866" t="s">
        <v>553</v>
      </c>
      <c r="G60" s="763"/>
      <c r="H60" s="857"/>
      <c r="I60" s="763"/>
      <c r="J60" s="857"/>
      <c r="K60" s="559" t="s">
        <v>884</v>
      </c>
      <c r="X60" s="50">
        <v>0</v>
      </c>
    </row>
    <row r="61" s="50" customFormat="1" ht="33.75" hidden="1" customHeight="1">
      <c r="A61" s="844"/>
      <c r="B61" s="57"/>
      <c r="D61" s="854" t="s">
        <v>93</v>
      </c>
      <c r="E61" s="864" t="s">
        <v>885</v>
      </c>
      <c r="F61" s="867" t="s">
        <v>815</v>
      </c>
      <c r="G61" s="856"/>
      <c r="H61" s="857"/>
      <c r="I61" s="856"/>
      <c r="J61" s="857"/>
      <c r="K61" s="485"/>
      <c r="X61" s="50">
        <v>0</v>
      </c>
    </row>
    <row r="62" s="50" customFormat="1" ht="22.5" hidden="1" customHeight="1">
      <c r="A62" s="844"/>
      <c r="B62" s="57" t="s">
        <v>583</v>
      </c>
      <c r="D62" s="854" t="s">
        <v>109</v>
      </c>
      <c r="E62" s="864" t="s">
        <v>886</v>
      </c>
      <c r="F62" s="867" t="s">
        <v>301</v>
      </c>
      <c r="G62" s="470"/>
      <c r="H62" s="857"/>
      <c r="I62" s="470"/>
      <c r="J62" s="857"/>
      <c r="K62" s="485" t="s">
        <v>626</v>
      </c>
      <c r="X62" s="50">
        <v>0</v>
      </c>
    </row>
    <row r="63" s="50" customFormat="1" ht="45" hidden="1" customHeight="1">
      <c r="A63" s="844"/>
      <c r="B63" s="57" t="s">
        <v>583</v>
      </c>
      <c r="D63" s="854" t="s">
        <v>887</v>
      </c>
      <c r="E63" s="862" t="s">
        <v>888</v>
      </c>
      <c r="F63" s="866" t="s">
        <v>301</v>
      </c>
      <c r="G63" s="470"/>
      <c r="H63" s="857"/>
      <c r="I63" s="470"/>
      <c r="J63" s="857"/>
      <c r="K63" s="485" t="s">
        <v>626</v>
      </c>
      <c r="X63" s="50">
        <v>0</v>
      </c>
    </row>
    <row r="64" s="50" customFormat="1" ht="11.5" customHeight="1">
      <c r="A64" s="124"/>
      <c r="B64" s="57"/>
      <c r="D64" s="395"/>
      <c r="E64" s="848"/>
      <c r="X64" s="50">
        <v>11</v>
      </c>
    </row>
    <row r="65" s="50" customFormat="1" ht="22.5" hidden="1" customHeight="1">
      <c r="A65" s="844" t="s">
        <v>889</v>
      </c>
      <c r="B65" s="57"/>
      <c r="D65" s="854">
        <v>1</v>
      </c>
      <c r="E65" s="868" t="s">
        <v>890</v>
      </c>
      <c r="F65" s="869" t="s">
        <v>805</v>
      </c>
      <c r="G65" s="859"/>
      <c r="H65" s="870"/>
      <c r="I65" s="859"/>
      <c r="J65" s="870"/>
      <c r="K65" s="549" t="s">
        <v>891</v>
      </c>
      <c r="X65" s="50">
        <v>0</v>
      </c>
    </row>
    <row r="66" s="50" customFormat="1" ht="56.25" hidden="1" customHeight="1">
      <c r="A66" s="844"/>
      <c r="B66" s="57"/>
      <c r="D66" s="871" t="s">
        <v>107</v>
      </c>
      <c r="E66" s="313" t="s">
        <v>892</v>
      </c>
      <c r="F66" s="146" t="s">
        <v>541</v>
      </c>
      <c r="G66" s="146" t="s">
        <v>541</v>
      </c>
      <c r="H66" s="849"/>
      <c r="I66" s="146" t="s">
        <v>541</v>
      </c>
      <c r="J66" s="849"/>
      <c r="K66" s="485"/>
      <c r="X66" s="50">
        <v>0</v>
      </c>
    </row>
    <row r="67" s="50" customFormat="1" ht="33.75" hidden="1" customHeight="1">
      <c r="A67" s="844"/>
      <c r="B67" s="57"/>
      <c r="D67" s="871" t="s">
        <v>704</v>
      </c>
      <c r="E67" s="673" t="s">
        <v>893</v>
      </c>
      <c r="F67" s="146" t="s">
        <v>857</v>
      </c>
      <c r="G67" s="816"/>
      <c r="H67" s="849"/>
      <c r="I67" s="816"/>
      <c r="J67" s="849"/>
      <c r="K67" s="485"/>
      <c r="X67" s="50">
        <v>0</v>
      </c>
    </row>
    <row r="68" s="50" customFormat="1" ht="22.5" hidden="1" customHeight="1">
      <c r="A68" s="844"/>
      <c r="B68" s="57"/>
      <c r="D68" s="871" t="s">
        <v>302</v>
      </c>
      <c r="E68" s="673" t="s">
        <v>894</v>
      </c>
      <c r="F68" s="146" t="s">
        <v>857</v>
      </c>
      <c r="G68" s="816"/>
      <c r="H68" s="849"/>
      <c r="I68" s="816"/>
      <c r="J68" s="849"/>
      <c r="K68" s="485"/>
      <c r="X68" s="50">
        <v>0</v>
      </c>
    </row>
    <row r="69" s="50" customFormat="1" ht="22.5" hidden="1" customHeight="1">
      <c r="A69" s="844"/>
      <c r="B69" s="57"/>
      <c r="D69" s="871" t="s">
        <v>305</v>
      </c>
      <c r="E69" s="673" t="s">
        <v>895</v>
      </c>
      <c r="F69" s="866" t="s">
        <v>553</v>
      </c>
      <c r="G69" s="763"/>
      <c r="H69" s="849"/>
      <c r="I69" s="763"/>
      <c r="J69" s="849"/>
      <c r="K69" s="485"/>
      <c r="X69" s="50">
        <v>0</v>
      </c>
    </row>
    <row r="70" s="50" customFormat="1" ht="22.5" hidden="1" customHeight="1">
      <c r="A70" s="844"/>
      <c r="B70" s="57"/>
      <c r="D70" s="871" t="s">
        <v>724</v>
      </c>
      <c r="E70" s="673" t="s">
        <v>896</v>
      </c>
      <c r="F70" s="866" t="s">
        <v>553</v>
      </c>
      <c r="G70" s="763"/>
      <c r="H70" s="849"/>
      <c r="I70" s="763"/>
      <c r="J70" s="849"/>
      <c r="K70" s="485"/>
      <c r="X70" s="50">
        <v>0</v>
      </c>
    </row>
    <row r="71" s="50" customFormat="1" ht="22.5" hidden="1" customHeight="1">
      <c r="A71" s="844"/>
      <c r="B71" s="57"/>
      <c r="D71" s="854" t="s">
        <v>90</v>
      </c>
      <c r="E71" s="864" t="s">
        <v>897</v>
      </c>
      <c r="F71" s="146" t="s">
        <v>857</v>
      </c>
      <c r="G71" s="727"/>
      <c r="H71" s="853"/>
      <c r="I71" s="727"/>
      <c r="J71" s="853"/>
      <c r="K71" s="559"/>
      <c r="X71" s="50">
        <v>0</v>
      </c>
    </row>
    <row r="72" s="50" customFormat="1" ht="56.25" hidden="1" customHeight="1">
      <c r="A72" s="844"/>
      <c r="B72" s="57"/>
      <c r="D72" s="854" t="s">
        <v>91</v>
      </c>
      <c r="E72" s="864" t="s">
        <v>898</v>
      </c>
      <c r="F72" s="866" t="s">
        <v>553</v>
      </c>
      <c r="G72" s="763"/>
      <c r="H72" s="857"/>
      <c r="I72" s="763"/>
      <c r="J72" s="857"/>
      <c r="K72" s="559"/>
      <c r="X72" s="50">
        <v>0</v>
      </c>
    </row>
    <row r="73" s="50" customFormat="1" ht="33.75" hidden="1" customHeight="1">
      <c r="A73" s="844"/>
      <c r="B73" s="57"/>
      <c r="D73" s="854" t="s">
        <v>108</v>
      </c>
      <c r="E73" s="864" t="s">
        <v>899</v>
      </c>
      <c r="F73" s="867" t="s">
        <v>815</v>
      </c>
      <c r="G73" s="856"/>
      <c r="H73" s="857"/>
      <c r="I73" s="856"/>
      <c r="J73" s="857"/>
      <c r="K73" s="485"/>
      <c r="X73" s="50">
        <v>0</v>
      </c>
    </row>
    <row r="74" s="50" customFormat="1" ht="22.5" hidden="1" customHeight="1">
      <c r="A74" s="844"/>
      <c r="B74" s="57" t="s">
        <v>583</v>
      </c>
      <c r="D74" s="854" t="s">
        <v>92</v>
      </c>
      <c r="E74" s="864" t="s">
        <v>900</v>
      </c>
      <c r="F74" s="867" t="s">
        <v>301</v>
      </c>
      <c r="G74" s="470"/>
      <c r="H74" s="857"/>
      <c r="I74" s="470"/>
      <c r="J74" s="857"/>
      <c r="K74" s="485" t="s">
        <v>626</v>
      </c>
      <c r="X74" s="50">
        <v>0</v>
      </c>
    </row>
    <row r="75" s="50" customFormat="1" ht="45" hidden="1" customHeight="1">
      <c r="A75" s="844"/>
      <c r="B75" s="57" t="s">
        <v>583</v>
      </c>
      <c r="D75" s="854" t="s">
        <v>647</v>
      </c>
      <c r="E75" s="862" t="s">
        <v>901</v>
      </c>
      <c r="F75" s="866" t="s">
        <v>301</v>
      </c>
      <c r="G75" s="470"/>
      <c r="H75" s="857"/>
      <c r="I75" s="470"/>
      <c r="J75" s="857"/>
      <c r="K75" s="485" t="s">
        <v>626</v>
      </c>
      <c r="X75" s="50">
        <v>0</v>
      </c>
    </row>
    <row r="76" s="50" customFormat="1" ht="11.5" customHeight="1">
      <c r="A76" s="124"/>
      <c r="B76" s="57"/>
      <c r="D76" s="395"/>
      <c r="E76" s="848"/>
      <c r="X76" s="50">
        <v>11</v>
      </c>
    </row>
    <row r="77" s="50" customFormat="1" ht="11.25" hidden="1" customHeight="1">
      <c r="A77" s="844" t="s">
        <v>902</v>
      </c>
      <c r="B77" s="57"/>
      <c r="D77" s="854">
        <v>1</v>
      </c>
      <c r="E77" s="864" t="s">
        <v>903</v>
      </c>
      <c r="F77" s="866" t="s">
        <v>805</v>
      </c>
      <c r="G77" s="872"/>
      <c r="H77" s="857"/>
      <c r="I77" s="872"/>
      <c r="J77" s="857"/>
      <c r="K77" s="485" t="s">
        <v>904</v>
      </c>
      <c r="X77" s="50">
        <v>0</v>
      </c>
    </row>
    <row r="78" s="50" customFormat="1" ht="11.25" hidden="1" customHeight="1">
      <c r="A78" s="844"/>
      <c r="B78" s="57"/>
      <c r="D78" s="854" t="s">
        <v>107</v>
      </c>
      <c r="E78" s="864" t="s">
        <v>905</v>
      </c>
      <c r="F78" s="866" t="s">
        <v>805</v>
      </c>
      <c r="G78" s="872"/>
      <c r="H78" s="857"/>
      <c r="I78" s="872"/>
      <c r="J78" s="857"/>
      <c r="K78" s="485" t="s">
        <v>906</v>
      </c>
      <c r="X78" s="50">
        <v>0</v>
      </c>
    </row>
    <row r="79" s="50" customFormat="1" ht="22.5" hidden="1" customHeight="1">
      <c r="A79" s="844"/>
      <c r="B79" s="57"/>
      <c r="D79" s="854" t="s">
        <v>90</v>
      </c>
      <c r="E79" s="860" t="s">
        <v>907</v>
      </c>
      <c r="F79" s="146" t="s">
        <v>854</v>
      </c>
      <c r="G79" s="872"/>
      <c r="H79" s="857"/>
      <c r="I79" s="872"/>
      <c r="J79" s="857"/>
      <c r="K79" s="485" t="s">
        <v>908</v>
      </c>
      <c r="X79" s="50">
        <v>0</v>
      </c>
    </row>
    <row r="80" s="50" customFormat="1" ht="11.25" hidden="1" customHeight="1">
      <c r="A80" s="844"/>
      <c r="B80" s="57"/>
      <c r="D80" s="854" t="s">
        <v>319</v>
      </c>
      <c r="E80" s="855" t="s">
        <v>909</v>
      </c>
      <c r="F80" s="146" t="s">
        <v>854</v>
      </c>
      <c r="G80" s="872"/>
      <c r="H80" s="857"/>
      <c r="I80" s="872"/>
      <c r="J80" s="857"/>
      <c r="K80" s="485"/>
      <c r="X80" s="50">
        <v>0</v>
      </c>
    </row>
    <row r="81" s="50" customFormat="1" ht="11.25" hidden="1" customHeight="1">
      <c r="A81" s="844"/>
      <c r="B81" s="57"/>
      <c r="D81" s="854" t="s">
        <v>327</v>
      </c>
      <c r="E81" s="855" t="s">
        <v>910</v>
      </c>
      <c r="F81" s="146" t="s">
        <v>854</v>
      </c>
      <c r="G81" s="872"/>
      <c r="H81" s="857"/>
      <c r="I81" s="872"/>
      <c r="J81" s="857"/>
      <c r="K81" s="485"/>
      <c r="X81" s="50">
        <v>0</v>
      </c>
    </row>
    <row r="82" s="50" customFormat="1" ht="11.25" hidden="1" customHeight="1">
      <c r="A82" s="844"/>
      <c r="B82" s="57"/>
      <c r="D82" s="854" t="s">
        <v>329</v>
      </c>
      <c r="E82" s="855" t="s">
        <v>911</v>
      </c>
      <c r="F82" s="146" t="s">
        <v>854</v>
      </c>
      <c r="G82" s="872"/>
      <c r="H82" s="857"/>
      <c r="I82" s="872"/>
      <c r="J82" s="857"/>
      <c r="K82" s="485"/>
      <c r="X82" s="50">
        <v>0</v>
      </c>
    </row>
    <row r="83" s="50" customFormat="1" ht="11.25" hidden="1" customHeight="1">
      <c r="A83" s="844"/>
      <c r="B83" s="57"/>
      <c r="D83" s="854" t="s">
        <v>331</v>
      </c>
      <c r="E83" s="855" t="s">
        <v>912</v>
      </c>
      <c r="F83" s="146" t="s">
        <v>854</v>
      </c>
      <c r="G83" s="872"/>
      <c r="H83" s="857"/>
      <c r="I83" s="872"/>
      <c r="J83" s="857"/>
      <c r="K83" s="485"/>
      <c r="X83" s="50">
        <v>0</v>
      </c>
    </row>
    <row r="84" s="50" customFormat="1" ht="11.25" hidden="1" customHeight="1">
      <c r="A84" s="844"/>
      <c r="B84" s="57"/>
      <c r="D84" s="854" t="s">
        <v>913</v>
      </c>
      <c r="E84" s="855" t="s">
        <v>914</v>
      </c>
      <c r="F84" s="146" t="s">
        <v>854</v>
      </c>
      <c r="G84" s="872"/>
      <c r="H84" s="857"/>
      <c r="I84" s="872"/>
      <c r="J84" s="857"/>
      <c r="K84" s="485"/>
      <c r="X84" s="50">
        <v>0</v>
      </c>
    </row>
    <row r="85" s="50" customFormat="1" ht="11.25" hidden="1" customHeight="1">
      <c r="A85" s="844"/>
      <c r="B85" s="57"/>
      <c r="D85" s="854" t="s">
        <v>915</v>
      </c>
      <c r="E85" s="855" t="s">
        <v>916</v>
      </c>
      <c r="F85" s="146" t="s">
        <v>854</v>
      </c>
      <c r="G85" s="872"/>
      <c r="H85" s="857"/>
      <c r="I85" s="872"/>
      <c r="J85" s="857"/>
      <c r="K85" s="485"/>
      <c r="X85" s="50">
        <v>0</v>
      </c>
    </row>
    <row r="86" s="50" customFormat="1" ht="11.25" hidden="1" customHeight="1">
      <c r="A86" s="844"/>
      <c r="B86" s="57"/>
      <c r="D86" s="854" t="s">
        <v>917</v>
      </c>
      <c r="E86" s="855" t="s">
        <v>918</v>
      </c>
      <c r="F86" s="146" t="s">
        <v>854</v>
      </c>
      <c r="G86" s="872"/>
      <c r="H86" s="857"/>
      <c r="I86" s="872"/>
      <c r="J86" s="857"/>
      <c r="K86" s="485"/>
      <c r="X86" s="50">
        <v>0</v>
      </c>
    </row>
    <row r="87" s="50" customFormat="1" ht="45" hidden="1" customHeight="1">
      <c r="A87" s="844"/>
      <c r="B87" s="57"/>
      <c r="D87" s="854" t="s">
        <v>91</v>
      </c>
      <c r="E87" s="864" t="s">
        <v>919</v>
      </c>
      <c r="F87" s="146" t="s">
        <v>854</v>
      </c>
      <c r="G87" s="872"/>
      <c r="H87" s="857"/>
      <c r="I87" s="872"/>
      <c r="J87" s="857"/>
      <c r="K87" s="485" t="s">
        <v>920</v>
      </c>
      <c r="X87" s="50">
        <v>0</v>
      </c>
    </row>
    <row r="88" s="50" customFormat="1" ht="11.25" hidden="1" customHeight="1">
      <c r="A88" s="844"/>
      <c r="B88" s="57"/>
      <c r="D88" s="854" t="s">
        <v>749</v>
      </c>
      <c r="E88" s="855" t="s">
        <v>909</v>
      </c>
      <c r="F88" s="146" t="s">
        <v>854</v>
      </c>
      <c r="G88" s="872"/>
      <c r="H88" s="857"/>
      <c r="I88" s="872"/>
      <c r="J88" s="857"/>
      <c r="K88" s="485"/>
      <c r="X88" s="50">
        <v>0</v>
      </c>
    </row>
    <row r="89" s="50" customFormat="1" ht="11.25" hidden="1" customHeight="1">
      <c r="A89" s="844"/>
      <c r="B89" s="57"/>
      <c r="D89" s="854" t="s">
        <v>791</v>
      </c>
      <c r="E89" s="855" t="s">
        <v>910</v>
      </c>
      <c r="F89" s="146" t="s">
        <v>854</v>
      </c>
      <c r="G89" s="872"/>
      <c r="H89" s="857"/>
      <c r="I89" s="872"/>
      <c r="J89" s="857"/>
      <c r="K89" s="485"/>
      <c r="X89" s="50">
        <v>0</v>
      </c>
    </row>
    <row r="90" s="50" customFormat="1" ht="11.25" hidden="1" customHeight="1">
      <c r="A90" s="844"/>
      <c r="B90" s="57"/>
      <c r="D90" s="854" t="s">
        <v>794</v>
      </c>
      <c r="E90" s="855" t="s">
        <v>911</v>
      </c>
      <c r="F90" s="146" t="s">
        <v>854</v>
      </c>
      <c r="G90" s="872"/>
      <c r="H90" s="857"/>
      <c r="I90" s="872"/>
      <c r="J90" s="857"/>
      <c r="K90" s="485"/>
      <c r="X90" s="50">
        <v>0</v>
      </c>
    </row>
    <row r="91" s="50" customFormat="1" ht="11.25" hidden="1" customHeight="1">
      <c r="A91" s="844"/>
      <c r="B91" s="57"/>
      <c r="D91" s="854" t="s">
        <v>872</v>
      </c>
      <c r="E91" s="855" t="s">
        <v>912</v>
      </c>
      <c r="F91" s="146" t="s">
        <v>854</v>
      </c>
      <c r="G91" s="872"/>
      <c r="H91" s="857"/>
      <c r="I91" s="872"/>
      <c r="J91" s="857"/>
      <c r="K91" s="485"/>
      <c r="X91" s="50">
        <v>0</v>
      </c>
    </row>
    <row r="92" s="50" customFormat="1" ht="11.25" hidden="1" customHeight="1">
      <c r="A92" s="844"/>
      <c r="B92" s="57"/>
      <c r="D92" s="854" t="s">
        <v>874</v>
      </c>
      <c r="E92" s="855" t="s">
        <v>914</v>
      </c>
      <c r="F92" s="146" t="s">
        <v>854</v>
      </c>
      <c r="G92" s="872"/>
      <c r="H92" s="857"/>
      <c r="I92" s="872"/>
      <c r="J92" s="857"/>
      <c r="K92" s="485"/>
      <c r="X92" s="50">
        <v>0</v>
      </c>
    </row>
    <row r="93" s="50" customFormat="1" ht="11.25" hidden="1" customHeight="1">
      <c r="A93" s="844"/>
      <c r="B93" s="57"/>
      <c r="D93" s="854" t="s">
        <v>921</v>
      </c>
      <c r="E93" s="855" t="s">
        <v>916</v>
      </c>
      <c r="F93" s="146" t="s">
        <v>854</v>
      </c>
      <c r="G93" s="872"/>
      <c r="H93" s="857"/>
      <c r="I93" s="872"/>
      <c r="J93" s="857"/>
      <c r="K93" s="485"/>
      <c r="X93" s="50">
        <v>0</v>
      </c>
    </row>
    <row r="94" s="50" customFormat="1" ht="11.25" hidden="1" customHeight="1">
      <c r="A94" s="844"/>
      <c r="B94" s="57"/>
      <c r="D94" s="854" t="s">
        <v>922</v>
      </c>
      <c r="E94" s="855" t="s">
        <v>918</v>
      </c>
      <c r="F94" s="146" t="s">
        <v>854</v>
      </c>
      <c r="G94" s="872"/>
      <c r="H94" s="857"/>
      <c r="I94" s="872"/>
      <c r="J94" s="857"/>
      <c r="K94" s="485"/>
      <c r="X94" s="50">
        <v>0</v>
      </c>
    </row>
    <row r="95" s="50" customFormat="1" ht="24.75" hidden="1" customHeight="1">
      <c r="A95" s="844"/>
      <c r="B95" s="57"/>
      <c r="D95" s="854" t="s">
        <v>108</v>
      </c>
      <c r="E95" s="864" t="s">
        <v>923</v>
      </c>
      <c r="F95" s="873" t="s">
        <v>553</v>
      </c>
      <c r="G95" s="816"/>
      <c r="H95" s="857"/>
      <c r="I95" s="816"/>
      <c r="J95" s="857"/>
      <c r="K95" s="485" t="s">
        <v>924</v>
      </c>
      <c r="X95" s="50">
        <v>0</v>
      </c>
    </row>
    <row r="96" s="50" customFormat="1" ht="33.75" hidden="1" customHeight="1">
      <c r="A96" s="844"/>
      <c r="B96" s="57"/>
      <c r="D96" s="854" t="s">
        <v>92</v>
      </c>
      <c r="E96" s="864" t="s">
        <v>925</v>
      </c>
      <c r="F96" s="867" t="s">
        <v>815</v>
      </c>
      <c r="G96" s="874"/>
      <c r="H96" s="857"/>
      <c r="I96" s="874"/>
      <c r="J96" s="857"/>
      <c r="K96" s="485"/>
      <c r="X96" s="50">
        <v>0</v>
      </c>
    </row>
    <row r="97" s="50" customFormat="1" ht="22.5" hidden="1" customHeight="1">
      <c r="A97" s="844"/>
      <c r="B97" s="57" t="s">
        <v>583</v>
      </c>
      <c r="D97" s="854" t="s">
        <v>93</v>
      </c>
      <c r="E97" s="864" t="s">
        <v>926</v>
      </c>
      <c r="F97" s="867" t="s">
        <v>301</v>
      </c>
      <c r="G97" s="819"/>
      <c r="H97" s="857"/>
      <c r="I97" s="819"/>
      <c r="J97" s="857"/>
      <c r="K97" s="485" t="s">
        <v>626</v>
      </c>
      <c r="X97" s="50">
        <v>0</v>
      </c>
    </row>
    <row r="98" s="50" customFormat="1" ht="45" hidden="1" customHeight="1">
      <c r="A98" s="844"/>
      <c r="B98" s="57" t="s">
        <v>583</v>
      </c>
      <c r="D98" s="854" t="s">
        <v>927</v>
      </c>
      <c r="E98" s="862" t="s">
        <v>928</v>
      </c>
      <c r="F98" s="866" t="s">
        <v>301</v>
      </c>
      <c r="G98" s="819"/>
      <c r="H98" s="857"/>
      <c r="I98" s="819"/>
      <c r="J98" s="857"/>
      <c r="K98" s="485" t="s">
        <v>626</v>
      </c>
      <c r="X98" s="50">
        <v>0</v>
      </c>
    </row>
    <row r="99" s="50" customFormat="1" ht="95.25" hidden="1" customHeight="1">
      <c r="A99" s="844"/>
      <c r="B99" s="57" t="s">
        <v>583</v>
      </c>
      <c r="D99" s="854" t="s">
        <v>109</v>
      </c>
      <c r="E99" s="864" t="s">
        <v>929</v>
      </c>
      <c r="F99" s="866" t="s">
        <v>301</v>
      </c>
      <c r="G99" s="819"/>
      <c r="H99" s="857"/>
      <c r="I99" s="819"/>
      <c r="J99" s="857"/>
      <c r="K99" s="485" t="s">
        <v>626</v>
      </c>
      <c r="X99" s="50">
        <v>0</v>
      </c>
    </row>
    <row r="100" s="50" customFormat="1" ht="22.5" hidden="1" customHeight="1">
      <c r="A100" s="844"/>
      <c r="B100" s="57" t="s">
        <v>583</v>
      </c>
      <c r="D100" s="854" t="s">
        <v>145</v>
      </c>
      <c r="E100" s="864" t="s">
        <v>930</v>
      </c>
      <c r="F100" s="866" t="s">
        <v>301</v>
      </c>
      <c r="G100" s="819"/>
      <c r="H100" s="857"/>
      <c r="I100" s="819"/>
      <c r="J100" s="857"/>
      <c r="K100" s="485" t="s">
        <v>626</v>
      </c>
      <c r="X100" s="50">
        <v>0</v>
      </c>
    </row>
    <row r="101" s="50" customFormat="1" ht="11.5" customHeight="1">
      <c r="A101" s="124"/>
      <c r="B101" s="57"/>
      <c r="D101" s="395"/>
      <c r="E101" s="848"/>
      <c r="X101" s="50">
        <v>11</v>
      </c>
    </row>
    <row r="102" ht="22.5" hidden="1" customHeight="1">
      <c r="A102" s="124"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1" deleteRows="1" formatCells="1" formatColumns="0" formatRows="0" insertColumns="1" insertHyperlinks="1" insertRows="1" objects="0" pivotTables="1" scenarios="0" selectLockedCells="0" selectUnlockedCells="0" sheet="1" sort="1"/>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990046-002F-419F-ACC4-005700DF009D}"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8B0075-0012-465D-B3A8-0035003D0093}"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7C00E1-002B-4CF4-922A-000D001E001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B50027-0037-4718-82FE-00E300DB002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41004E-003E-4AAE-A223-00F8007E001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AA0064-0028-4595-8E09-00B30083007C}"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4" width="6.421875"/>
    <col customWidth="1" hidden="1" min="2" max="2" style="184" width="2.00390625"/>
    <col customWidth="1" min="3" max="3" style="184" width="3.00390625"/>
    <col customWidth="1" min="4" max="4" style="184" width="4.00390625"/>
    <col customWidth="1" min="5" max="5" style="184" width="44.00390625"/>
    <col customWidth="1" min="6" max="6" style="184" width="6.421875"/>
    <col customWidth="1" min="7" max="7" style="184" width="4.00390625"/>
    <col customWidth="1" min="8" max="8" style="184" width="5.00390625"/>
    <col customWidth="1" min="9" max="9" style="184" width="52.00390625"/>
    <col customWidth="1" min="10" max="10" style="184" width="7.00390625"/>
    <col customWidth="1" min="11" max="11" style="184" width="3.00390625"/>
    <col customWidth="1" min="12" max="12" style="184" width="6.00390625"/>
    <col customWidth="1" min="13" max="13" style="184" width="56.00390625"/>
    <col customWidth="1" min="14" max="14" style="151" width="8.00390625"/>
    <col hidden="1" min="15" max="20" style="129" width="9.140625"/>
    <col hidden="1" min="21" max="24" style="107" width="9.140625"/>
    <col hidden="1" min="25" max="37" style="151" width="9.140625"/>
    <col customWidth="1" min="38" max="38" style="151" width="8.00390625"/>
    <col hidden="1" min="39" max="39" style="184" width="9.140625"/>
  </cols>
  <sheetData>
    <row r="1" ht="11.25" hidden="1" customHeight="1">
      <c r="AM1" s="184" t="s">
        <v>14</v>
      </c>
    </row>
    <row r="2" ht="11.25" hidden="1" customHeight="1">
      <c r="AM2" s="184">
        <v>0</v>
      </c>
    </row>
    <row r="3" ht="11.5" customHeight="1">
      <c r="AM3" s="184">
        <v>11</v>
      </c>
    </row>
    <row r="4" ht="35.649999999999999" customHeight="1">
      <c r="A4" s="107"/>
      <c r="B4" s="107"/>
      <c r="D4" s="185" t="str">
        <f>Титульный!E5</f>
        <v xml:space="preserve">Информация об инвестиционных программах регулируемой организации в области теплоснабжения</v>
      </c>
      <c r="E4" s="186"/>
      <c r="F4" s="186"/>
      <c r="G4" s="186"/>
      <c r="H4" s="186"/>
      <c r="I4" s="187"/>
      <c r="J4" s="151"/>
      <c r="K4" s="151"/>
      <c r="L4" s="151"/>
      <c r="M4" s="151"/>
      <c r="AM4" s="184">
        <v>34</v>
      </c>
    </row>
    <row r="5" s="188" customFormat="1" ht="14.65" customHeight="1">
      <c r="A5" s="107"/>
      <c r="B5" s="107"/>
      <c r="C5" s="107"/>
      <c r="D5" s="189" t="str">
        <f>IF(org=0,"Не определено",org)</f>
        <v xml:space="preserve">АО "ДГК" СП "Биробиджанская ТЭЦ"</v>
      </c>
      <c r="E5" s="190"/>
      <c r="F5" s="190"/>
      <c r="G5" s="190"/>
      <c r="H5" s="190"/>
      <c r="I5" s="191"/>
      <c r="J5" s="192"/>
      <c r="K5" s="192"/>
      <c r="L5" s="192"/>
      <c r="M5" s="192"/>
      <c r="N5" s="192"/>
      <c r="O5" s="193"/>
      <c r="P5" s="193"/>
      <c r="Q5" s="193"/>
      <c r="R5" s="193"/>
      <c r="S5" s="193"/>
      <c r="T5" s="193"/>
      <c r="U5" s="194"/>
      <c r="V5" s="194"/>
      <c r="W5" s="194"/>
      <c r="X5" s="194"/>
      <c r="Y5" s="192"/>
      <c r="Z5" s="192"/>
      <c r="AA5" s="192"/>
      <c r="AB5" s="192"/>
      <c r="AC5" s="192"/>
      <c r="AD5" s="192"/>
      <c r="AE5" s="192"/>
      <c r="AF5" s="192"/>
      <c r="AG5" s="192"/>
      <c r="AH5" s="192"/>
      <c r="AI5" s="192"/>
      <c r="AJ5" s="192"/>
      <c r="AK5" s="192"/>
      <c r="AL5" s="192"/>
      <c r="AM5" s="188">
        <v>14</v>
      </c>
    </row>
    <row r="6" s="188" customFormat="1" ht="6.2999999999999998" customHeight="1">
      <c r="A6" s="51"/>
      <c r="B6" s="51"/>
      <c r="C6" s="51"/>
      <c r="D6" s="51"/>
      <c r="E6" s="51"/>
      <c r="F6" s="51"/>
      <c r="G6" s="50"/>
      <c r="H6" s="50"/>
      <c r="I6" s="50"/>
      <c r="J6" s="50"/>
      <c r="K6" s="50"/>
      <c r="N6" s="192"/>
      <c r="O6" s="193"/>
      <c r="P6" s="193"/>
      <c r="Q6" s="193"/>
      <c r="R6" s="193"/>
      <c r="S6" s="193"/>
      <c r="T6" s="193"/>
      <c r="U6" s="194"/>
      <c r="V6" s="194"/>
      <c r="W6" s="194"/>
      <c r="X6" s="194"/>
      <c r="Y6" s="192"/>
      <c r="Z6" s="192"/>
      <c r="AA6" s="192"/>
      <c r="AB6" s="192"/>
      <c r="AC6" s="192"/>
      <c r="AD6" s="192"/>
      <c r="AE6" s="192"/>
      <c r="AF6" s="192"/>
      <c r="AG6" s="192"/>
      <c r="AH6" s="192"/>
      <c r="AI6" s="192"/>
      <c r="AJ6" s="192"/>
      <c r="AK6" s="192"/>
      <c r="AL6" s="192"/>
      <c r="AM6" s="188">
        <v>6</v>
      </c>
    </row>
    <row r="7" ht="45.75" hidden="1" customHeight="1">
      <c r="E7" s="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
      <c r="G7" s="196"/>
      <c r="H7" s="196"/>
      <c r="I7" s="196"/>
      <c r="J7" s="196"/>
      <c r="K7" s="196"/>
      <c r="L7" s="196"/>
      <c r="M7" s="196"/>
      <c r="AM7" s="184">
        <v>0</v>
      </c>
    </row>
    <row r="8" s="188" customFormat="1" ht="6.2999999999999998" customHeight="1">
      <c r="A8" s="197"/>
      <c r="B8" s="197"/>
      <c r="C8" s="197"/>
      <c r="D8" s="197"/>
      <c r="E8" s="197"/>
      <c r="F8" s="197"/>
      <c r="G8" s="197"/>
      <c r="H8" s="197"/>
      <c r="I8" s="197"/>
      <c r="J8" s="197"/>
      <c r="K8" s="197"/>
      <c r="L8" s="197"/>
      <c r="M8" s="188"/>
      <c r="N8" s="192"/>
      <c r="O8" s="193"/>
      <c r="P8" s="193"/>
      <c r="Q8" s="193"/>
      <c r="R8" s="193"/>
      <c r="S8" s="193"/>
      <c r="T8" s="193"/>
      <c r="U8" s="194"/>
      <c r="V8" s="194"/>
      <c r="W8" s="194"/>
      <c r="X8" s="194"/>
      <c r="Y8" s="192"/>
      <c r="Z8" s="192"/>
      <c r="AA8" s="192"/>
      <c r="AB8" s="192"/>
      <c r="AC8" s="192"/>
      <c r="AD8" s="192"/>
      <c r="AE8" s="192"/>
      <c r="AF8" s="192"/>
      <c r="AG8" s="192"/>
      <c r="AH8" s="192"/>
      <c r="AI8" s="192"/>
      <c r="AJ8" s="192"/>
      <c r="AK8" s="192"/>
      <c r="AL8" s="192"/>
      <c r="AM8" s="188">
        <v>6</v>
      </c>
    </row>
    <row r="9" ht="18.75" customHeight="1">
      <c r="A9" s="198"/>
      <c r="B9" s="50"/>
      <c r="C9" s="50"/>
      <c r="D9" s="157" t="s">
        <v>102</v>
      </c>
      <c r="E9" s="157"/>
      <c r="F9" s="199" t="s">
        <v>103</v>
      </c>
      <c r="G9" s="200"/>
      <c r="H9" s="200"/>
      <c r="I9" s="200"/>
      <c r="J9" s="201" t="s">
        <v>104</v>
      </c>
      <c r="K9" s="201"/>
      <c r="L9" s="201"/>
      <c r="M9" s="201"/>
      <c r="AM9" s="184">
        <v>18</v>
      </c>
    </row>
    <row r="10" ht="24" customHeight="1">
      <c r="A10" s="198"/>
      <c r="B10" s="51"/>
      <c r="C10" s="202"/>
      <c r="D10" s="157" t="s">
        <v>88</v>
      </c>
      <c r="E10" s="157" t="s">
        <v>89</v>
      </c>
      <c r="F10" s="157" t="s">
        <v>105</v>
      </c>
      <c r="G10" s="203" t="s">
        <v>88</v>
      </c>
      <c r="H10" s="204"/>
      <c r="I10" s="157" t="s">
        <v>89</v>
      </c>
      <c r="J10" s="157" t="s">
        <v>105</v>
      </c>
      <c r="K10" s="203" t="s">
        <v>88</v>
      </c>
      <c r="L10" s="204"/>
      <c r="M10" s="157" t="s">
        <v>89</v>
      </c>
      <c r="N10" s="205"/>
      <c r="AM10" s="184">
        <v>23</v>
      </c>
    </row>
    <row r="11" s="184" customFormat="1" ht="11.25" hidden="1" customHeight="1">
      <c r="A11" s="206"/>
      <c r="B11" s="206"/>
      <c r="C11" s="206"/>
      <c r="D11" s="207" t="s">
        <v>106</v>
      </c>
      <c r="E11" s="207" t="s">
        <v>107</v>
      </c>
      <c r="F11" s="207" t="s">
        <v>90</v>
      </c>
      <c r="G11" s="208" t="s">
        <v>91</v>
      </c>
      <c r="H11" s="209"/>
      <c r="I11" s="207" t="s">
        <v>108</v>
      </c>
      <c r="J11" s="207" t="s">
        <v>92</v>
      </c>
      <c r="K11" s="210" t="s">
        <v>93</v>
      </c>
      <c r="L11" s="211"/>
      <c r="M11" s="207" t="s">
        <v>109</v>
      </c>
      <c r="N11" s="205"/>
      <c r="O11" s="129"/>
      <c r="P11" s="129"/>
      <c r="Q11" s="129"/>
      <c r="R11" s="129"/>
      <c r="S11" s="129"/>
      <c r="T11" s="129"/>
      <c r="U11" s="107"/>
      <c r="V11" s="107"/>
      <c r="W11" s="107"/>
      <c r="X11" s="107"/>
      <c r="Y11" s="151"/>
      <c r="Z11" s="151"/>
      <c r="AA11" s="151"/>
      <c r="AB11" s="151"/>
      <c r="AC11" s="151"/>
      <c r="AD11" s="151"/>
      <c r="AE11" s="151"/>
      <c r="AF11" s="151"/>
      <c r="AG11" s="151"/>
      <c r="AH11" s="151"/>
      <c r="AI11" s="151"/>
      <c r="AJ11" s="151"/>
      <c r="AK11" s="151"/>
      <c r="AL11" s="151"/>
      <c r="AM11" s="184">
        <v>0</v>
      </c>
    </row>
    <row r="12" ht="1.05" customHeight="1">
      <c r="A12" s="212"/>
      <c r="B12" s="51"/>
      <c r="C12" s="51"/>
      <c r="D12" s="213"/>
      <c r="E12" s="214"/>
      <c r="F12" s="214"/>
      <c r="G12" s="215"/>
      <c r="H12" s="215"/>
      <c r="I12" s="214"/>
      <c r="J12" s="214"/>
      <c r="K12" s="216"/>
      <c r="L12" s="214"/>
      <c r="M12" s="217"/>
      <c r="N12" s="205"/>
      <c r="O12" s="129" t="s">
        <v>110</v>
      </c>
      <c r="P12" s="129" t="s">
        <v>111</v>
      </c>
      <c r="Q12" s="129" t="s">
        <v>112</v>
      </c>
      <c r="R12" s="129" t="s">
        <v>113</v>
      </c>
      <c r="AM12" s="184">
        <v>1</v>
      </c>
    </row>
    <row r="13" s="184" customFormat="1" ht="15.75" customHeight="1">
      <c r="A13" s="63"/>
      <c r="B13" s="63"/>
      <c r="C13" s="128"/>
      <c r="D13" s="218" t="s">
        <v>106</v>
      </c>
      <c r="E13" s="219"/>
      <c r="F13" s="220" t="s">
        <v>65</v>
      </c>
      <c r="G13" s="221"/>
      <c r="H13" s="222">
        <v>1</v>
      </c>
      <c r="I13" s="223" t="str">
        <f>IF(U13="","",INDEX(TERRITORY_MR_LIST,MATCH(U13,TERRITORY_LIST_ID,0)))</f>
        <v/>
      </c>
      <c r="J13" s="224" t="s">
        <v>19</v>
      </c>
      <c r="K13" s="225"/>
      <c r="L13" s="218" t="s">
        <v>106</v>
      </c>
      <c r="M13" s="226" t="s">
        <v>22</v>
      </c>
      <c r="N13" s="205"/>
      <c r="O13" s="129" t="s">
        <v>114</v>
      </c>
      <c r="P13" s="129">
        <f>$E$13</f>
        <v>0</v>
      </c>
      <c r="Q13" s="129" t="str">
        <f>IF($F$13="нет","без дифференциации",$I$13)</f>
        <v/>
      </c>
      <c r="R13" s="129" t="str">
        <f>IF($J$13="нет","без дифференциации",M13)</f>
        <v xml:space="preserve">без дифференциации</v>
      </c>
      <c r="S13" s="129"/>
      <c r="T13" s="129"/>
      <c r="U13" s="107"/>
      <c r="V13" s="107"/>
      <c r="W13" s="107"/>
      <c r="X13" s="107"/>
      <c r="Y13" s="151" t="s">
        <v>115</v>
      </c>
      <c r="Z13" s="151">
        <v>1705000</v>
      </c>
      <c r="AA13" s="151"/>
      <c r="AB13" s="151"/>
      <c r="AC13" s="151"/>
      <c r="AD13" s="151"/>
      <c r="AE13" s="151"/>
      <c r="AF13" s="151"/>
      <c r="AG13" s="151"/>
      <c r="AH13" s="151"/>
      <c r="AI13" s="151"/>
      <c r="AJ13" s="151"/>
      <c r="AK13" s="151"/>
      <c r="AL13" s="151"/>
      <c r="AM13" s="184">
        <v>15</v>
      </c>
    </row>
    <row r="14" s="184" customFormat="1" ht="15.75" customHeight="1">
      <c r="A14" s="63"/>
      <c r="B14" s="63"/>
      <c r="C14" s="149"/>
      <c r="D14" s="218"/>
      <c r="E14" s="227"/>
      <c r="F14" s="224"/>
      <c r="G14" s="221"/>
      <c r="H14" s="222"/>
      <c r="I14" s="228"/>
      <c r="J14" s="224"/>
      <c r="K14" s="170"/>
      <c r="L14" s="171"/>
      <c r="M14" s="229" t="s">
        <v>116</v>
      </c>
      <c r="N14" s="205"/>
      <c r="O14" s="129"/>
      <c r="P14" s="129"/>
      <c r="Q14" s="129"/>
      <c r="R14" s="129"/>
      <c r="S14" s="129"/>
      <c r="T14" s="129"/>
      <c r="U14" s="107"/>
      <c r="V14" s="107"/>
      <c r="W14" s="107"/>
      <c r="X14" s="107"/>
      <c r="Y14" s="151"/>
      <c r="Z14" s="151"/>
      <c r="AA14" s="151"/>
      <c r="AB14" s="151"/>
      <c r="AC14" s="151"/>
      <c r="AD14" s="151"/>
      <c r="AE14" s="151"/>
      <c r="AF14" s="151"/>
      <c r="AG14" s="151"/>
      <c r="AH14" s="151"/>
      <c r="AI14" s="151"/>
      <c r="AJ14" s="151"/>
      <c r="AK14" s="151"/>
      <c r="AL14" s="151"/>
      <c r="AM14" s="184">
        <v>15</v>
      </c>
    </row>
    <row r="15" s="184" customFormat="1" ht="15.75" customHeight="1">
      <c r="A15" s="63"/>
      <c r="B15" s="63"/>
      <c r="C15" s="149"/>
      <c r="D15" s="218"/>
      <c r="E15" s="230"/>
      <c r="F15" s="224"/>
      <c r="G15" s="231"/>
      <c r="H15" s="232"/>
      <c r="I15" s="172" t="s">
        <v>117</v>
      </c>
      <c r="J15" s="171"/>
      <c r="K15" s="171"/>
      <c r="L15" s="171"/>
      <c r="M15" s="233"/>
      <c r="N15" s="205"/>
      <c r="O15" s="129"/>
      <c r="P15" s="129"/>
      <c r="Q15" s="129"/>
      <c r="R15" s="129"/>
      <c r="S15" s="129"/>
      <c r="T15" s="129"/>
      <c r="U15" s="107"/>
      <c r="V15" s="107"/>
      <c r="W15" s="107"/>
      <c r="X15" s="107"/>
      <c r="Y15" s="151"/>
      <c r="Z15" s="151"/>
      <c r="AA15" s="151"/>
      <c r="AB15" s="151"/>
      <c r="AC15" s="151"/>
      <c r="AD15" s="151"/>
      <c r="AE15" s="151"/>
      <c r="AF15" s="151"/>
      <c r="AG15" s="151"/>
      <c r="AH15" s="151"/>
      <c r="AI15" s="151"/>
      <c r="AJ15" s="151"/>
      <c r="AK15" s="151"/>
      <c r="AL15" s="151"/>
      <c r="AM15" s="184">
        <v>15</v>
      </c>
    </row>
    <row r="16" ht="15.75" customHeight="1">
      <c r="A16" s="234"/>
      <c r="B16" s="60"/>
      <c r="C16" s="125"/>
      <c r="D16" s="170"/>
      <c r="E16" s="235" t="s">
        <v>118</v>
      </c>
      <c r="F16" s="171"/>
      <c r="G16" s="171"/>
      <c r="H16" s="171"/>
      <c r="I16" s="171"/>
      <c r="J16" s="171"/>
      <c r="K16" s="171" t="s">
        <v>22</v>
      </c>
      <c r="L16" s="171"/>
      <c r="M16" s="233"/>
      <c r="N16" s="205"/>
      <c r="AM16" s="184">
        <v>15</v>
      </c>
    </row>
    <row r="17" ht="11.25" hidden="1" customHeight="1">
      <c r="A17" s="184" t="s">
        <v>82</v>
      </c>
      <c r="B17" s="184">
        <v>0</v>
      </c>
      <c r="C17" s="184">
        <v>3</v>
      </c>
      <c r="D17" s="184">
        <v>4</v>
      </c>
      <c r="E17" s="184">
        <v>44</v>
      </c>
      <c r="F17" s="184">
        <v>6</v>
      </c>
      <c r="G17" s="184">
        <v>4</v>
      </c>
      <c r="H17" s="184">
        <v>5</v>
      </c>
      <c r="I17" s="184">
        <v>52</v>
      </c>
      <c r="J17" s="184">
        <v>6</v>
      </c>
      <c r="K17" s="184">
        <v>3</v>
      </c>
      <c r="L17" s="184">
        <v>6</v>
      </c>
      <c r="M17" s="184">
        <v>56</v>
      </c>
      <c r="N17" s="151">
        <v>8</v>
      </c>
      <c r="O17" s="129">
        <v>0</v>
      </c>
      <c r="P17" s="129">
        <v>0</v>
      </c>
      <c r="Q17" s="129">
        <v>0</v>
      </c>
      <c r="R17" s="129">
        <v>0</v>
      </c>
      <c r="S17" s="129">
        <v>0</v>
      </c>
      <c r="T17" s="129">
        <v>0</v>
      </c>
      <c r="U17" s="107">
        <v>0</v>
      </c>
      <c r="V17" s="107">
        <v>0</v>
      </c>
      <c r="W17" s="107">
        <v>0</v>
      </c>
      <c r="X17" s="107">
        <v>0</v>
      </c>
      <c r="Y17" s="151">
        <v>0</v>
      </c>
      <c r="Z17" s="151">
        <v>0</v>
      </c>
      <c r="AA17" s="151">
        <v>0</v>
      </c>
      <c r="AB17" s="151">
        <v>0</v>
      </c>
      <c r="AC17" s="151">
        <v>0</v>
      </c>
      <c r="AD17" s="151">
        <v>0</v>
      </c>
      <c r="AE17" s="151">
        <v>0</v>
      </c>
      <c r="AF17" s="151">
        <v>0</v>
      </c>
      <c r="AG17" s="151">
        <v>0</v>
      </c>
      <c r="AH17" s="151">
        <v>0</v>
      </c>
      <c r="AI17" s="151">
        <v>0</v>
      </c>
      <c r="AJ17" s="151">
        <v>0</v>
      </c>
      <c r="AK17" s="151">
        <v>0</v>
      </c>
      <c r="AL17" s="151">
        <v>8</v>
      </c>
      <c r="AM17" s="184">
        <v>11</v>
      </c>
    </row>
  </sheetData>
  <sheetProtection autoFilter="0" deleteColumns="1" deleteRows="1" formatCells="1" formatColumns="0" formatRows="0" insertColumns="1" insertHyperlinks="1" insertRows="1" objects="0" pivotTables="1" scenarios="0" selectLockedCells="0" selectUnlockedCells="0" sheet="1" sort="1"/>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6F00F4-009C-42C2-9A29-00A200870009}"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3" customFormat="1" ht="15" hidden="1" customHeight="1">
      <c r="C2" s="114"/>
      <c r="U2" s="166"/>
      <c r="V2" s="53">
        <v>0</v>
      </c>
    </row>
    <row r="3" ht="22.5" hidden="1" customHeight="1">
      <c r="A3" s="50"/>
      <c r="B3" s="60"/>
      <c r="C3" s="875" t="s">
        <v>684</v>
      </c>
      <c r="D3" s="876" t="str">
        <f>B3&amp;".1"</f>
        <v>.1</v>
      </c>
      <c r="E3" s="379" t="s">
        <v>931</v>
      </c>
      <c r="F3" s="72" t="s">
        <v>301</v>
      </c>
      <c r="G3" s="679"/>
      <c r="H3" s="758"/>
      <c r="I3" s="679"/>
      <c r="J3" s="758"/>
      <c r="K3" s="485" t="s">
        <v>932</v>
      </c>
      <c r="V3" s="50">
        <v>0</v>
      </c>
    </row>
    <row r="4" ht="15" hidden="1" customHeight="1">
      <c r="A4" s="50"/>
      <c r="B4" s="60"/>
      <c r="C4" s="875"/>
      <c r="D4" s="876" t="str">
        <f>B3&amp;".2"</f>
        <v>.2</v>
      </c>
      <c r="E4" s="379" t="s">
        <v>933</v>
      </c>
      <c r="F4" s="72" t="s">
        <v>301</v>
      </c>
      <c r="G4" s="877" t="s">
        <v>22</v>
      </c>
      <c r="H4" s="758"/>
      <c r="I4" s="877" t="s">
        <v>22</v>
      </c>
      <c r="J4" s="758"/>
      <c r="K4" s="485" t="s">
        <v>934</v>
      </c>
      <c r="V4" s="50">
        <v>0</v>
      </c>
    </row>
    <row r="5" s="53" customFormat="1" ht="15" hidden="1" customHeight="1">
      <c r="C5" s="114"/>
      <c r="U5" s="166"/>
      <c r="V5" s="53">
        <v>0</v>
      </c>
    </row>
    <row r="6" ht="22.5" hidden="1" customHeight="1">
      <c r="A6" s="50"/>
      <c r="B6" s="60"/>
      <c r="C6" s="875" t="s">
        <v>684</v>
      </c>
      <c r="D6" s="876" t="str">
        <f>B6&amp;".1"</f>
        <v>.1</v>
      </c>
      <c r="E6" s="379" t="s">
        <v>935</v>
      </c>
      <c r="F6" s="72" t="s">
        <v>301</v>
      </c>
      <c r="G6" s="679"/>
      <c r="H6" s="758"/>
      <c r="I6" s="679"/>
      <c r="J6" s="758"/>
      <c r="K6" s="485" t="s">
        <v>936</v>
      </c>
      <c r="V6" s="50">
        <v>0</v>
      </c>
    </row>
    <row r="7" ht="15" hidden="1" customHeight="1">
      <c r="A7" s="50"/>
      <c r="B7" s="60"/>
      <c r="C7" s="875"/>
      <c r="D7" s="876" t="str">
        <f>B6&amp;".2"</f>
        <v>.2</v>
      </c>
      <c r="E7" s="379" t="s">
        <v>933</v>
      </c>
      <c r="F7" s="72" t="s">
        <v>301</v>
      </c>
      <c r="G7" s="877" t="s">
        <v>22</v>
      </c>
      <c r="H7" s="758"/>
      <c r="I7" s="877" t="s">
        <v>22</v>
      </c>
      <c r="J7" s="758"/>
      <c r="K7" s="485" t="s">
        <v>934</v>
      </c>
      <c r="V7" s="50">
        <v>0</v>
      </c>
    </row>
    <row r="8" s="53" customFormat="1" ht="15" hidden="1" customHeight="1">
      <c r="C8" s="114"/>
      <c r="U8" s="166"/>
      <c r="V8" s="53">
        <v>0</v>
      </c>
    </row>
    <row r="9" ht="22.5" hidden="1" customHeight="1">
      <c r="A9" s="50"/>
      <c r="B9" s="60"/>
      <c r="C9" s="875" t="s">
        <v>684</v>
      </c>
      <c r="D9" s="876" t="str">
        <f>B9&amp;".1"</f>
        <v>.1</v>
      </c>
      <c r="E9" s="379" t="s">
        <v>937</v>
      </c>
      <c r="F9" s="72" t="s">
        <v>301</v>
      </c>
      <c r="G9" s="383" t="s">
        <v>22</v>
      </c>
      <c r="H9" s="758" t="s">
        <v>22</v>
      </c>
      <c r="I9" s="383" t="s">
        <v>22</v>
      </c>
      <c r="J9" s="758" t="s">
        <v>22</v>
      </c>
      <c r="K9" s="485"/>
      <c r="V9" s="50">
        <v>0</v>
      </c>
    </row>
    <row r="10" ht="15" hidden="1" customHeight="1">
      <c r="A10" s="50"/>
      <c r="B10" s="60"/>
      <c r="C10" s="875"/>
      <c r="D10" s="876" t="str">
        <f>B9&amp;".2"</f>
        <v>.2</v>
      </c>
      <c r="E10" s="379" t="s">
        <v>938</v>
      </c>
      <c r="F10" s="72" t="s">
        <v>301</v>
      </c>
      <c r="G10" s="89" t="s">
        <v>22</v>
      </c>
      <c r="H10" s="758" t="s">
        <v>22</v>
      </c>
      <c r="I10" s="89" t="s">
        <v>22</v>
      </c>
      <c r="J10" s="758" t="s">
        <v>22</v>
      </c>
      <c r="K10" s="485" t="s">
        <v>939</v>
      </c>
      <c r="V10" s="50">
        <v>0</v>
      </c>
    </row>
    <row r="11" ht="15" hidden="1" customHeight="1">
      <c r="A11" s="50"/>
      <c r="B11" s="60"/>
      <c r="C11" s="875"/>
      <c r="D11" s="876" t="str">
        <f>B9&amp;".3"</f>
        <v>.3</v>
      </c>
      <c r="E11" s="379" t="s">
        <v>940</v>
      </c>
      <c r="F11" s="72" t="s">
        <v>301</v>
      </c>
      <c r="G11" s="89" t="s">
        <v>22</v>
      </c>
      <c r="H11" s="758" t="s">
        <v>22</v>
      </c>
      <c r="I11" s="89" t="s">
        <v>22</v>
      </c>
      <c r="J11" s="758" t="s">
        <v>22</v>
      </c>
      <c r="K11" s="485" t="s">
        <v>941</v>
      </c>
      <c r="V11" s="50">
        <v>0</v>
      </c>
    </row>
    <row r="12" s="53" customFormat="1" ht="15" hidden="1" customHeight="1">
      <c r="C12" s="114"/>
      <c r="U12" s="166"/>
      <c r="V12" s="53">
        <v>0</v>
      </c>
    </row>
    <row r="13" ht="33.75" hidden="1" customHeight="1">
      <c r="A13" s="50"/>
      <c r="B13" s="60"/>
      <c r="C13" s="875" t="s">
        <v>684</v>
      </c>
      <c r="D13" s="876" t="str">
        <f>B13&amp;".1"</f>
        <v>.1</v>
      </c>
      <c r="E13" s="379" t="s">
        <v>942</v>
      </c>
      <c r="F13" s="72" t="s">
        <v>301</v>
      </c>
      <c r="G13" s="383" t="s">
        <v>22</v>
      </c>
      <c r="H13" s="758" t="s">
        <v>22</v>
      </c>
      <c r="I13" s="383" t="s">
        <v>22</v>
      </c>
      <c r="J13" s="758" t="s">
        <v>22</v>
      </c>
      <c r="K13" s="485" t="s">
        <v>943</v>
      </c>
      <c r="V13" s="50">
        <v>0</v>
      </c>
    </row>
    <row r="14" ht="15" hidden="1" customHeight="1">
      <c r="B14" s="60"/>
      <c r="C14" s="875"/>
      <c r="D14" s="876" t="str">
        <f>B13&amp;".2"</f>
        <v>.2</v>
      </c>
      <c r="E14" s="379" t="s">
        <v>944</v>
      </c>
      <c r="F14" s="72" t="s">
        <v>301</v>
      </c>
      <c r="G14" s="89" t="s">
        <v>22</v>
      </c>
      <c r="H14" s="758" t="s">
        <v>22</v>
      </c>
      <c r="I14" s="89" t="s">
        <v>22</v>
      </c>
      <c r="J14" s="758" t="s">
        <v>22</v>
      </c>
      <c r="K14" s="485" t="s">
        <v>945</v>
      </c>
      <c r="V14" s="50">
        <v>0</v>
      </c>
    </row>
    <row r="15" s="53" customFormat="1" ht="15" hidden="1" customHeight="1">
      <c r="C15" s="114"/>
      <c r="U15" s="166"/>
      <c r="V15" s="53">
        <v>0</v>
      </c>
    </row>
    <row r="16" s="53" customFormat="1" ht="15" hidden="1" customHeight="1">
      <c r="C16" s="114"/>
      <c r="U16" s="166"/>
      <c r="V16" s="53">
        <v>0</v>
      </c>
    </row>
    <row r="17" s="53" customFormat="1" ht="15" hidden="1" customHeight="1">
      <c r="C17" s="114"/>
      <c r="U17" s="166"/>
      <c r="V17" s="53">
        <v>0</v>
      </c>
    </row>
    <row r="18" s="53" customFormat="1" ht="15" hidden="1" customHeight="1">
      <c r="C18" s="114"/>
      <c r="U18" s="166"/>
      <c r="V18" s="53">
        <v>0</v>
      </c>
    </row>
    <row r="19" s="53" customFormat="1" ht="15" hidden="1" customHeight="1">
      <c r="C19" s="114"/>
      <c r="U19" s="166"/>
      <c r="V19" s="53">
        <v>0</v>
      </c>
    </row>
    <row r="20" s="53" customFormat="1" ht="15" hidden="1" customHeight="1">
      <c r="C20" s="114"/>
      <c r="U20" s="166"/>
      <c r="V20" s="53">
        <v>0</v>
      </c>
    </row>
    <row r="21" ht="15.75" customHeight="1">
      <c r="C21" s="149"/>
      <c r="D21" s="50"/>
      <c r="E21" s="50"/>
      <c r="F21" s="50"/>
      <c r="G21" s="50"/>
      <c r="H21" s="50"/>
      <c r="I21" s="50"/>
      <c r="J21" s="50"/>
      <c r="V21" s="50">
        <v>15</v>
      </c>
    </row>
    <row r="22" ht="23.25" customHeight="1">
      <c r="C22" s="149"/>
      <c r="D22" s="452"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52"/>
      <c r="F22" s="452"/>
      <c r="G22" s="452"/>
      <c r="H22" s="452"/>
      <c r="I22" s="452"/>
      <c r="J22" s="86"/>
      <c r="K22" s="53"/>
      <c r="V22" s="50">
        <v>22</v>
      </c>
    </row>
    <row r="23" ht="15.75" customHeight="1">
      <c r="C23" s="149"/>
      <c r="D23" s="303" t="str">
        <f>IF(org=0,"Не определено",org)</f>
        <v xml:space="preserve">АО "ДГК" СП "Биробиджанская ТЭЦ"</v>
      </c>
      <c r="E23" s="303"/>
      <c r="F23" s="303"/>
      <c r="G23" s="303"/>
      <c r="H23" s="303"/>
      <c r="I23" s="303"/>
      <c r="J23" s="86"/>
      <c r="K23" s="53"/>
      <c r="V23" s="50">
        <v>15</v>
      </c>
    </row>
    <row r="24" ht="15.75" customHeight="1">
      <c r="C24" s="149"/>
      <c r="D24" s="50"/>
      <c r="E24" s="50"/>
      <c r="F24" s="50"/>
      <c r="G24" s="53">
        <v>22</v>
      </c>
      <c r="H24" s="341"/>
      <c r="I24" s="53">
        <v>22</v>
      </c>
      <c r="J24" s="341"/>
      <c r="V24" s="50">
        <v>15</v>
      </c>
    </row>
    <row r="25" s="50" customFormat="1" ht="1.05" customHeight="1">
      <c r="A25" s="56"/>
      <c r="C25" s="149"/>
      <c r="D25" s="50"/>
      <c r="E25" s="50"/>
      <c r="F25" s="50"/>
      <c r="G25" s="53"/>
      <c r="H25" s="341"/>
      <c r="I25" s="53" t="s">
        <v>114</v>
      </c>
      <c r="J25" s="341"/>
      <c r="K25" s="53"/>
      <c r="U25" s="115"/>
      <c r="V25" s="50">
        <v>1</v>
      </c>
    </row>
    <row r="26" ht="15.75" customHeight="1">
      <c r="C26" s="149"/>
      <c r="D26" s="721"/>
      <c r="E26" s="722" t="s">
        <v>102</v>
      </c>
      <c r="F26" s="723"/>
      <c r="G26" s="878" t="str">
        <f>IF(G25="","",INDEX(DIFFERENTIATION_UNMERGE_VD,MATCH(G25,DIFFERENTIATION_ID_DIFF,0)))</f>
        <v/>
      </c>
      <c r="H26" s="879"/>
      <c r="I26" s="878">
        <f>IF(I25="","",INDEX(DIFFERENTIATION_UNMERGE_VD,MATCH(I25,DIFFERENTIATION_ID_DIFF,0)))</f>
        <v>0</v>
      </c>
      <c r="J26" s="879"/>
      <c r="K26" s="307" t="s">
        <v>296</v>
      </c>
      <c r="V26" s="50">
        <v>15</v>
      </c>
    </row>
    <row r="27" s="50" customFormat="1" ht="15.75" customHeight="1">
      <c r="A27" s="56"/>
      <c r="C27" s="149"/>
      <c r="D27" s="721"/>
      <c r="E27" s="722" t="s">
        <v>559</v>
      </c>
      <c r="F27" s="723"/>
      <c r="G27" s="878" t="str">
        <f>IF(G25="","",INDEX(DIFFERENTIATION_UNMERGE_AREA,MATCH(G25,DIFFERENTIATION_ID_DIFF,0)))</f>
        <v/>
      </c>
      <c r="H27" s="879"/>
      <c r="I27" s="878" t="str">
        <f>IF(I25="","",INDEX(DIFFERENTIATION_UNMERGE_AREA,MATCH(I25,DIFFERENTIATION_ID_DIFF,0)))</f>
        <v/>
      </c>
      <c r="J27" s="879"/>
      <c r="K27" s="309"/>
      <c r="U27" s="115"/>
      <c r="V27" s="50">
        <v>15</v>
      </c>
    </row>
    <row r="28" s="50" customFormat="1" ht="15.75" customHeight="1">
      <c r="A28" s="56"/>
      <c r="C28" s="149"/>
      <c r="D28" s="721"/>
      <c r="E28" s="722" t="s">
        <v>560</v>
      </c>
      <c r="F28" s="723"/>
      <c r="G28" s="878" t="str">
        <f>IF(G25="","",INDEX(DIFFERENTIATION_UNMERGE_SYSTEM,MATCH(G25,DIFFERENTIATION_ID_DIFF,0)))</f>
        <v/>
      </c>
      <c r="H28" s="879"/>
      <c r="I28" s="878" t="str">
        <f>IF(I25="","",INDEX(DIFFERENTIATION_UNMERGE_SYSTEM,MATCH(I25,DIFFERENTIATION_ID_DIFF,0)))</f>
        <v xml:space="preserve">без дифференциации</v>
      </c>
      <c r="J28" s="879"/>
      <c r="K28" s="309"/>
      <c r="U28" s="115"/>
      <c r="V28" s="50">
        <v>15</v>
      </c>
    </row>
    <row r="29" s="50" customFormat="1" ht="15.75" customHeight="1">
      <c r="A29" s="56"/>
      <c r="C29" s="149"/>
      <c r="D29" s="725" t="s">
        <v>295</v>
      </c>
      <c r="E29" s="726"/>
      <c r="F29" s="726"/>
      <c r="G29" s="722"/>
      <c r="H29" s="722"/>
      <c r="I29" s="722"/>
      <c r="J29" s="723"/>
      <c r="K29" s="309"/>
      <c r="U29" s="115"/>
      <c r="V29" s="50">
        <v>15</v>
      </c>
    </row>
    <row r="30" ht="35.649999999999999" customHeight="1">
      <c r="C30" s="149"/>
      <c r="D30" s="157" t="s">
        <v>88</v>
      </c>
      <c r="E30" s="157" t="s">
        <v>297</v>
      </c>
      <c r="F30" s="157" t="s">
        <v>561</v>
      </c>
      <c r="G30" s="73" t="s">
        <v>298</v>
      </c>
      <c r="H30" s="157" t="s">
        <v>385</v>
      </c>
      <c r="I30" s="73" t="s">
        <v>298</v>
      </c>
      <c r="J30" s="157" t="s">
        <v>385</v>
      </c>
      <c r="K30" s="311"/>
      <c r="V30" s="50">
        <v>34</v>
      </c>
    </row>
    <row r="31" ht="15" hidden="1" customHeight="1">
      <c r="C31" s="149"/>
      <c r="D31" s="206"/>
      <c r="E31" s="206"/>
      <c r="F31" s="206"/>
      <c r="G31" s="149"/>
      <c r="H31" s="149"/>
      <c r="I31" s="149"/>
      <c r="J31" s="149"/>
      <c r="K31" s="485"/>
      <c r="V31" s="50">
        <v>0</v>
      </c>
    </row>
    <row r="32" ht="24" customHeight="1">
      <c r="A32" s="50"/>
      <c r="B32" s="50" t="s">
        <v>946</v>
      </c>
      <c r="C32" s="128"/>
      <c r="D32" s="880">
        <v>1</v>
      </c>
      <c r="E32" s="841" t="s">
        <v>947</v>
      </c>
      <c r="F32" s="72" t="s">
        <v>301</v>
      </c>
      <c r="G32" s="72" t="s">
        <v>301</v>
      </c>
      <c r="H32" s="72" t="s">
        <v>301</v>
      </c>
      <c r="I32" s="72" t="s">
        <v>301</v>
      </c>
      <c r="J32" s="72" t="s">
        <v>301</v>
      </c>
      <c r="K32" s="485"/>
      <c r="V32" s="50">
        <v>23</v>
      </c>
    </row>
    <row r="33" ht="11.5" customHeight="1">
      <c r="A33" s="50"/>
      <c r="C33" s="50"/>
      <c r="D33" s="831"/>
      <c r="E33" s="172" t="s">
        <v>581</v>
      </c>
      <c r="F33" s="741"/>
      <c r="G33" s="741"/>
      <c r="H33" s="741"/>
      <c r="I33" s="741"/>
      <c r="J33" s="741"/>
      <c r="K33" s="742"/>
      <c r="U33" s="50"/>
      <c r="V33" s="50">
        <v>11</v>
      </c>
    </row>
    <row r="34" ht="24" customHeight="1">
      <c r="A34" s="50"/>
      <c r="B34" s="86" t="s">
        <v>631</v>
      </c>
      <c r="C34" s="128"/>
      <c r="D34" s="880">
        <v>2</v>
      </c>
      <c r="E34" s="841" t="s">
        <v>948</v>
      </c>
      <c r="F34" s="72" t="s">
        <v>301</v>
      </c>
      <c r="G34" s="72" t="s">
        <v>301</v>
      </c>
      <c r="H34" s="72" t="s">
        <v>301</v>
      </c>
      <c r="I34" s="72"/>
      <c r="J34" s="72"/>
      <c r="K34" s="485"/>
      <c r="V34" s="50">
        <v>23</v>
      </c>
    </row>
    <row r="35" ht="11.5" customHeight="1">
      <c r="A35" s="50"/>
      <c r="C35" s="50"/>
      <c r="D35" s="831"/>
      <c r="E35" s="172" t="s">
        <v>949</v>
      </c>
      <c r="F35" s="741"/>
      <c r="G35" s="881"/>
      <c r="H35" s="741"/>
      <c r="I35" s="881"/>
      <c r="J35" s="741"/>
      <c r="K35" s="742"/>
      <c r="U35" s="50"/>
      <c r="V35" s="50">
        <v>11</v>
      </c>
    </row>
    <row r="36" ht="71.25" customHeight="1">
      <c r="A36" s="50"/>
      <c r="B36" s="50" t="s">
        <v>950</v>
      </c>
      <c r="C36" s="128"/>
      <c r="D36" s="880">
        <v>3</v>
      </c>
      <c r="E36" s="841" t="s">
        <v>951</v>
      </c>
      <c r="F36" s="145" t="s">
        <v>301</v>
      </c>
      <c r="G36" s="224" t="s">
        <v>952</v>
      </c>
      <c r="H36" s="72" t="s">
        <v>301</v>
      </c>
      <c r="I36" s="224" t="s">
        <v>952</v>
      </c>
      <c r="J36" s="72" t="s">
        <v>301</v>
      </c>
      <c r="K36" s="485" t="s">
        <v>953</v>
      </c>
      <c r="V36" s="50">
        <v>68</v>
      </c>
    </row>
    <row r="37" ht="11.5" customHeight="1">
      <c r="A37" s="50"/>
      <c r="C37" s="50"/>
      <c r="D37" s="831"/>
      <c r="E37" s="172" t="s">
        <v>954</v>
      </c>
      <c r="F37" s="741"/>
      <c r="G37" s="881"/>
      <c r="H37" s="881"/>
      <c r="I37" s="881"/>
      <c r="J37" s="881"/>
      <c r="K37" s="742"/>
      <c r="U37" s="50"/>
      <c r="V37" s="50">
        <v>11</v>
      </c>
    </row>
    <row r="38" ht="71.25" customHeight="1">
      <c r="A38" s="50"/>
      <c r="B38" s="50" t="s">
        <v>955</v>
      </c>
      <c r="C38" s="128"/>
      <c r="D38" s="880">
        <v>4</v>
      </c>
      <c r="E38" s="841" t="s">
        <v>956</v>
      </c>
      <c r="F38" s="145" t="s">
        <v>301</v>
      </c>
      <c r="G38" s="224" t="s">
        <v>952</v>
      </c>
      <c r="H38" s="157" t="s">
        <v>301</v>
      </c>
      <c r="I38" s="224" t="s">
        <v>952</v>
      </c>
      <c r="J38" s="157" t="s">
        <v>301</v>
      </c>
      <c r="K38" s="882" t="s">
        <v>957</v>
      </c>
      <c r="V38" s="50">
        <v>68</v>
      </c>
    </row>
    <row r="39" ht="11.5" customHeight="1">
      <c r="A39" s="50"/>
      <c r="C39" s="50"/>
      <c r="D39" s="831"/>
      <c r="E39" s="172" t="s">
        <v>958</v>
      </c>
      <c r="F39" s="741"/>
      <c r="G39" s="741"/>
      <c r="H39" s="883"/>
      <c r="I39" s="741"/>
      <c r="J39" s="883"/>
      <c r="K39" s="742"/>
      <c r="U39" s="50"/>
      <c r="V39" s="50">
        <v>11</v>
      </c>
    </row>
    <row r="40" ht="22.5" hidden="1" customHeight="1">
      <c r="A40" s="56" t="s">
        <v>82</v>
      </c>
      <c r="B40" s="50">
        <v>0</v>
      </c>
      <c r="C40" s="149">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1" deleteRows="1" formatCells="1" formatColumns="0" formatRows="0" insertColumns="1" insertHyperlinks="1" insertRows="1" objects="0" pivotTables="1" scenarios="0" selectLockedCells="0" selectUnlockedCells="0" sheet="1" sort="1"/>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F00B7-00F6-499D-B919-00150072004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E7009E-000F-46D1-B5F1-00E8009A00D1}"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Q13" activeCellId="0" sqref="Q13:Q14"/>
    </sheetView>
  </sheetViews>
  <sheetFormatPr defaultColWidth="9.140625" defaultRowHeight="10.5" customHeight="1"/>
  <cols>
    <col customWidth="1" hidden="1" min="1" max="3" style="124"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4"/>
      <c r="B1" s="124"/>
      <c r="C1" s="124"/>
      <c r="E1" s="53"/>
      <c r="H1" s="53"/>
      <c r="AE1" s="53" t="s">
        <v>14</v>
      </c>
    </row>
    <row r="2" ht="10.5" hidden="1" customHeight="1">
      <c r="AE2" s="50">
        <v>0</v>
      </c>
    </row>
    <row r="3" s="56" customFormat="1" ht="10.5" hidden="1" customHeight="1">
      <c r="A3" s="124"/>
      <c r="B3" s="124"/>
      <c r="C3" s="124"/>
      <c r="D3" s="53"/>
      <c r="E3" s="56"/>
      <c r="G3" s="56" t="s">
        <v>959</v>
      </c>
      <c r="H3" s="56"/>
      <c r="AE3" s="56">
        <v>0</v>
      </c>
    </row>
    <row r="4" ht="3" customHeight="1">
      <c r="AE4" s="50">
        <v>3</v>
      </c>
    </row>
    <row r="5" ht="27.300000000000001" customHeight="1">
      <c r="F5" s="452"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52"/>
      <c r="H5" s="452"/>
      <c r="I5" s="452"/>
      <c r="J5" s="452"/>
      <c r="K5" s="452"/>
      <c r="M5" s="107"/>
      <c r="AB5" s="50"/>
      <c r="AE5" s="50">
        <v>26</v>
      </c>
    </row>
    <row r="6" s="50" customFormat="1" ht="16.800000000000001" customHeight="1">
      <c r="A6" s="124"/>
      <c r="B6" s="124"/>
      <c r="C6" s="124"/>
      <c r="D6" s="53"/>
      <c r="E6" s="50"/>
      <c r="F6" s="303" t="str">
        <f>IF(org=0,"Не определено",org)</f>
        <v xml:space="preserve">АО "ДГК" СП "Биробиджанская ТЭЦ"</v>
      </c>
      <c r="G6" s="303"/>
      <c r="H6" s="303"/>
      <c r="I6" s="303"/>
      <c r="J6" s="303"/>
      <c r="K6" s="303"/>
      <c r="M6" s="107"/>
      <c r="AB6" s="50"/>
      <c r="AE6" s="50">
        <v>16</v>
      </c>
    </row>
    <row r="7" ht="10.5" customHeight="1">
      <c r="AE7" s="50">
        <v>10</v>
      </c>
    </row>
    <row r="8" ht="10.5" customHeight="1">
      <c r="A8" s="124"/>
      <c r="B8" s="124"/>
      <c r="C8" s="124"/>
      <c r="F8" s="73" t="s">
        <v>295</v>
      </c>
      <c r="G8" s="145"/>
      <c r="H8" s="145"/>
      <c r="I8" s="145"/>
      <c r="J8" s="145"/>
      <c r="K8" s="145"/>
      <c r="L8" s="145"/>
      <c r="M8" s="145"/>
      <c r="N8" s="145"/>
      <c r="O8" s="145"/>
      <c r="P8" s="145"/>
      <c r="Q8" s="145"/>
      <c r="R8" s="145"/>
      <c r="S8" s="145"/>
      <c r="T8" s="145"/>
      <c r="U8" s="145"/>
      <c r="V8" s="145"/>
      <c r="W8" s="145"/>
      <c r="X8" s="145"/>
      <c r="Y8" s="145"/>
      <c r="Z8" s="145"/>
      <c r="AA8" s="145"/>
      <c r="AB8" s="72"/>
      <c r="AE8" s="50">
        <v>10</v>
      </c>
    </row>
    <row r="9" ht="43.049999999999997" customHeight="1">
      <c r="A9" s="884"/>
      <c r="B9" s="884"/>
      <c r="C9" s="884"/>
      <c r="F9" s="157" t="s">
        <v>88</v>
      </c>
      <c r="G9" s="157" t="s">
        <v>959</v>
      </c>
      <c r="H9" s="307" t="s">
        <v>960</v>
      </c>
      <c r="I9" s="157" t="s">
        <v>961</v>
      </c>
      <c r="J9" s="157" t="s">
        <v>962</v>
      </c>
      <c r="K9" s="157" t="s">
        <v>963</v>
      </c>
      <c r="L9" s="157" t="s">
        <v>964</v>
      </c>
      <c r="M9" s="157" t="s">
        <v>965</v>
      </c>
      <c r="N9" s="347" t="s">
        <v>966</v>
      </c>
      <c r="O9" s="347"/>
      <c r="P9" s="347"/>
      <c r="Q9" s="550" t="s">
        <v>967</v>
      </c>
      <c r="R9" s="551"/>
      <c r="S9" s="551"/>
      <c r="T9" s="552"/>
      <c r="U9" s="550" t="s">
        <v>968</v>
      </c>
      <c r="V9" s="551"/>
      <c r="W9" s="551"/>
      <c r="X9" s="552"/>
      <c r="Y9" s="73" t="s">
        <v>969</v>
      </c>
      <c r="Z9" s="145"/>
      <c r="AA9" s="145"/>
      <c r="AB9" s="72"/>
      <c r="AE9" s="50">
        <v>41</v>
      </c>
    </row>
    <row r="10" ht="43.049999999999997" customHeight="1">
      <c r="A10" s="884"/>
      <c r="B10" s="884"/>
      <c r="C10" s="884"/>
      <c r="F10" s="307"/>
      <c r="G10" s="307"/>
      <c r="H10" s="162"/>
      <c r="I10" s="307"/>
      <c r="J10" s="307"/>
      <c r="K10" s="307"/>
      <c r="L10" s="307"/>
      <c r="M10" s="307"/>
      <c r="N10" s="885" t="s">
        <v>970</v>
      </c>
      <c r="O10" s="885" t="s">
        <v>971</v>
      </c>
      <c r="P10" s="553" t="s">
        <v>972</v>
      </c>
      <c r="Q10" s="885" t="s">
        <v>89</v>
      </c>
      <c r="R10" s="885" t="s">
        <v>973</v>
      </c>
      <c r="S10" s="885" t="s">
        <v>974</v>
      </c>
      <c r="T10" s="661" t="s">
        <v>975</v>
      </c>
      <c r="U10" s="885" t="s">
        <v>89</v>
      </c>
      <c r="V10" s="885" t="s">
        <v>976</v>
      </c>
      <c r="W10" s="885" t="s">
        <v>974</v>
      </c>
      <c r="X10" s="661" t="s">
        <v>975</v>
      </c>
      <c r="Y10" s="549" t="s">
        <v>977</v>
      </c>
      <c r="Z10" s="73" t="s">
        <v>88</v>
      </c>
      <c r="AA10" s="72"/>
      <c r="AB10" s="157" t="s">
        <v>978</v>
      </c>
      <c r="AE10" s="50">
        <v>41</v>
      </c>
    </row>
    <row r="11" s="57" customFormat="1" ht="5.25" hidden="1" customHeight="1">
      <c r="A11" s="531"/>
      <c r="B11" s="531"/>
      <c r="C11" s="531"/>
      <c r="E11" s="132"/>
      <c r="F11" s="654" t="s">
        <v>371</v>
      </c>
      <c r="G11" s="886"/>
      <c r="H11" s="430"/>
      <c r="I11" s="430"/>
      <c r="J11" s="430"/>
      <c r="K11" s="458"/>
      <c r="L11" s="458"/>
      <c r="M11" s="458"/>
      <c r="N11" s="430"/>
      <c r="O11" s="430"/>
      <c r="P11" s="157"/>
      <c r="Q11" s="313"/>
      <c r="R11" s="313"/>
      <c r="S11" s="313"/>
      <c r="T11" s="430"/>
      <c r="U11" s="313"/>
      <c r="V11" s="313"/>
      <c r="W11" s="313"/>
      <c r="X11" s="430"/>
      <c r="Y11" s="218"/>
      <c r="Z11" s="218"/>
      <c r="AA11" s="218"/>
      <c r="AB11" s="218"/>
      <c r="AD11" s="57" t="s">
        <v>979</v>
      </c>
      <c r="AE11" s="57">
        <v>0</v>
      </c>
    </row>
    <row r="12" s="57" customFormat="1" ht="5.25" hidden="1" customHeight="1">
      <c r="A12" s="531"/>
      <c r="B12" s="531"/>
      <c r="C12" s="531"/>
      <c r="E12" s="57"/>
      <c r="F12" s="654"/>
      <c r="G12" s="886"/>
      <c r="H12" s="430"/>
      <c r="I12" s="430"/>
      <c r="J12" s="430"/>
      <c r="K12" s="458"/>
      <c r="L12" s="458"/>
      <c r="M12" s="458"/>
      <c r="N12" s="430"/>
      <c r="O12" s="430"/>
      <c r="P12" s="157"/>
      <c r="Q12" s="313"/>
      <c r="R12" s="313"/>
      <c r="S12" s="313"/>
      <c r="T12" s="430"/>
      <c r="U12" s="313"/>
      <c r="V12" s="313"/>
      <c r="W12" s="313"/>
      <c r="X12" s="430"/>
      <c r="Y12" s="887"/>
      <c r="Z12" s="887"/>
      <c r="AA12" s="887"/>
      <c r="AB12" s="887"/>
      <c r="AE12" s="57">
        <v>0</v>
      </c>
    </row>
    <row r="13" ht="60.850000000000001" customHeight="1">
      <c r="A13" s="124"/>
      <c r="B13" s="124"/>
      <c r="C13" s="124"/>
      <c r="D13" s="53"/>
      <c r="E13" s="149" t="s">
        <v>684</v>
      </c>
      <c r="F13" s="888" t="s">
        <v>106</v>
      </c>
      <c r="G13" s="889" t="s">
        <v>980</v>
      </c>
      <c r="H13" s="890" t="s">
        <v>65</v>
      </c>
      <c r="I13" s="891">
        <v>45845.602430555555</v>
      </c>
      <c r="J13" s="892"/>
      <c r="K13" s="893" t="s">
        <v>981</v>
      </c>
      <c r="L13" s="894" t="s">
        <v>982</v>
      </c>
      <c r="M13" s="894" t="s">
        <v>983</v>
      </c>
      <c r="N13" s="895" t="s">
        <v>984</v>
      </c>
      <c r="O13" s="895" t="s">
        <v>985</v>
      </c>
      <c r="P13" s="896" t="e">
        <f>DATEDIF(DATEVALUE(N13),DATEVALUE(O13),"y")&amp;"г. "&amp;DATEDIF(DATEVALUE(N13),DATEVALUE(O13),"ym")&amp;"мес. "&amp;DATEVALUE(O13)-DATE(YEAR(DATEVALUE(O13)),MONTH(DATEVALUE(O13)),1)&amp;"дн. "</f>
        <v>#VALUE!</v>
      </c>
      <c r="Q13" s="897" t="s">
        <v>986</v>
      </c>
      <c r="R13" s="897" t="s">
        <v>987</v>
      </c>
      <c r="S13" s="897" t="s">
        <v>988</v>
      </c>
      <c r="T13" s="892" t="s">
        <v>984</v>
      </c>
      <c r="U13" s="897"/>
      <c r="V13" s="897"/>
      <c r="W13" s="897"/>
      <c r="X13" s="892"/>
      <c r="Y13" s="898" t="s">
        <v>19</v>
      </c>
      <c r="Z13" s="306"/>
      <c r="AA13" s="157">
        <v>1</v>
      </c>
      <c r="AB13" s="899" t="s">
        <v>22</v>
      </c>
      <c r="AC13" s="50"/>
      <c r="AD13" s="57" t="s">
        <v>989</v>
      </c>
      <c r="AE13" s="50"/>
    </row>
    <row r="14" ht="63.5" customHeight="1">
      <c r="A14" s="124"/>
      <c r="B14" s="124"/>
      <c r="C14" s="124"/>
      <c r="D14" s="53"/>
      <c r="E14" s="900"/>
      <c r="F14" s="888" t="s">
        <v>371</v>
      </c>
      <c r="G14" s="889"/>
      <c r="H14" s="901"/>
      <c r="I14" s="902"/>
      <c r="J14" s="903"/>
      <c r="K14" s="893"/>
      <c r="L14" s="894"/>
      <c r="M14" s="894"/>
      <c r="N14" s="895"/>
      <c r="O14" s="895"/>
      <c r="P14" s="896"/>
      <c r="Q14" s="897"/>
      <c r="R14" s="897"/>
      <c r="S14" s="897"/>
      <c r="T14" s="903"/>
      <c r="U14" s="897"/>
      <c r="V14" s="897"/>
      <c r="W14" s="897"/>
      <c r="X14" s="903"/>
      <c r="Y14" s="904"/>
      <c r="Z14" s="831"/>
      <c r="AA14" s="741"/>
      <c r="AB14" s="229" t="s">
        <v>990</v>
      </c>
      <c r="AC14" s="50"/>
      <c r="AD14" s="50"/>
      <c r="AE14" s="50"/>
    </row>
    <row r="15" ht="10.5" customHeight="1">
      <c r="F15" s="641"/>
      <c r="G15" s="172" t="s">
        <v>991</v>
      </c>
      <c r="H15" s="172"/>
      <c r="I15" s="741"/>
      <c r="J15" s="741"/>
      <c r="K15" s="741"/>
      <c r="L15" s="741"/>
      <c r="M15" s="741"/>
      <c r="N15" s="741"/>
      <c r="O15" s="741"/>
      <c r="P15" s="741"/>
      <c r="Q15" s="741"/>
      <c r="R15" s="741"/>
      <c r="S15" s="741"/>
      <c r="T15" s="741"/>
      <c r="U15" s="741"/>
      <c r="V15" s="741"/>
      <c r="W15" s="741"/>
      <c r="X15" s="741"/>
      <c r="Y15" s="741"/>
      <c r="Z15" s="883"/>
      <c r="AA15" s="883"/>
      <c r="AB15" s="905"/>
      <c r="AE15" s="50">
        <v>10</v>
      </c>
    </row>
    <row r="16" ht="10.5" customHeight="1">
      <c r="AE16" s="50">
        <v>10</v>
      </c>
    </row>
    <row r="17" s="57" customFormat="1" ht="10.5" customHeight="1">
      <c r="A17" s="531"/>
      <c r="B17" s="531"/>
      <c r="C17" s="531"/>
      <c r="E17" s="57"/>
      <c r="H17" s="57">
        <f>_xlfn.IFERROR(MATCH("нет",IP_MAIN_DIFFERENTIATION_EVENTS_FLAG,0),0)</f>
        <v>0</v>
      </c>
      <c r="AE17" s="57">
        <v>10</v>
      </c>
    </row>
    <row r="18" ht="10.5" hidden="1" customHeight="1">
      <c r="A18" s="124" t="s">
        <v>82</v>
      </c>
      <c r="B18" s="124">
        <v>0</v>
      </c>
      <c r="C18" s="124">
        <v>0</v>
      </c>
      <c r="D18" s="53">
        <v>0</v>
      </c>
      <c r="E18" s="50">
        <v>3</v>
      </c>
      <c r="F18" s="50">
        <v>6</v>
      </c>
      <c r="G18" s="50">
        <v>37</v>
      </c>
      <c r="H18" s="50">
        <v>16</v>
      </c>
      <c r="I18" s="50">
        <v>19</v>
      </c>
      <c r="J18" s="50">
        <v>19</v>
      </c>
      <c r="K18" s="50">
        <v>24</v>
      </c>
      <c r="L18" s="50">
        <v>25</v>
      </c>
      <c r="M18" s="50">
        <v>25</v>
      </c>
      <c r="N18" s="50">
        <v>17</v>
      </c>
      <c r="O18" s="50">
        <v>17</v>
      </c>
      <c r="P18" s="50">
        <v>17</v>
      </c>
      <c r="Q18" s="50">
        <v>19</v>
      </c>
      <c r="R18" s="50">
        <v>19</v>
      </c>
      <c r="S18" s="50">
        <v>19</v>
      </c>
      <c r="T18" s="50">
        <v>19</v>
      </c>
      <c r="U18" s="50">
        <v>19</v>
      </c>
      <c r="V18" s="50">
        <v>19</v>
      </c>
      <c r="W18" s="50">
        <v>19</v>
      </c>
      <c r="X18" s="50">
        <v>19</v>
      </c>
      <c r="Y18" s="50">
        <v>7</v>
      </c>
      <c r="Z18" s="50">
        <v>3</v>
      </c>
      <c r="AA18" s="50">
        <v>6</v>
      </c>
      <c r="AB18" s="50">
        <v>34</v>
      </c>
      <c r="AC18" s="50">
        <v>8</v>
      </c>
      <c r="AD18" s="50">
        <v>8</v>
      </c>
      <c r="AE18" s="50">
        <v>10</v>
      </c>
    </row>
  </sheetData>
  <sheetProtection autoFilter="0" deleteColumns="1" deleteRows="1" formatCells="1" formatColumns="0" formatRows="0" insertColumns="1" insertHyperlinks="1" insertRows="1" objects="0" pivotTables="1" scenarios="0" selectLockedCells="0" selectUnlockedCells="0" sheet="1" sort="1"/>
  <mergeCells count="60">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 ref="E13:E14"/>
    <mergeCell ref="F13:F14"/>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s>
  <dataValidations count="5" disablePrompts="0">
    <dataValidation sqref="X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J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I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3" type="none" allowBlank="1" errorStyle="stop" imeMode="noControl" operator="between" prompt="Для выбора ИП необходимо два раза нажать левую кнопку мыши!" promptTitle="Ввод"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0" disablePrompts="0">
        <x14:dataValidation xr:uid="{0051007C-00EA-49D5-9C98-009C0097008D}" type="textLength" allowBlank="1" error="Допускается ввод не более 900 символов!" errorStyle="stop" errorTitle="Ошибка" imeMode="noControl" operator="lessThanOrEqual" showDropDown="0" showErrorMessage="1" showInputMessage="1">
          <x14:formula1>
            <xm:f>900</xm:f>
          </x14:formula1>
          <xm:sqref>AB13</xm:sqref>
        </x14:dataValidation>
        <x14:dataValidation xr:uid="{009E00AD-008F-4657-BD6B-002A002F006D}" type="textLength" allowBlank="1" error="Допускается ввод не более 900 символов!" errorStyle="stop" errorTitle="Ошибка" imeMode="noControl" operator="lessThanOrEqual" showDropDown="0" showErrorMessage="1" showInputMessage="1">
          <x14:formula1>
            <xm:f>900</xm:f>
          </x14:formula1>
          <xm:sqref>W13</xm:sqref>
        </x14:dataValidation>
        <x14:dataValidation xr:uid="{0089005D-0090-47B8-B603-00D900C20001}" type="textLength" allowBlank="1" error="Допускается ввод не более 900 символов!" errorStyle="stop" errorTitle="Ошибка" imeMode="noControl" operator="lessThanOrEqual" showDropDown="0" showErrorMessage="1" showInputMessage="1">
          <x14:formula1>
            <xm:f>900</xm:f>
          </x14:formula1>
          <xm:sqref>V13</xm:sqref>
        </x14:dataValidation>
        <x14:dataValidation xr:uid="{00E200E3-0011-4754-927F-00730045002A}" type="textLength" allowBlank="1" error="Допускается ввод не более 900 символов!" errorStyle="stop" errorTitle="Ошибка" imeMode="noControl" operator="lessThanOrEqual" showDropDown="0" showErrorMessage="1" showInputMessage="1">
          <x14:formula1>
            <xm:f>900</xm:f>
          </x14:formula1>
          <xm:sqref>U13</xm:sqref>
        </x14:dataValidation>
        <x14:dataValidation xr:uid="{00D800CF-009A-4A6A-8330-001D008000A8}" type="textLength" allowBlank="1" error="Допускается ввод не более 900 символов!" errorStyle="stop" errorTitle="Ошибка" imeMode="noControl" operator="lessThanOrEqual" showDropDown="0" showErrorMessage="1" showInputMessage="1">
          <x14:formula1>
            <xm:f>900</xm:f>
          </x14:formula1>
          <xm:sqref>S13</xm:sqref>
        </x14:dataValidation>
        <x14:dataValidation xr:uid="{008A00BF-0087-4089-A146-00DA00FA00C9}" type="textLength" allowBlank="1" error="Допускается ввод не более 900 символов!" errorStyle="stop" errorTitle="Ошибка" imeMode="noControl" operator="lessThanOrEqual" showDropDown="0" showErrorMessage="1" showInputMessage="1">
          <x14:formula1>
            <xm:f>900</xm:f>
          </x14:formula1>
          <xm:sqref>R13</xm:sqref>
        </x14:dataValidation>
        <x14:dataValidation xr:uid="{0052008B-0086-4A28-BF1B-002800980049}" type="textLength" allowBlank="1" error="Допускается ввод не более 900 символов!" errorStyle="stop" errorTitle="Ошибка" imeMode="noControl" operator="lessThanOrEqual" showDropDown="0" showErrorMessage="1" showInputMessage="1">
          <x14:formula1>
            <xm:f>900</xm:f>
          </x14:formula1>
          <xm:sqref>Q13</xm:sqref>
        </x14:dataValidation>
        <x14:dataValidation xr:uid="{00B80002-0032-410F-8516-004E00FE00CB}" type="textLength" allowBlank="1" error="Допускается ввод не более 900 символов!" errorStyle="stop" errorTitle="Ошибка" imeMode="noControl" operator="lessThanOrEqual" showDropDown="0" showErrorMessage="1" showInputMessage="1">
          <x14:formula1>
            <xm:f>900</xm:f>
          </x14:formula1>
          <xm:sqref>M13</xm:sqref>
        </x14:dataValidation>
        <x14:dataValidation xr:uid="{008300F4-0005-43B9-A0B7-0036001F00B2}" type="textLength" allowBlank="1" error="Допускается ввод не более 900 символов!" errorStyle="stop" errorTitle="Ошибка" imeMode="noControl" operator="lessThanOrEqual" showDropDown="0" showErrorMessage="1" showInputMessage="1">
          <x14:formula1>
            <xm:f>900</xm:f>
          </x14:formula1>
          <xm:sqref>L13</xm:sqref>
        </x14:dataValidation>
        <x14:dataValidation xr:uid="{00A00012-0063-4256-9A2E-00A400CF00F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K13</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W202" activeCellId="0" sqref="AW202"/>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4"/>
      <c r="B1" s="124"/>
      <c r="C1" s="124"/>
      <c r="E1" s="53"/>
      <c r="H1" s="53"/>
      <c r="L1" s="53"/>
      <c r="M1" s="53"/>
      <c r="AD1" s="53"/>
      <c r="AH1" s="53"/>
      <c r="AI1" s="53"/>
      <c r="BG1" s="53" t="s">
        <v>14</v>
      </c>
    </row>
    <row r="2" ht="10.5" hidden="1" customHeight="1">
      <c r="BG2" s="50">
        <v>0</v>
      </c>
    </row>
    <row r="3" s="56" customFormat="1" ht="10.5" hidden="1" customHeight="1">
      <c r="A3" s="124"/>
      <c r="B3" s="124"/>
      <c r="C3" s="124"/>
      <c r="D3" s="53"/>
      <c r="E3" s="56"/>
      <c r="H3" s="56"/>
      <c r="L3" s="56"/>
      <c r="M3" s="56"/>
      <c r="AD3" s="56"/>
      <c r="AH3" s="56"/>
      <c r="AI3" s="56"/>
      <c r="BG3" s="56">
        <v>0</v>
      </c>
    </row>
    <row r="4" ht="3" customHeight="1">
      <c r="BG4" s="50">
        <v>3</v>
      </c>
    </row>
    <row r="5" ht="27.300000000000001" customHeight="1">
      <c r="F5" s="452"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52"/>
      <c r="H5" s="452"/>
      <c r="I5" s="452"/>
      <c r="J5" s="452"/>
      <c r="K5" s="452"/>
      <c r="L5" s="719"/>
      <c r="M5" s="719"/>
      <c r="AG5" s="50"/>
      <c r="AH5" s="50"/>
      <c r="BG5" s="50">
        <v>26</v>
      </c>
    </row>
    <row r="6" ht="10.5" customHeight="1">
      <c r="F6" s="303" t="str">
        <f>IF(org=0,"Не определено",org)</f>
        <v xml:space="preserve">АО "ДГК" СП "Биробиджанская ТЭЦ"</v>
      </c>
      <c r="G6" s="303"/>
      <c r="H6" s="303"/>
      <c r="I6" s="303"/>
      <c r="J6" s="303"/>
      <c r="K6" s="303"/>
      <c r="L6" s="719"/>
      <c r="M6" s="719"/>
      <c r="BG6" s="50">
        <v>10</v>
      </c>
    </row>
    <row r="7" ht="11.5" customHeight="1">
      <c r="E7" s="91"/>
      <c r="F7" s="906"/>
      <c r="G7" s="906"/>
      <c r="H7" s="906"/>
      <c r="I7" s="906"/>
      <c r="J7" s="906"/>
      <c r="K7" s="907"/>
      <c r="L7" s="907"/>
      <c r="M7" s="907"/>
      <c r="N7" s="906"/>
      <c r="O7" s="906"/>
      <c r="P7" s="906"/>
      <c r="Q7" s="907"/>
      <c r="R7" s="906"/>
      <c r="S7" s="906"/>
      <c r="T7" s="906"/>
      <c r="U7" s="906"/>
      <c r="V7" s="906"/>
      <c r="W7" s="906"/>
      <c r="X7" s="906"/>
      <c r="Y7" s="906"/>
      <c r="Z7" s="906"/>
      <c r="AA7" s="906"/>
      <c r="AB7" s="906"/>
      <c r="AC7" s="908"/>
      <c r="AD7" s="908"/>
      <c r="AE7" s="908"/>
      <c r="AF7" s="906"/>
      <c r="AG7" s="906"/>
      <c r="AH7" s="906"/>
      <c r="AI7" s="906"/>
      <c r="AJ7" s="906"/>
      <c r="AK7" s="906"/>
      <c r="AL7" s="53"/>
      <c r="AM7" s="53"/>
      <c r="AN7" s="53"/>
      <c r="AO7" s="143"/>
      <c r="AP7" s="143"/>
      <c r="AQ7" s="143"/>
      <c r="AR7" s="143"/>
      <c r="AS7" s="143"/>
      <c r="AT7" s="143"/>
      <c r="AU7" s="143"/>
      <c r="AV7" s="143"/>
      <c r="AW7" s="143"/>
      <c r="AX7" s="143"/>
      <c r="AY7" s="143"/>
      <c r="AZ7" s="143"/>
      <c r="BA7" s="143"/>
      <c r="BB7" s="143"/>
      <c r="BC7" s="143"/>
      <c r="BD7" s="143"/>
      <c r="BE7" s="143"/>
      <c r="BF7" s="143"/>
      <c r="BG7" s="50">
        <v>11</v>
      </c>
    </row>
    <row r="8" ht="10.5" customHeight="1">
      <c r="E8" s="91"/>
      <c r="F8" s="909" t="s">
        <v>295</v>
      </c>
      <c r="G8" s="910"/>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1"/>
      <c r="AL8" s="912"/>
      <c r="AM8" s="143"/>
      <c r="AN8" s="143"/>
      <c r="AO8" s="143"/>
      <c r="AP8" s="143"/>
      <c r="AQ8" s="143"/>
      <c r="AR8" s="143"/>
      <c r="AS8" s="143"/>
      <c r="AT8" s="143"/>
      <c r="AU8" s="143"/>
      <c r="AV8" s="143"/>
      <c r="AW8" s="143"/>
      <c r="AX8" s="143"/>
      <c r="AY8" s="143"/>
      <c r="AZ8" s="143"/>
      <c r="BA8" s="143"/>
      <c r="BB8" s="143"/>
      <c r="BC8" s="143"/>
      <c r="BD8" s="143"/>
      <c r="BE8" s="143"/>
      <c r="BF8" s="143"/>
      <c r="BG8" s="50">
        <v>10</v>
      </c>
    </row>
    <row r="9" ht="24" customHeight="1">
      <c r="A9" s="884"/>
      <c r="B9" s="884"/>
      <c r="C9" s="884"/>
      <c r="E9" s="91"/>
      <c r="F9" s="347" t="s">
        <v>992</v>
      </c>
      <c r="G9" s="660" t="s">
        <v>993</v>
      </c>
      <c r="H9" s="827"/>
      <c r="I9" s="157" t="s">
        <v>994</v>
      </c>
      <c r="J9" s="157"/>
      <c r="K9" s="157" t="s">
        <v>995</v>
      </c>
      <c r="L9" s="157"/>
      <c r="M9" s="157"/>
      <c r="N9" s="157"/>
      <c r="O9" s="157"/>
      <c r="P9" s="157"/>
      <c r="Q9" s="157"/>
      <c r="R9" s="157"/>
      <c r="S9" s="157"/>
      <c r="T9" s="157"/>
      <c r="U9" s="157"/>
      <c r="V9" s="157"/>
      <c r="W9" s="157"/>
      <c r="X9" s="157"/>
      <c r="Y9" s="157"/>
      <c r="Z9" s="304" t="s">
        <v>996</v>
      </c>
      <c r="AA9" s="305"/>
      <c r="AB9" s="157" t="s">
        <v>997</v>
      </c>
      <c r="AC9" s="157"/>
      <c r="AD9" s="157"/>
      <c r="AE9" s="157"/>
      <c r="AF9" s="307" t="s">
        <v>998</v>
      </c>
      <c r="AG9" s="157" t="s">
        <v>999</v>
      </c>
      <c r="AH9" s="157"/>
      <c r="AI9" s="307" t="s">
        <v>1000</v>
      </c>
      <c r="AJ9" s="157" t="s">
        <v>1001</v>
      </c>
      <c r="AK9" s="157"/>
      <c r="AL9" s="50"/>
      <c r="AM9" s="143"/>
      <c r="AN9" s="143"/>
      <c r="AO9" s="143"/>
      <c r="AP9" s="143"/>
      <c r="AQ9" s="143"/>
      <c r="AR9" s="143"/>
      <c r="AS9" s="143"/>
      <c r="AT9" s="143"/>
      <c r="AU9" s="143"/>
      <c r="AV9" s="143"/>
      <c r="AW9" s="143"/>
      <c r="AX9" s="143"/>
      <c r="AY9" s="143"/>
      <c r="AZ9" s="143"/>
      <c r="BA9" s="143"/>
      <c r="BB9" s="143"/>
      <c r="BC9" s="143"/>
      <c r="BD9" s="143"/>
      <c r="BE9" s="143"/>
      <c r="BF9" s="143"/>
      <c r="BG9" s="50">
        <v>23</v>
      </c>
    </row>
    <row r="10" ht="25.199999999999999" customHeight="1">
      <c r="A10" s="884"/>
      <c r="B10" s="884"/>
      <c r="C10" s="884"/>
      <c r="E10" s="91"/>
      <c r="F10" s="347"/>
      <c r="G10" s="663"/>
      <c r="H10" s="360"/>
      <c r="I10" s="157"/>
      <c r="J10" s="157"/>
      <c r="K10" s="157" t="s">
        <v>1002</v>
      </c>
      <c r="L10" s="73" t="s">
        <v>1003</v>
      </c>
      <c r="M10" s="72"/>
      <c r="N10" s="157" t="s">
        <v>1004</v>
      </c>
      <c r="O10" s="157"/>
      <c r="P10" s="157"/>
      <c r="Q10" s="157"/>
      <c r="R10" s="157"/>
      <c r="S10" s="157"/>
      <c r="T10" s="157"/>
      <c r="U10" s="157"/>
      <c r="V10" s="157"/>
      <c r="W10" s="157"/>
      <c r="X10" s="157"/>
      <c r="Y10" s="157"/>
      <c r="Z10" s="308"/>
      <c r="AA10" s="309"/>
      <c r="AB10" s="157"/>
      <c r="AC10" s="157"/>
      <c r="AD10" s="157"/>
      <c r="AE10" s="157"/>
      <c r="AF10" s="306"/>
      <c r="AG10" s="157"/>
      <c r="AH10" s="157"/>
      <c r="AI10" s="306"/>
      <c r="AJ10" s="157"/>
      <c r="AK10" s="157"/>
      <c r="AL10" s="50"/>
      <c r="AM10" s="143"/>
      <c r="AN10" s="143"/>
      <c r="AO10" s="143"/>
      <c r="AP10" s="143"/>
      <c r="AQ10" s="143"/>
      <c r="AR10" s="143"/>
      <c r="AS10" s="143"/>
      <c r="AT10" s="143"/>
      <c r="AU10" s="143"/>
      <c r="AV10" s="143"/>
      <c r="AW10" s="143"/>
      <c r="AX10" s="143"/>
      <c r="AY10" s="143"/>
      <c r="AZ10" s="143"/>
      <c r="BA10" s="143"/>
      <c r="BB10" s="143"/>
      <c r="BC10" s="143"/>
      <c r="BD10" s="143"/>
      <c r="BE10" s="143"/>
      <c r="BF10" s="143"/>
      <c r="BG10" s="50">
        <v>24</v>
      </c>
    </row>
    <row r="11" s="50" customFormat="1" ht="25.199999999999999" customHeight="1">
      <c r="A11" s="884"/>
      <c r="B11" s="884"/>
      <c r="C11" s="884"/>
      <c r="D11" s="53"/>
      <c r="E11" s="91"/>
      <c r="F11" s="347"/>
      <c r="G11" s="663"/>
      <c r="H11" s="360"/>
      <c r="I11" s="157"/>
      <c r="J11" s="157"/>
      <c r="K11" s="157"/>
      <c r="L11" s="307" t="s">
        <v>1005</v>
      </c>
      <c r="M11" s="307" t="s">
        <v>1006</v>
      </c>
      <c r="N11" s="157" t="s">
        <v>1007</v>
      </c>
      <c r="O11" s="157"/>
      <c r="P11" s="246" t="s">
        <v>977</v>
      </c>
      <c r="Q11" s="246" t="s">
        <v>1008</v>
      </c>
      <c r="R11" s="246" t="s">
        <v>1009</v>
      </c>
      <c r="S11" s="246" t="s">
        <v>1010</v>
      </c>
      <c r="T11" s="246"/>
      <c r="U11" s="246"/>
      <c r="V11" s="246"/>
      <c r="W11" s="246"/>
      <c r="X11" s="246"/>
      <c r="Y11" s="246"/>
      <c r="Z11" s="308"/>
      <c r="AA11" s="309"/>
      <c r="AB11" s="157" t="s">
        <v>1011</v>
      </c>
      <c r="AC11" s="157"/>
      <c r="AD11" s="73" t="s">
        <v>1012</v>
      </c>
      <c r="AE11" s="72"/>
      <c r="AF11" s="306"/>
      <c r="AG11" s="157"/>
      <c r="AH11" s="157"/>
      <c r="AI11" s="306"/>
      <c r="AJ11" s="157"/>
      <c r="AK11" s="157"/>
      <c r="AL11" s="50"/>
      <c r="AM11" s="143"/>
      <c r="AN11" s="143"/>
      <c r="AO11" s="143"/>
      <c r="AP11" s="143"/>
      <c r="AQ11" s="143"/>
      <c r="AR11" s="143"/>
      <c r="AS11" s="143"/>
      <c r="AT11" s="143"/>
      <c r="AU11" s="143"/>
      <c r="AV11" s="143"/>
      <c r="AW11" s="143"/>
      <c r="AX11" s="143"/>
      <c r="AY11" s="143"/>
      <c r="AZ11" s="143"/>
      <c r="BA11" s="143"/>
      <c r="BB11" s="143"/>
      <c r="BC11" s="143"/>
      <c r="BD11" s="143"/>
      <c r="BE11" s="143"/>
      <c r="BF11" s="143"/>
      <c r="BG11" s="50">
        <v>24</v>
      </c>
    </row>
    <row r="12" ht="35.649999999999999" customHeight="1">
      <c r="A12" s="884"/>
      <c r="B12" s="884"/>
      <c r="C12" s="884"/>
      <c r="E12" s="91"/>
      <c r="F12" s="347"/>
      <c r="G12" s="669"/>
      <c r="H12" s="693"/>
      <c r="I12" s="157" t="s">
        <v>89</v>
      </c>
      <c r="J12" s="157" t="s">
        <v>1013</v>
      </c>
      <c r="K12" s="157"/>
      <c r="L12" s="162"/>
      <c r="M12" s="162"/>
      <c r="N12" s="157"/>
      <c r="O12" s="157"/>
      <c r="P12" s="246"/>
      <c r="Q12" s="246"/>
      <c r="R12" s="246"/>
      <c r="S12" s="246" t="s">
        <v>86</v>
      </c>
      <c r="T12" s="246" t="s">
        <v>87</v>
      </c>
      <c r="U12" s="246" t="s">
        <v>85</v>
      </c>
      <c r="V12" s="246" t="s">
        <v>1014</v>
      </c>
      <c r="W12" s="246" t="s">
        <v>85</v>
      </c>
      <c r="X12" s="246" t="s">
        <v>1015</v>
      </c>
      <c r="Y12" s="246" t="s">
        <v>1016</v>
      </c>
      <c r="Z12" s="310"/>
      <c r="AA12" s="311"/>
      <c r="AB12" s="157" t="s">
        <v>1017</v>
      </c>
      <c r="AC12" s="157" t="s">
        <v>1018</v>
      </c>
      <c r="AD12" s="157" t="s">
        <v>1017</v>
      </c>
      <c r="AE12" s="157" t="s">
        <v>1018</v>
      </c>
      <c r="AF12" s="162"/>
      <c r="AG12" s="157" t="s">
        <v>1019</v>
      </c>
      <c r="AH12" s="157" t="s">
        <v>1020</v>
      </c>
      <c r="AI12" s="162"/>
      <c r="AJ12" s="157" t="s">
        <v>1019</v>
      </c>
      <c r="AK12" s="157" t="s">
        <v>1020</v>
      </c>
      <c r="AL12" s="50"/>
      <c r="AM12" s="143"/>
      <c r="AN12" s="143"/>
      <c r="AO12" s="143"/>
      <c r="AP12" s="143"/>
      <c r="AQ12" s="143"/>
      <c r="AR12" s="143"/>
      <c r="AS12" s="143"/>
      <c r="AT12" s="143"/>
      <c r="AU12" s="143"/>
      <c r="AV12" s="143"/>
      <c r="AW12" s="143"/>
      <c r="AX12" s="143"/>
      <c r="AY12" s="143"/>
      <c r="AZ12" s="143"/>
      <c r="BA12" s="143"/>
      <c r="BB12" s="143"/>
      <c r="BC12" s="143"/>
      <c r="BD12" s="143"/>
      <c r="BE12" s="143"/>
      <c r="BF12" s="143"/>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12"/>
      <c r="AM13" s="143"/>
      <c r="AN13" s="143"/>
      <c r="AO13" s="143"/>
      <c r="AP13" s="143"/>
      <c r="AQ13" s="143"/>
      <c r="AR13" s="143"/>
      <c r="AS13" s="143"/>
      <c r="AT13" s="143"/>
      <c r="AU13" s="143"/>
      <c r="AV13" s="143"/>
      <c r="AW13" s="143"/>
      <c r="AX13" s="143"/>
      <c r="AY13" s="143"/>
      <c r="AZ13" s="143"/>
      <c r="BA13" s="143"/>
      <c r="BB13" s="143"/>
      <c r="BC13" s="143"/>
      <c r="BD13" s="143"/>
      <c r="BE13" s="143"/>
      <c r="BF13" s="143"/>
      <c r="BG13" s="50">
        <v>1</v>
      </c>
    </row>
    <row r="14" ht="21" customHeight="1">
      <c r="A14" s="531" t="s">
        <v>989</v>
      </c>
      <c r="B14" s="124"/>
      <c r="C14" s="124"/>
      <c r="D14" s="53"/>
      <c r="E14" s="91" t="s">
        <v>22</v>
      </c>
      <c r="F14" s="913" t="str">
        <f>INDEX(IP_MAIN_LIST_NAME_IP,MATCH(A14,IP_MAIN_LIST_IP_ID,0))&amp;" ("&amp;INDEX(IP_MAIN_START_DATE,MATCH(A14,IP_MAIN_LIST_IP_ID,0))&amp;"-"&amp;INDEX(IP_MAIN_END_DATE,MATCH(A14,IP_MAIN_LIST_IP_ID,0))&amp;")"</f>
        <v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14" s="914"/>
      <c r="H14" s="914"/>
      <c r="I14" s="915"/>
      <c r="J14" s="915"/>
      <c r="K14" s="916"/>
      <c r="L14" s="916"/>
      <c r="M14" s="916"/>
      <c r="N14" s="917"/>
      <c r="O14" s="917"/>
      <c r="P14" s="917"/>
      <c r="Q14" s="917"/>
      <c r="R14" s="917"/>
      <c r="S14" s="917"/>
      <c r="T14" s="917"/>
      <c r="U14" s="917"/>
      <c r="V14" s="917"/>
      <c r="W14" s="917"/>
      <c r="X14" s="917"/>
      <c r="Y14" s="917"/>
      <c r="Z14" s="917"/>
      <c r="AA14" s="917"/>
      <c r="AB14" s="917"/>
      <c r="AC14" s="917"/>
      <c r="AD14" s="917"/>
      <c r="AE14" s="918"/>
      <c r="AF14" s="916"/>
      <c r="AG14" s="916"/>
      <c r="AH14" s="916"/>
      <c r="AI14" s="916"/>
      <c r="AJ14" s="916"/>
      <c r="AK14" s="916"/>
      <c r="AL14" s="919"/>
      <c r="AM14" s="143"/>
      <c r="AN14" s="143"/>
      <c r="AO14" s="143"/>
      <c r="AP14" s="143"/>
      <c r="AQ14" s="143"/>
      <c r="AR14" s="143"/>
      <c r="AS14" s="143"/>
      <c r="AT14" s="143"/>
      <c r="AU14" s="143"/>
      <c r="AV14" s="143"/>
      <c r="AW14" s="143"/>
      <c r="AX14" s="143"/>
      <c r="AY14" s="143"/>
      <c r="AZ14" s="143"/>
      <c r="BA14" s="143"/>
      <c r="BB14" s="143"/>
      <c r="BC14" s="143"/>
      <c r="BD14" s="143"/>
      <c r="BE14" s="143"/>
      <c r="BF14" s="143"/>
      <c r="BG14" s="50"/>
    </row>
    <row r="15" ht="0.75" customHeight="1">
      <c r="A15" s="124" t="s">
        <v>989</v>
      </c>
      <c r="B15" s="124"/>
      <c r="C15" s="124"/>
      <c r="D15" s="53"/>
      <c r="E15" s="91"/>
      <c r="F15" s="920">
        <v>2025</v>
      </c>
      <c r="G15" s="921"/>
      <c r="H15" s="922" t="s">
        <v>371</v>
      </c>
      <c r="I15" s="923"/>
      <c r="J15" s="160"/>
      <c r="K15" s="160"/>
      <c r="L15" s="924"/>
      <c r="M15" s="536"/>
      <c r="N15" s="925"/>
      <c r="O15" s="926"/>
      <c r="P15" s="925"/>
      <c r="Q15" s="925"/>
      <c r="R15" s="925"/>
      <c r="S15" s="925"/>
      <c r="T15" s="925"/>
      <c r="U15" s="925"/>
      <c r="V15" s="925"/>
      <c r="W15" s="925"/>
      <c r="X15" s="925"/>
      <c r="Y15" s="925"/>
      <c r="Z15" s="925"/>
      <c r="AA15" s="925"/>
      <c r="AB15" s="925"/>
      <c r="AC15" s="925"/>
      <c r="AD15" s="925"/>
      <c r="AE15" s="925"/>
      <c r="AF15" s="927"/>
      <c r="AG15" s="924"/>
      <c r="AH15" s="924"/>
      <c r="AI15" s="927"/>
      <c r="AJ15" s="924"/>
      <c r="AK15" s="924"/>
      <c r="AL15" s="919"/>
      <c r="AM15" s="143"/>
      <c r="AN15" s="143"/>
      <c r="AO15" s="143"/>
      <c r="AP15" s="143"/>
      <c r="AQ15" s="143"/>
      <c r="AR15" s="143"/>
      <c r="AS15" s="143"/>
      <c r="AT15" s="143"/>
      <c r="AU15" s="143"/>
      <c r="AV15" s="143"/>
      <c r="AW15" s="143"/>
      <c r="AX15" s="143"/>
      <c r="AY15" s="143"/>
      <c r="AZ15" s="143"/>
      <c r="BA15" s="143"/>
      <c r="BB15" s="143"/>
      <c r="BC15" s="143"/>
      <c r="BD15" s="143"/>
      <c r="BE15" s="143"/>
      <c r="BF15" s="143"/>
      <c r="BG15" s="50"/>
    </row>
    <row r="16" ht="0.75" customHeight="1">
      <c r="A16" s="124" t="s">
        <v>989</v>
      </c>
      <c r="B16" s="124"/>
      <c r="C16" s="124"/>
      <c r="D16" s="53"/>
      <c r="E16" s="91"/>
      <c r="F16" s="920"/>
      <c r="G16" s="921"/>
      <c r="H16" s="922"/>
      <c r="I16" s="923"/>
      <c r="J16" s="160"/>
      <c r="K16" s="160"/>
      <c r="L16" s="924"/>
      <c r="M16" s="536"/>
      <c r="N16" s="928"/>
      <c r="O16" s="929"/>
      <c r="P16" s="930"/>
      <c r="Q16" s="160"/>
      <c r="R16" s="160"/>
      <c r="S16" s="160"/>
      <c r="T16" s="160"/>
      <c r="U16" s="160"/>
      <c r="V16" s="160"/>
      <c r="W16" s="160"/>
      <c r="X16" s="160"/>
      <c r="Y16" s="160"/>
      <c r="Z16" s="931"/>
      <c r="AA16" s="932"/>
      <c r="AB16" s="932"/>
      <c r="AC16" s="933"/>
      <c r="AD16" s="933"/>
      <c r="AE16" s="934"/>
      <c r="AF16" s="927"/>
      <c r="AG16" s="924"/>
      <c r="AH16" s="924"/>
      <c r="AI16" s="927"/>
      <c r="AJ16" s="924"/>
      <c r="AK16" s="924"/>
      <c r="AL16" s="919"/>
      <c r="AM16" s="143"/>
      <c r="AN16" s="143"/>
      <c r="AO16" s="143"/>
      <c r="AP16" s="143"/>
      <c r="AQ16" s="143"/>
      <c r="AR16" s="143"/>
      <c r="AS16" s="143"/>
      <c r="AT16" s="143"/>
      <c r="AU16" s="143"/>
      <c r="AV16" s="143"/>
      <c r="AW16" s="143"/>
      <c r="AX16" s="143"/>
      <c r="AY16" s="143"/>
      <c r="AZ16" s="143"/>
      <c r="BA16" s="143"/>
      <c r="BB16" s="143"/>
      <c r="BC16" s="143"/>
      <c r="BD16" s="143"/>
      <c r="BE16" s="143"/>
      <c r="BF16" s="143"/>
      <c r="BG16" s="50"/>
    </row>
    <row r="17" ht="0.75" customHeight="1">
      <c r="A17" s="124" t="s">
        <v>989</v>
      </c>
      <c r="B17" s="124"/>
      <c r="C17" s="124"/>
      <c r="D17" s="53"/>
      <c r="E17" s="91"/>
      <c r="F17" s="920"/>
      <c r="G17" s="921"/>
      <c r="H17" s="922"/>
      <c r="I17" s="923"/>
      <c r="J17" s="160"/>
      <c r="K17" s="160"/>
      <c r="L17" s="924"/>
      <c r="M17" s="536"/>
      <c r="N17" s="928"/>
      <c r="O17" s="929"/>
      <c r="P17" s="935"/>
      <c r="Q17" s="160"/>
      <c r="R17" s="160"/>
      <c r="S17" s="160"/>
      <c r="T17" s="160"/>
      <c r="U17" s="160"/>
      <c r="V17" s="160"/>
      <c r="W17" s="160"/>
      <c r="X17" s="160"/>
      <c r="Y17" s="160"/>
      <c r="Z17" s="936"/>
      <c r="AA17" s="929"/>
      <c r="AB17" s="937"/>
      <c r="AC17" s="938"/>
      <c r="AD17" s="937"/>
      <c r="AE17" s="938"/>
      <c r="AF17" s="927"/>
      <c r="AG17" s="924"/>
      <c r="AH17" s="924"/>
      <c r="AI17" s="927"/>
      <c r="AJ17" s="924"/>
      <c r="AK17" s="924"/>
      <c r="AL17" s="919"/>
      <c r="AM17" s="143"/>
      <c r="AN17" s="143"/>
      <c r="AO17" s="143"/>
      <c r="AP17" s="143"/>
      <c r="AQ17" s="143"/>
      <c r="AR17" s="143"/>
      <c r="AS17" s="143"/>
      <c r="AT17" s="143"/>
      <c r="AU17" s="143"/>
      <c r="AV17" s="143"/>
      <c r="AW17" s="143"/>
      <c r="AX17" s="143"/>
      <c r="AY17" s="143"/>
      <c r="AZ17" s="143"/>
      <c r="BA17" s="143"/>
      <c r="BB17" s="143"/>
      <c r="BC17" s="143"/>
      <c r="BD17" s="143"/>
      <c r="BE17" s="143"/>
      <c r="BF17" s="143"/>
      <c r="BG17" s="50"/>
    </row>
    <row r="18" ht="0.75" customHeight="1">
      <c r="A18" s="124" t="s">
        <v>989</v>
      </c>
      <c r="B18" s="124"/>
      <c r="C18" s="124"/>
      <c r="D18" s="53"/>
      <c r="E18" s="91"/>
      <c r="F18" s="920"/>
      <c r="G18" s="921"/>
      <c r="H18" s="922"/>
      <c r="I18" s="923"/>
      <c r="J18" s="160"/>
      <c r="K18" s="160"/>
      <c r="L18" s="924"/>
      <c r="M18" s="536"/>
      <c r="N18" s="928"/>
      <c r="O18" s="929"/>
      <c r="P18" s="939"/>
      <c r="Q18" s="160"/>
      <c r="R18" s="160"/>
      <c r="S18" s="160"/>
      <c r="T18" s="160"/>
      <c r="U18" s="160"/>
      <c r="V18" s="160"/>
      <c r="W18" s="160"/>
      <c r="X18" s="160"/>
      <c r="Y18" s="160"/>
      <c r="Z18" s="931"/>
      <c r="AA18" s="932"/>
      <c r="AB18" s="940"/>
      <c r="AC18" s="933"/>
      <c r="AD18" s="933"/>
      <c r="AE18" s="941"/>
      <c r="AF18" s="927"/>
      <c r="AG18" s="924"/>
      <c r="AH18" s="924"/>
      <c r="AI18" s="927"/>
      <c r="AJ18" s="924"/>
      <c r="AK18" s="924"/>
      <c r="AL18" s="919"/>
      <c r="AM18" s="143"/>
      <c r="AN18" s="143"/>
      <c r="AO18" s="143"/>
      <c r="AP18" s="143"/>
      <c r="AQ18" s="143"/>
      <c r="AR18" s="143"/>
      <c r="AS18" s="143"/>
      <c r="AT18" s="143"/>
      <c r="AU18" s="143"/>
      <c r="AV18" s="143"/>
      <c r="AW18" s="143"/>
      <c r="AX18" s="143"/>
      <c r="AY18" s="143"/>
      <c r="AZ18" s="143"/>
      <c r="BA18" s="143"/>
      <c r="BB18" s="143"/>
      <c r="BC18" s="143"/>
      <c r="BD18" s="143"/>
      <c r="BE18" s="143"/>
      <c r="BF18" s="143"/>
      <c r="BG18" s="50"/>
    </row>
    <row r="19" ht="0.75" customHeight="1">
      <c r="A19" s="124" t="s">
        <v>989</v>
      </c>
      <c r="B19" s="124"/>
      <c r="C19" s="124"/>
      <c r="D19" s="53"/>
      <c r="E19" s="91"/>
      <c r="F19" s="920"/>
      <c r="G19" s="921"/>
      <c r="H19" s="922"/>
      <c r="I19" s="923"/>
      <c r="J19" s="160"/>
      <c r="K19" s="160"/>
      <c r="L19" s="924"/>
      <c r="M19" s="536"/>
      <c r="N19" s="932"/>
      <c r="O19" s="932"/>
      <c r="P19" s="940"/>
      <c r="Q19" s="932"/>
      <c r="R19" s="932"/>
      <c r="S19" s="932"/>
      <c r="T19" s="932"/>
      <c r="U19" s="932"/>
      <c r="V19" s="932"/>
      <c r="W19" s="932"/>
      <c r="X19" s="932"/>
      <c r="Y19" s="932"/>
      <c r="Z19" s="932"/>
      <c r="AA19" s="932"/>
      <c r="AB19" s="932"/>
      <c r="AC19" s="932"/>
      <c r="AD19" s="932"/>
      <c r="AE19" s="942"/>
      <c r="AF19" s="927"/>
      <c r="AG19" s="924"/>
      <c r="AH19" s="924"/>
      <c r="AI19" s="927"/>
      <c r="AJ19" s="924"/>
      <c r="AK19" s="924"/>
      <c r="AL19" s="919"/>
      <c r="AM19" s="143"/>
      <c r="AN19" s="143"/>
      <c r="AO19" s="143"/>
      <c r="AP19" s="143"/>
      <c r="AQ19" s="143"/>
      <c r="AR19" s="143"/>
      <c r="AS19" s="143"/>
      <c r="AT19" s="143"/>
      <c r="AU19" s="143"/>
      <c r="AV19" s="143"/>
      <c r="AW19" s="143"/>
      <c r="AX19" s="143"/>
      <c r="AY19" s="143"/>
      <c r="AZ19" s="143"/>
      <c r="BA19" s="143"/>
      <c r="BB19" s="143"/>
      <c r="BC19" s="143"/>
      <c r="BD19" s="143"/>
      <c r="BE19" s="143"/>
      <c r="BF19" s="143"/>
      <c r="BG19" s="50"/>
    </row>
    <row r="20" ht="11.25" customHeight="1">
      <c r="A20" s="124" t="s">
        <v>989</v>
      </c>
      <c r="B20" s="124" t="s">
        <v>22</v>
      </c>
      <c r="C20" s="124"/>
      <c r="D20" s="53"/>
      <c r="E20" s="91"/>
      <c r="F20" s="943"/>
      <c r="G20" s="149" t="s">
        <v>684</v>
      </c>
      <c r="H20" s="921" t="s">
        <v>106</v>
      </c>
      <c r="I20" s="944" t="s">
        <v>1021</v>
      </c>
      <c r="J20" s="945" t="s">
        <v>22</v>
      </c>
      <c r="K20" s="448" t="s">
        <v>1022</v>
      </c>
      <c r="L20" s="224" t="s">
        <v>19</v>
      </c>
      <c r="M20" s="218"/>
      <c r="N20" s="946"/>
      <c r="O20" s="947" t="s">
        <v>371</v>
      </c>
      <c r="P20" s="948"/>
      <c r="Q20" s="948"/>
      <c r="R20" s="948"/>
      <c r="S20" s="948"/>
      <c r="T20" s="948"/>
      <c r="U20" s="948"/>
      <c r="V20" s="948"/>
      <c r="W20" s="948"/>
      <c r="X20" s="948"/>
      <c r="Y20" s="948"/>
      <c r="Z20" s="948"/>
      <c r="AA20" s="948"/>
      <c r="AB20" s="948"/>
      <c r="AC20" s="948"/>
      <c r="AD20" s="948"/>
      <c r="AE20" s="948"/>
      <c r="AF20" s="949">
        <v>5</v>
      </c>
      <c r="AG20" s="950" t="s">
        <v>1023</v>
      </c>
      <c r="AH20" s="950" t="s">
        <v>1024</v>
      </c>
      <c r="AI20" s="949"/>
      <c r="AJ20" s="950"/>
      <c r="AK20" s="950"/>
      <c r="AL20" s="919"/>
      <c r="AM20" s="143"/>
      <c r="AN20" s="143"/>
      <c r="AO20" s="143"/>
      <c r="AP20" s="143"/>
      <c r="AQ20" s="143"/>
      <c r="AR20" s="143"/>
      <c r="AS20" s="143"/>
      <c r="AT20" s="143"/>
      <c r="AU20" s="143"/>
      <c r="AV20" s="143"/>
      <c r="AW20" s="143"/>
      <c r="AX20" s="143"/>
      <c r="AY20" s="143"/>
      <c r="AZ20" s="143"/>
      <c r="BA20" s="143"/>
      <c r="BB20" s="143"/>
      <c r="BC20" s="143"/>
      <c r="BD20" s="143"/>
      <c r="BE20" s="143"/>
      <c r="BF20" s="143"/>
      <c r="BG20" s="50"/>
    </row>
    <row r="21" ht="11.25" customHeight="1">
      <c r="A21" s="124" t="s">
        <v>989</v>
      </c>
      <c r="B21" s="124"/>
      <c r="C21" s="124"/>
      <c r="D21" s="53"/>
      <c r="E21" s="91"/>
      <c r="F21" s="943"/>
      <c r="G21" s="951"/>
      <c r="H21" s="921" t="s">
        <v>371</v>
      </c>
      <c r="I21" s="944"/>
      <c r="J21" s="945"/>
      <c r="K21" s="448"/>
      <c r="L21" s="224"/>
      <c r="M21" s="218"/>
      <c r="N21" s="952"/>
      <c r="O21" s="953">
        <v>1</v>
      </c>
      <c r="P21" s="954" t="s">
        <v>65</v>
      </c>
      <c r="Q21" s="388" t="s">
        <v>1025</v>
      </c>
      <c r="R21" s="955" t="s">
        <v>1026</v>
      </c>
      <c r="S21" s="955" t="s">
        <v>1027</v>
      </c>
      <c r="T21" s="955" t="s">
        <v>1027</v>
      </c>
      <c r="U21" s="955" t="s">
        <v>1028</v>
      </c>
      <c r="V21" s="955" t="s">
        <v>1029</v>
      </c>
      <c r="W21" s="955" t="s">
        <v>1030</v>
      </c>
      <c r="X21" s="955" t="s">
        <v>1031</v>
      </c>
      <c r="Y21" s="955" t="s">
        <v>1032</v>
      </c>
      <c r="Z21" s="956"/>
      <c r="AA21" s="957"/>
      <c r="AB21" s="957"/>
      <c r="AC21" s="958"/>
      <c r="AD21" s="958"/>
      <c r="AE21" s="959"/>
      <c r="AF21" s="949"/>
      <c r="AG21" s="950"/>
      <c r="AH21" s="950"/>
      <c r="AI21" s="949"/>
      <c r="AJ21" s="950"/>
      <c r="AK21" s="950"/>
      <c r="AL21" s="919"/>
      <c r="AM21" s="143"/>
      <c r="AN21" s="143"/>
      <c r="AO21" s="143"/>
      <c r="AP21" s="143"/>
      <c r="AQ21" s="143"/>
      <c r="AR21" s="143"/>
      <c r="AS21" s="143"/>
      <c r="AT21" s="143"/>
      <c r="AU21" s="143"/>
      <c r="AV21" s="143"/>
      <c r="AW21" s="143"/>
      <c r="AX21" s="143"/>
      <c r="AY21" s="143"/>
      <c r="AZ21" s="143"/>
      <c r="BA21" s="143"/>
      <c r="BB21" s="143"/>
      <c r="BC21" s="143"/>
      <c r="BD21" s="143"/>
      <c r="BE21" s="143"/>
      <c r="BF21" s="143"/>
      <c r="BG21" s="50"/>
    </row>
    <row r="22" ht="11.25" customHeight="1">
      <c r="A22" s="124" t="s">
        <v>989</v>
      </c>
      <c r="B22" s="124"/>
      <c r="C22" s="124"/>
      <c r="D22" s="53"/>
      <c r="E22" s="91"/>
      <c r="F22" s="943"/>
      <c r="G22" s="951"/>
      <c r="H22" s="921" t="s">
        <v>371</v>
      </c>
      <c r="I22" s="944"/>
      <c r="J22" s="945"/>
      <c r="K22" s="448"/>
      <c r="L22" s="224"/>
      <c r="M22" s="218"/>
      <c r="N22" s="952"/>
      <c r="O22" s="953"/>
      <c r="P22" s="960"/>
      <c r="Q22" s="388"/>
      <c r="R22" s="458"/>
      <c r="S22" s="955"/>
      <c r="T22" s="458"/>
      <c r="U22" s="458"/>
      <c r="V22" s="458"/>
      <c r="W22" s="458"/>
      <c r="X22" s="458"/>
      <c r="Y22" s="458"/>
      <c r="Z22" s="961"/>
      <c r="AA22" s="962">
        <v>1</v>
      </c>
      <c r="AB22" s="963" t="s">
        <v>1033</v>
      </c>
      <c r="AC22" s="856">
        <v>21085.662</v>
      </c>
      <c r="AD22" s="963" t="str">
        <f>AB22</f>
        <v xml:space="preserve">      Амортизационные отчисления с выделением результатов переоценки основных средств и нематериальных активов</v>
      </c>
      <c r="AE22" s="856"/>
      <c r="AF22" s="949"/>
      <c r="AG22" s="950"/>
      <c r="AH22" s="950"/>
      <c r="AI22" s="949"/>
      <c r="AJ22" s="950"/>
      <c r="AK22" s="950"/>
      <c r="AL22" s="919"/>
      <c r="AM22" s="143"/>
      <c r="AN22" s="143"/>
      <c r="AO22" s="143"/>
      <c r="AP22" s="143"/>
      <c r="AQ22" s="143"/>
      <c r="AR22" s="143"/>
      <c r="AS22" s="143"/>
      <c r="AT22" s="143"/>
      <c r="AU22" s="143"/>
      <c r="AV22" s="143"/>
      <c r="AW22" s="143"/>
      <c r="AX22" s="143"/>
      <c r="AY22" s="143"/>
      <c r="AZ22" s="143"/>
      <c r="BA22" s="143"/>
      <c r="BB22" s="143"/>
      <c r="BC22" s="143"/>
      <c r="BD22" s="143"/>
      <c r="BE22" s="143"/>
      <c r="BF22" s="143"/>
      <c r="BG22" s="50"/>
    </row>
    <row r="23" ht="11.25" customHeight="1">
      <c r="A23" s="124" t="s">
        <v>989</v>
      </c>
      <c r="B23" s="124"/>
      <c r="C23" s="124"/>
      <c r="D23" s="53"/>
      <c r="E23" s="91"/>
      <c r="F23" s="943"/>
      <c r="G23" s="951"/>
      <c r="H23" s="921" t="s">
        <v>371</v>
      </c>
      <c r="I23" s="944"/>
      <c r="J23" s="945"/>
      <c r="K23" s="448"/>
      <c r="L23" s="224"/>
      <c r="M23" s="218"/>
      <c r="N23" s="952"/>
      <c r="O23" s="953"/>
      <c r="P23" s="964"/>
      <c r="Q23" s="388"/>
      <c r="R23" s="458"/>
      <c r="S23" s="955"/>
      <c r="T23" s="458"/>
      <c r="U23" s="458"/>
      <c r="V23" s="458"/>
      <c r="W23" s="458"/>
      <c r="X23" s="458"/>
      <c r="Y23" s="458"/>
      <c r="Z23" s="956"/>
      <c r="AA23" s="957"/>
      <c r="AB23" s="172" t="s">
        <v>1034</v>
      </c>
      <c r="AC23" s="958"/>
      <c r="AD23" s="958"/>
      <c r="AE23" s="965"/>
      <c r="AF23" s="949"/>
      <c r="AG23" s="950"/>
      <c r="AH23" s="950"/>
      <c r="AI23" s="949"/>
      <c r="AJ23" s="950"/>
      <c r="AK23" s="950"/>
      <c r="AL23" s="919"/>
      <c r="AM23" s="143"/>
      <c r="AN23" s="143"/>
      <c r="AO23" s="143"/>
      <c r="AP23" s="143"/>
      <c r="AQ23" s="143"/>
      <c r="AR23" s="143"/>
      <c r="AS23" s="143"/>
      <c r="AT23" s="143"/>
      <c r="AU23" s="143"/>
      <c r="AV23" s="143"/>
      <c r="AW23" s="143"/>
      <c r="AX23" s="143"/>
      <c r="AY23" s="143"/>
      <c r="AZ23" s="143"/>
      <c r="BA23" s="143"/>
      <c r="BB23" s="143"/>
      <c r="BC23" s="143"/>
      <c r="BD23" s="143"/>
      <c r="BE23" s="143"/>
      <c r="BF23" s="143"/>
      <c r="BG23" s="50"/>
    </row>
    <row r="24" ht="11.25" customHeight="1">
      <c r="A24" s="124" t="s">
        <v>989</v>
      </c>
      <c r="B24" s="124"/>
      <c r="C24" s="124"/>
      <c r="D24" s="53"/>
      <c r="E24" s="91"/>
      <c r="F24" s="943"/>
      <c r="G24" s="951"/>
      <c r="H24" s="921" t="s">
        <v>371</v>
      </c>
      <c r="I24" s="944"/>
      <c r="J24" s="945"/>
      <c r="K24" s="448"/>
      <c r="L24" s="224"/>
      <c r="M24" s="218"/>
      <c r="N24" s="956"/>
      <c r="O24" s="957"/>
      <c r="P24" s="172" t="s">
        <v>1035</v>
      </c>
      <c r="Q24" s="957"/>
      <c r="R24" s="957"/>
      <c r="S24" s="957"/>
      <c r="T24" s="957"/>
      <c r="U24" s="957"/>
      <c r="V24" s="957"/>
      <c r="W24" s="957"/>
      <c r="X24" s="957"/>
      <c r="Y24" s="957"/>
      <c r="Z24" s="957"/>
      <c r="AA24" s="957"/>
      <c r="AB24" s="957"/>
      <c r="AC24" s="957"/>
      <c r="AD24" s="957"/>
      <c r="AE24" s="966"/>
      <c r="AF24" s="949"/>
      <c r="AG24" s="950"/>
      <c r="AH24" s="950"/>
      <c r="AI24" s="949"/>
      <c r="AJ24" s="950"/>
      <c r="AK24" s="950"/>
      <c r="AL24" s="919"/>
      <c r="AM24" s="143"/>
      <c r="AN24" s="143"/>
      <c r="AO24" s="143"/>
      <c r="AP24" s="143"/>
      <c r="AQ24" s="143"/>
      <c r="AR24" s="143"/>
      <c r="AS24" s="143"/>
      <c r="AT24" s="143"/>
      <c r="AU24" s="143"/>
      <c r="AV24" s="143"/>
      <c r="AW24" s="143"/>
      <c r="AX24" s="143"/>
      <c r="AY24" s="143"/>
      <c r="AZ24" s="143"/>
      <c r="BA24" s="143"/>
      <c r="BB24" s="143"/>
      <c r="BC24" s="143"/>
      <c r="BD24" s="143"/>
      <c r="BE24" s="143"/>
      <c r="BF24" s="143"/>
      <c r="BG24" s="50"/>
    </row>
    <row r="25" ht="11.25" customHeight="1">
      <c r="A25" s="124" t="s">
        <v>989</v>
      </c>
      <c r="B25" s="124" t="s">
        <v>1036</v>
      </c>
      <c r="C25" s="124"/>
      <c r="D25" s="53"/>
      <c r="E25" s="91"/>
      <c r="F25" s="943"/>
      <c r="G25" s="149" t="s">
        <v>684</v>
      </c>
      <c r="H25" s="921" t="s">
        <v>107</v>
      </c>
      <c r="I25" s="944" t="s">
        <v>1037</v>
      </c>
      <c r="J25" s="388" t="s">
        <v>1038</v>
      </c>
      <c r="K25" s="448" t="s">
        <v>1039</v>
      </c>
      <c r="L25" s="224" t="s">
        <v>19</v>
      </c>
      <c r="M25" s="218"/>
      <c r="N25" s="946"/>
      <c r="O25" s="947" t="s">
        <v>371</v>
      </c>
      <c r="P25" s="948"/>
      <c r="Q25" s="948"/>
      <c r="R25" s="948"/>
      <c r="S25" s="948"/>
      <c r="T25" s="948"/>
      <c r="U25" s="948"/>
      <c r="V25" s="948"/>
      <c r="W25" s="948"/>
      <c r="X25" s="948"/>
      <c r="Y25" s="948"/>
      <c r="Z25" s="948"/>
      <c r="AA25" s="948"/>
      <c r="AB25" s="948"/>
      <c r="AC25" s="948"/>
      <c r="AD25" s="948"/>
      <c r="AE25" s="948"/>
      <c r="AF25" s="949">
        <v>3</v>
      </c>
      <c r="AG25" s="950" t="s">
        <v>1023</v>
      </c>
      <c r="AH25" s="950" t="s">
        <v>1040</v>
      </c>
      <c r="AI25" s="949"/>
      <c r="AJ25" s="950"/>
      <c r="AK25" s="950"/>
      <c r="AL25" s="919"/>
      <c r="AM25" s="143"/>
      <c r="AN25" s="143"/>
      <c r="AO25" s="143"/>
      <c r="AP25" s="143"/>
      <c r="AQ25" s="143"/>
      <c r="AR25" s="143"/>
      <c r="AS25" s="143"/>
      <c r="AT25" s="143"/>
      <c r="AU25" s="143"/>
      <c r="AV25" s="143"/>
      <c r="AW25" s="143"/>
      <c r="AX25" s="143"/>
      <c r="AY25" s="143"/>
      <c r="AZ25" s="143"/>
      <c r="BA25" s="143"/>
      <c r="BB25" s="143"/>
      <c r="BC25" s="143"/>
      <c r="BD25" s="143"/>
      <c r="BE25" s="143"/>
      <c r="BF25" s="143"/>
      <c r="BG25" s="50"/>
    </row>
    <row r="26" ht="11.25" customHeight="1">
      <c r="A26" s="124" t="s">
        <v>989</v>
      </c>
      <c r="B26" s="124"/>
      <c r="C26" s="124"/>
      <c r="D26" s="53"/>
      <c r="E26" s="91"/>
      <c r="F26" s="943"/>
      <c r="G26" s="951"/>
      <c r="H26" s="921" t="s">
        <v>106</v>
      </c>
      <c r="I26" s="944"/>
      <c r="J26" s="388"/>
      <c r="K26" s="448"/>
      <c r="L26" s="224"/>
      <c r="M26" s="218"/>
      <c r="N26" s="952"/>
      <c r="O26" s="953">
        <v>1</v>
      </c>
      <c r="P26" s="954" t="s">
        <v>65</v>
      </c>
      <c r="Q26" s="388" t="s">
        <v>1025</v>
      </c>
      <c r="R26" s="955" t="s">
        <v>1026</v>
      </c>
      <c r="S26" s="955" t="s">
        <v>1027</v>
      </c>
      <c r="T26" s="955" t="s">
        <v>1027</v>
      </c>
      <c r="U26" s="955" t="s">
        <v>1028</v>
      </c>
      <c r="V26" s="955" t="s">
        <v>1029</v>
      </c>
      <c r="W26" s="955" t="s">
        <v>1030</v>
      </c>
      <c r="X26" s="955" t="s">
        <v>1031</v>
      </c>
      <c r="Y26" s="955" t="s">
        <v>1032</v>
      </c>
      <c r="Z26" s="956"/>
      <c r="AA26" s="957"/>
      <c r="AB26" s="957"/>
      <c r="AC26" s="958"/>
      <c r="AD26" s="958"/>
      <c r="AE26" s="959"/>
      <c r="AF26" s="949"/>
      <c r="AG26" s="950"/>
      <c r="AH26" s="950"/>
      <c r="AI26" s="949"/>
      <c r="AJ26" s="950"/>
      <c r="AK26" s="950"/>
      <c r="AL26" s="919"/>
      <c r="AM26" s="143"/>
      <c r="AN26" s="143"/>
      <c r="AO26" s="143"/>
      <c r="AP26" s="143"/>
      <c r="AQ26" s="143"/>
      <c r="AR26" s="143"/>
      <c r="AS26" s="143"/>
      <c r="AT26" s="143"/>
      <c r="AU26" s="143"/>
      <c r="AV26" s="143"/>
      <c r="AW26" s="143"/>
      <c r="AX26" s="143"/>
      <c r="AY26" s="143"/>
      <c r="AZ26" s="143"/>
      <c r="BA26" s="143"/>
      <c r="BB26" s="143"/>
      <c r="BC26" s="143"/>
      <c r="BD26" s="143"/>
      <c r="BE26" s="143"/>
      <c r="BF26" s="143"/>
      <c r="BG26" s="50"/>
    </row>
    <row r="27" ht="11.25" customHeight="1">
      <c r="A27" s="124" t="s">
        <v>989</v>
      </c>
      <c r="B27" s="124"/>
      <c r="C27" s="124"/>
      <c r="D27" s="53"/>
      <c r="E27" s="91"/>
      <c r="F27" s="943"/>
      <c r="G27" s="951"/>
      <c r="H27" s="921" t="s">
        <v>106</v>
      </c>
      <c r="I27" s="944"/>
      <c r="J27" s="388"/>
      <c r="K27" s="448"/>
      <c r="L27" s="224"/>
      <c r="M27" s="218"/>
      <c r="N27" s="952"/>
      <c r="O27" s="953"/>
      <c r="P27" s="960"/>
      <c r="Q27" s="388"/>
      <c r="R27" s="458"/>
      <c r="S27" s="955"/>
      <c r="T27" s="458"/>
      <c r="U27" s="458"/>
      <c r="V27" s="458"/>
      <c r="W27" s="458"/>
      <c r="X27" s="458"/>
      <c r="Y27" s="458"/>
      <c r="Z27" s="961"/>
      <c r="AA27" s="962">
        <v>1</v>
      </c>
      <c r="AB27" s="963" t="s">
        <v>1033</v>
      </c>
      <c r="AC27" s="856">
        <v>519.34100000000001</v>
      </c>
      <c r="AD27" s="963" t="str">
        <f t="shared" ref="AD27:AD90" si="48">AB27</f>
        <v xml:space="preserve">      Амортизационные отчисления с выделением результатов переоценки основных средств и нематериальных активов</v>
      </c>
      <c r="AE27" s="856"/>
      <c r="AF27" s="949"/>
      <c r="AG27" s="950"/>
      <c r="AH27" s="950"/>
      <c r="AI27" s="949"/>
      <c r="AJ27" s="950"/>
      <c r="AK27" s="950"/>
      <c r="AL27" s="919"/>
      <c r="AM27" s="143"/>
      <c r="AN27" s="143"/>
      <c r="AO27" s="143"/>
      <c r="AP27" s="143"/>
      <c r="AQ27" s="143"/>
      <c r="AR27" s="143"/>
      <c r="AS27" s="143"/>
      <c r="AT27" s="143"/>
      <c r="AU27" s="143"/>
      <c r="AV27" s="143"/>
      <c r="AW27" s="143"/>
      <c r="AX27" s="143"/>
      <c r="AY27" s="143"/>
      <c r="AZ27" s="143"/>
      <c r="BA27" s="143"/>
      <c r="BB27" s="143"/>
      <c r="BC27" s="143"/>
      <c r="BD27" s="143"/>
      <c r="BE27" s="143"/>
      <c r="BF27" s="143"/>
      <c r="BG27" s="50"/>
    </row>
    <row r="28" ht="11.25" customHeight="1">
      <c r="A28" s="124" t="s">
        <v>989</v>
      </c>
      <c r="B28" s="124"/>
      <c r="C28" s="124"/>
      <c r="D28" s="53"/>
      <c r="E28" s="91"/>
      <c r="F28" s="951"/>
      <c r="G28" s="951"/>
      <c r="H28" s="951"/>
      <c r="I28" s="951"/>
      <c r="J28" s="967"/>
      <c r="K28" s="951"/>
      <c r="L28" s="951"/>
      <c r="M28" s="951"/>
      <c r="N28" s="951"/>
      <c r="O28" s="951"/>
      <c r="P28" s="951"/>
      <c r="Q28" s="951"/>
      <c r="R28" s="951"/>
      <c r="S28" s="951"/>
      <c r="T28" s="951"/>
      <c r="U28" s="951"/>
      <c r="V28" s="951"/>
      <c r="W28" s="951"/>
      <c r="X28" s="951"/>
      <c r="Y28" s="951"/>
      <c r="Z28" s="149" t="s">
        <v>684</v>
      </c>
      <c r="AA28" s="953" t="s">
        <v>107</v>
      </c>
      <c r="AB28" s="963" t="s">
        <v>1041</v>
      </c>
      <c r="AC28" s="856">
        <v>9886.8600000000006</v>
      </c>
      <c r="AD28" s="963" t="str">
        <f t="shared" si="48"/>
        <v xml:space="preserve">  Прочие собственные средства</v>
      </c>
      <c r="AE28" s="856"/>
      <c r="AF28" s="968"/>
      <c r="AG28" s="969"/>
      <c r="AH28" s="969"/>
      <c r="AI28" s="968"/>
      <c r="AJ28" s="969"/>
      <c r="AK28" s="970"/>
      <c r="AL28" s="919"/>
      <c r="AM28" s="143"/>
      <c r="AN28" s="143"/>
      <c r="AO28" s="143"/>
      <c r="AP28" s="143"/>
      <c r="AQ28" s="143"/>
      <c r="AR28" s="143"/>
      <c r="AS28" s="143"/>
      <c r="AT28" s="143"/>
      <c r="AU28" s="143"/>
      <c r="AV28" s="143"/>
      <c r="AW28" s="143"/>
      <c r="AX28" s="143"/>
      <c r="AY28" s="143"/>
      <c r="AZ28" s="143"/>
      <c r="BA28" s="143"/>
      <c r="BB28" s="143"/>
      <c r="BC28" s="143"/>
      <c r="BD28" s="143"/>
      <c r="BE28" s="143"/>
      <c r="BF28" s="143"/>
      <c r="BG28" s="50"/>
    </row>
    <row r="29" ht="11.25" customHeight="1">
      <c r="A29" s="124" t="s">
        <v>989</v>
      </c>
      <c r="B29" s="124"/>
      <c r="C29" s="124"/>
      <c r="D29" s="53"/>
      <c r="E29" s="91"/>
      <c r="F29" s="943"/>
      <c r="G29" s="951"/>
      <c r="H29" s="921" t="s">
        <v>106</v>
      </c>
      <c r="I29" s="944"/>
      <c r="J29" s="388"/>
      <c r="K29" s="448"/>
      <c r="L29" s="224"/>
      <c r="M29" s="218"/>
      <c r="N29" s="952"/>
      <c r="O29" s="953"/>
      <c r="P29" s="964"/>
      <c r="Q29" s="388"/>
      <c r="R29" s="458"/>
      <c r="S29" s="955"/>
      <c r="T29" s="458"/>
      <c r="U29" s="458"/>
      <c r="V29" s="458"/>
      <c r="W29" s="458"/>
      <c r="X29" s="458"/>
      <c r="Y29" s="458"/>
      <c r="Z29" s="956"/>
      <c r="AA29" s="957"/>
      <c r="AB29" s="172" t="s">
        <v>1034</v>
      </c>
      <c r="AC29" s="958"/>
      <c r="AD29" s="958"/>
      <c r="AE29" s="965"/>
      <c r="AF29" s="949"/>
      <c r="AG29" s="950"/>
      <c r="AH29" s="950"/>
      <c r="AI29" s="949"/>
      <c r="AJ29" s="950"/>
      <c r="AK29" s="950"/>
      <c r="AL29" s="919"/>
      <c r="AM29" s="143"/>
      <c r="AN29" s="143"/>
      <c r="AO29" s="143"/>
      <c r="AP29" s="143"/>
      <c r="AQ29" s="143"/>
      <c r="AR29" s="143"/>
      <c r="AS29" s="143"/>
      <c r="AT29" s="143"/>
      <c r="AU29" s="143"/>
      <c r="AV29" s="143"/>
      <c r="AW29" s="143"/>
      <c r="AX29" s="143"/>
      <c r="AY29" s="143"/>
      <c r="AZ29" s="143"/>
      <c r="BA29" s="143"/>
      <c r="BB29" s="143"/>
      <c r="BC29" s="143"/>
      <c r="BD29" s="143"/>
      <c r="BE29" s="143"/>
      <c r="BF29" s="143"/>
      <c r="BG29" s="50"/>
    </row>
    <row r="30" ht="11.25" customHeight="1">
      <c r="A30" s="124" t="s">
        <v>989</v>
      </c>
      <c r="B30" s="124"/>
      <c r="C30" s="124"/>
      <c r="D30" s="53"/>
      <c r="E30" s="91"/>
      <c r="F30" s="943"/>
      <c r="G30" s="951"/>
      <c r="H30" s="921" t="s">
        <v>106</v>
      </c>
      <c r="I30" s="944"/>
      <c r="J30" s="388"/>
      <c r="K30" s="448"/>
      <c r="L30" s="224"/>
      <c r="M30" s="218"/>
      <c r="N30" s="956"/>
      <c r="O30" s="957"/>
      <c r="P30" s="172" t="s">
        <v>1035</v>
      </c>
      <c r="Q30" s="957"/>
      <c r="R30" s="957"/>
      <c r="S30" s="957"/>
      <c r="T30" s="957"/>
      <c r="U30" s="957"/>
      <c r="V30" s="957"/>
      <c r="W30" s="957"/>
      <c r="X30" s="957"/>
      <c r="Y30" s="957"/>
      <c r="Z30" s="957"/>
      <c r="AA30" s="957"/>
      <c r="AB30" s="957"/>
      <c r="AC30" s="957"/>
      <c r="AD30" s="957"/>
      <c r="AE30" s="966"/>
      <c r="AF30" s="949"/>
      <c r="AG30" s="950"/>
      <c r="AH30" s="950"/>
      <c r="AI30" s="949"/>
      <c r="AJ30" s="950"/>
      <c r="AK30" s="950"/>
      <c r="AL30" s="919"/>
      <c r="AM30" s="143"/>
      <c r="AN30" s="143"/>
      <c r="AO30" s="143"/>
      <c r="AP30" s="143"/>
      <c r="AQ30" s="143"/>
      <c r="AR30" s="143"/>
      <c r="AS30" s="143"/>
      <c r="AT30" s="143"/>
      <c r="AU30" s="143"/>
      <c r="AV30" s="143"/>
      <c r="AW30" s="143"/>
      <c r="AX30" s="143"/>
      <c r="AY30" s="143"/>
      <c r="AZ30" s="143"/>
      <c r="BA30" s="143"/>
      <c r="BB30" s="143"/>
      <c r="BC30" s="143"/>
      <c r="BD30" s="143"/>
      <c r="BE30" s="143"/>
      <c r="BF30" s="143"/>
      <c r="BG30" s="50"/>
    </row>
    <row r="31" ht="11.25" customHeight="1">
      <c r="A31" s="124" t="s">
        <v>989</v>
      </c>
      <c r="B31" s="124" t="s">
        <v>1036</v>
      </c>
      <c r="C31" s="124"/>
      <c r="D31" s="53"/>
      <c r="E31" s="91"/>
      <c r="F31" s="943"/>
      <c r="G31" s="149" t="s">
        <v>684</v>
      </c>
      <c r="H31" s="921" t="s">
        <v>90</v>
      </c>
      <c r="I31" s="944" t="s">
        <v>1037</v>
      </c>
      <c r="J31" s="388" t="s">
        <v>1038</v>
      </c>
      <c r="K31" s="448" t="s">
        <v>1042</v>
      </c>
      <c r="L31" s="224" t="s">
        <v>19</v>
      </c>
      <c r="M31" s="218"/>
      <c r="N31" s="946"/>
      <c r="O31" s="947" t="s">
        <v>371</v>
      </c>
      <c r="P31" s="948"/>
      <c r="Q31" s="948"/>
      <c r="R31" s="948"/>
      <c r="S31" s="948"/>
      <c r="T31" s="948"/>
      <c r="U31" s="948"/>
      <c r="V31" s="948"/>
      <c r="W31" s="948"/>
      <c r="X31" s="948"/>
      <c r="Y31" s="948"/>
      <c r="Z31" s="948"/>
      <c r="AA31" s="948"/>
      <c r="AB31" s="948"/>
      <c r="AC31" s="948"/>
      <c r="AD31" s="948"/>
      <c r="AE31" s="948"/>
      <c r="AF31" s="949">
        <v>4</v>
      </c>
      <c r="AG31" s="950" t="s">
        <v>1023</v>
      </c>
      <c r="AH31" s="950" t="s">
        <v>1043</v>
      </c>
      <c r="AI31" s="949"/>
      <c r="AJ31" s="950"/>
      <c r="AK31" s="950"/>
      <c r="AL31" s="919"/>
      <c r="AM31" s="143"/>
      <c r="AN31" s="143"/>
      <c r="AO31" s="143"/>
      <c r="AP31" s="143"/>
      <c r="AQ31" s="143"/>
      <c r="AR31" s="143"/>
      <c r="AS31" s="143"/>
      <c r="AT31" s="143"/>
      <c r="AU31" s="143"/>
      <c r="AV31" s="143"/>
      <c r="AW31" s="143"/>
      <c r="AX31" s="143"/>
      <c r="AY31" s="143"/>
      <c r="AZ31" s="143"/>
      <c r="BA31" s="143"/>
      <c r="BB31" s="143"/>
      <c r="BC31" s="143"/>
      <c r="BD31" s="143"/>
      <c r="BE31" s="143"/>
      <c r="BF31" s="143"/>
      <c r="BG31" s="50"/>
    </row>
    <row r="32" ht="11.25" customHeight="1">
      <c r="A32" s="124" t="s">
        <v>989</v>
      </c>
      <c r="B32" s="124"/>
      <c r="C32" s="124"/>
      <c r="D32" s="53"/>
      <c r="E32" s="91"/>
      <c r="F32" s="943"/>
      <c r="G32" s="951"/>
      <c r="H32" s="921" t="s">
        <v>107</v>
      </c>
      <c r="I32" s="944"/>
      <c r="J32" s="388"/>
      <c r="K32" s="448"/>
      <c r="L32" s="224"/>
      <c r="M32" s="218"/>
      <c r="N32" s="952"/>
      <c r="O32" s="953">
        <v>1</v>
      </c>
      <c r="P32" s="954" t="s">
        <v>65</v>
      </c>
      <c r="Q32" s="388" t="s">
        <v>1025</v>
      </c>
      <c r="R32" s="955" t="s">
        <v>1026</v>
      </c>
      <c r="S32" s="955" t="s">
        <v>1027</v>
      </c>
      <c r="T32" s="955" t="s">
        <v>1027</v>
      </c>
      <c r="U32" s="955" t="s">
        <v>1028</v>
      </c>
      <c r="V32" s="955" t="s">
        <v>1029</v>
      </c>
      <c r="W32" s="955" t="s">
        <v>1030</v>
      </c>
      <c r="X32" s="955" t="s">
        <v>1031</v>
      </c>
      <c r="Y32" s="955" t="s">
        <v>1032</v>
      </c>
      <c r="Z32" s="956"/>
      <c r="AA32" s="957"/>
      <c r="AB32" s="957"/>
      <c r="AC32" s="958"/>
      <c r="AD32" s="958"/>
      <c r="AE32" s="959"/>
      <c r="AF32" s="949"/>
      <c r="AG32" s="950"/>
      <c r="AH32" s="950"/>
      <c r="AI32" s="949"/>
      <c r="AJ32" s="950"/>
      <c r="AK32" s="950"/>
      <c r="AL32" s="919"/>
      <c r="AM32" s="143"/>
      <c r="AN32" s="143"/>
      <c r="AO32" s="143"/>
      <c r="AP32" s="143"/>
      <c r="AQ32" s="143"/>
      <c r="AR32" s="143"/>
      <c r="AS32" s="143"/>
      <c r="AT32" s="143"/>
      <c r="AU32" s="143"/>
      <c r="AV32" s="143"/>
      <c r="AW32" s="143"/>
      <c r="AX32" s="143"/>
      <c r="AY32" s="143"/>
      <c r="AZ32" s="143"/>
      <c r="BA32" s="143"/>
      <c r="BB32" s="143"/>
      <c r="BC32" s="143"/>
      <c r="BD32" s="143"/>
      <c r="BE32" s="143"/>
      <c r="BF32" s="143"/>
      <c r="BG32" s="50"/>
    </row>
    <row r="33" ht="11.25" customHeight="1">
      <c r="A33" s="124" t="s">
        <v>989</v>
      </c>
      <c r="B33" s="124"/>
      <c r="C33" s="124"/>
      <c r="D33" s="53"/>
      <c r="E33" s="91"/>
      <c r="F33" s="943"/>
      <c r="G33" s="951"/>
      <c r="H33" s="921" t="s">
        <v>107</v>
      </c>
      <c r="I33" s="944"/>
      <c r="J33" s="388"/>
      <c r="K33" s="448"/>
      <c r="L33" s="224"/>
      <c r="M33" s="218"/>
      <c r="N33" s="952"/>
      <c r="O33" s="953"/>
      <c r="P33" s="960"/>
      <c r="Q33" s="388"/>
      <c r="R33" s="458"/>
      <c r="S33" s="955"/>
      <c r="T33" s="458"/>
      <c r="U33" s="458"/>
      <c r="V33" s="458"/>
      <c r="W33" s="458"/>
      <c r="X33" s="458"/>
      <c r="Y33" s="458"/>
      <c r="Z33" s="961"/>
      <c r="AA33" s="962">
        <v>1</v>
      </c>
      <c r="AB33" s="963" t="s">
        <v>1033</v>
      </c>
      <c r="AC33" s="856">
        <v>6071.75</v>
      </c>
      <c r="AD33" s="963" t="str">
        <f t="shared" si="48"/>
        <v xml:space="preserve">      Амортизационные отчисления с выделением результатов переоценки основных средств и нематериальных активов</v>
      </c>
      <c r="AE33" s="856"/>
      <c r="AF33" s="949"/>
      <c r="AG33" s="950"/>
      <c r="AH33" s="950"/>
      <c r="AI33" s="949"/>
      <c r="AJ33" s="950"/>
      <c r="AK33" s="950"/>
      <c r="AL33" s="919"/>
      <c r="AM33" s="143"/>
      <c r="AN33" s="143"/>
      <c r="AO33" s="143"/>
      <c r="AP33" s="143"/>
      <c r="AQ33" s="143"/>
      <c r="AR33" s="143"/>
      <c r="AS33" s="143"/>
      <c r="AT33" s="143"/>
      <c r="AU33" s="143"/>
      <c r="AV33" s="143"/>
      <c r="AW33" s="143"/>
      <c r="AX33" s="143"/>
      <c r="AY33" s="143"/>
      <c r="AZ33" s="143"/>
      <c r="BA33" s="143"/>
      <c r="BB33" s="143"/>
      <c r="BC33" s="143"/>
      <c r="BD33" s="143"/>
      <c r="BE33" s="143"/>
      <c r="BF33" s="143"/>
      <c r="BG33" s="50"/>
    </row>
    <row r="34" ht="11.25" customHeight="1">
      <c r="A34" s="124" t="s">
        <v>989</v>
      </c>
      <c r="B34" s="124"/>
      <c r="C34" s="124"/>
      <c r="D34" s="53"/>
      <c r="E34" s="91"/>
      <c r="F34" s="943"/>
      <c r="G34" s="951"/>
      <c r="H34" s="921" t="s">
        <v>107</v>
      </c>
      <c r="I34" s="944"/>
      <c r="J34" s="388"/>
      <c r="K34" s="448"/>
      <c r="L34" s="224"/>
      <c r="M34" s="218"/>
      <c r="N34" s="952"/>
      <c r="O34" s="953"/>
      <c r="P34" s="964"/>
      <c r="Q34" s="388"/>
      <c r="R34" s="458"/>
      <c r="S34" s="955"/>
      <c r="T34" s="458"/>
      <c r="U34" s="458"/>
      <c r="V34" s="458"/>
      <c r="W34" s="458"/>
      <c r="X34" s="458"/>
      <c r="Y34" s="458"/>
      <c r="Z34" s="956"/>
      <c r="AA34" s="957"/>
      <c r="AB34" s="172" t="s">
        <v>1034</v>
      </c>
      <c r="AC34" s="958"/>
      <c r="AD34" s="958"/>
      <c r="AE34" s="965"/>
      <c r="AF34" s="949"/>
      <c r="AG34" s="950"/>
      <c r="AH34" s="950"/>
      <c r="AI34" s="949"/>
      <c r="AJ34" s="950"/>
      <c r="AK34" s="950"/>
      <c r="AL34" s="919"/>
      <c r="AM34" s="143"/>
      <c r="AN34" s="143"/>
      <c r="AO34" s="143"/>
      <c r="AP34" s="143"/>
      <c r="AQ34" s="143"/>
      <c r="AR34" s="143"/>
      <c r="AS34" s="143"/>
      <c r="AT34" s="143"/>
      <c r="AU34" s="143"/>
      <c r="AV34" s="143"/>
      <c r="AW34" s="143"/>
      <c r="AX34" s="143"/>
      <c r="AY34" s="143"/>
      <c r="AZ34" s="143"/>
      <c r="BA34" s="143"/>
      <c r="BB34" s="143"/>
      <c r="BC34" s="143"/>
      <c r="BD34" s="143"/>
      <c r="BE34" s="143"/>
      <c r="BF34" s="143"/>
      <c r="BG34" s="50"/>
    </row>
    <row r="35" ht="11.25" customHeight="1">
      <c r="A35" s="124" t="s">
        <v>989</v>
      </c>
      <c r="B35" s="124"/>
      <c r="C35" s="124"/>
      <c r="D35" s="53"/>
      <c r="E35" s="91"/>
      <c r="F35" s="943"/>
      <c r="G35" s="951"/>
      <c r="H35" s="921" t="s">
        <v>107</v>
      </c>
      <c r="I35" s="944"/>
      <c r="J35" s="388"/>
      <c r="K35" s="448"/>
      <c r="L35" s="224"/>
      <c r="M35" s="218"/>
      <c r="N35" s="956"/>
      <c r="O35" s="957"/>
      <c r="P35" s="172" t="s">
        <v>1035</v>
      </c>
      <c r="Q35" s="957"/>
      <c r="R35" s="957"/>
      <c r="S35" s="957"/>
      <c r="T35" s="957"/>
      <c r="U35" s="957"/>
      <c r="V35" s="957"/>
      <c r="W35" s="957"/>
      <c r="X35" s="957"/>
      <c r="Y35" s="957"/>
      <c r="Z35" s="957"/>
      <c r="AA35" s="957"/>
      <c r="AB35" s="957"/>
      <c r="AC35" s="957"/>
      <c r="AD35" s="957"/>
      <c r="AE35" s="966"/>
      <c r="AF35" s="949"/>
      <c r="AG35" s="950"/>
      <c r="AH35" s="950"/>
      <c r="AI35" s="949"/>
      <c r="AJ35" s="950"/>
      <c r="AK35" s="950"/>
      <c r="AL35" s="919"/>
      <c r="AM35" s="143"/>
      <c r="AN35" s="143"/>
      <c r="AO35" s="143"/>
      <c r="AP35" s="143"/>
      <c r="AQ35" s="143"/>
      <c r="AR35" s="143"/>
      <c r="AS35" s="143"/>
      <c r="AT35" s="143"/>
      <c r="AU35" s="143"/>
      <c r="AV35" s="143"/>
      <c r="AW35" s="143"/>
      <c r="AX35" s="143"/>
      <c r="AY35" s="143"/>
      <c r="AZ35" s="143"/>
      <c r="BA35" s="143"/>
      <c r="BB35" s="143"/>
      <c r="BC35" s="143"/>
      <c r="BD35" s="143"/>
      <c r="BE35" s="143"/>
      <c r="BF35" s="143"/>
      <c r="BG35" s="50"/>
    </row>
    <row r="36" ht="11.25" customHeight="1">
      <c r="A36" s="124" t="s">
        <v>989</v>
      </c>
      <c r="B36" s="124" t="s">
        <v>1036</v>
      </c>
      <c r="C36" s="124"/>
      <c r="D36" s="53"/>
      <c r="E36" s="91"/>
      <c r="F36" s="943"/>
      <c r="G36" s="149" t="s">
        <v>684</v>
      </c>
      <c r="H36" s="921" t="s">
        <v>91</v>
      </c>
      <c r="I36" s="944" t="s">
        <v>1037</v>
      </c>
      <c r="J36" s="388" t="s">
        <v>1038</v>
      </c>
      <c r="K36" s="448" t="s">
        <v>1044</v>
      </c>
      <c r="L36" s="224" t="s">
        <v>19</v>
      </c>
      <c r="M36" s="218"/>
      <c r="N36" s="946"/>
      <c r="O36" s="947" t="s">
        <v>371</v>
      </c>
      <c r="P36" s="948"/>
      <c r="Q36" s="948"/>
      <c r="R36" s="948"/>
      <c r="S36" s="948"/>
      <c r="T36" s="948"/>
      <c r="U36" s="948"/>
      <c r="V36" s="948"/>
      <c r="W36" s="948"/>
      <c r="X36" s="948"/>
      <c r="Y36" s="948"/>
      <c r="Z36" s="948"/>
      <c r="AA36" s="948"/>
      <c r="AB36" s="948"/>
      <c r="AC36" s="948"/>
      <c r="AD36" s="948"/>
      <c r="AE36" s="948"/>
      <c r="AF36" s="949">
        <v>5</v>
      </c>
      <c r="AG36" s="950" t="s">
        <v>1023</v>
      </c>
      <c r="AH36" s="950" t="s">
        <v>1024</v>
      </c>
      <c r="AI36" s="949"/>
      <c r="AJ36" s="950"/>
      <c r="AK36" s="950"/>
      <c r="AL36" s="919"/>
      <c r="AM36" s="143"/>
      <c r="AN36" s="143"/>
      <c r="AO36" s="143"/>
      <c r="AP36" s="143"/>
      <c r="AQ36" s="143"/>
      <c r="AR36" s="143"/>
      <c r="AS36" s="143"/>
      <c r="AT36" s="143"/>
      <c r="AU36" s="143"/>
      <c r="AV36" s="143"/>
      <c r="AW36" s="143"/>
      <c r="AX36" s="143"/>
      <c r="AY36" s="143"/>
      <c r="AZ36" s="143"/>
      <c r="BA36" s="143"/>
      <c r="BB36" s="143"/>
      <c r="BC36" s="143"/>
      <c r="BD36" s="143"/>
      <c r="BE36" s="143"/>
      <c r="BF36" s="143"/>
      <c r="BG36" s="50"/>
    </row>
    <row r="37" ht="11.25" customHeight="1">
      <c r="A37" s="124" t="s">
        <v>989</v>
      </c>
      <c r="B37" s="124"/>
      <c r="C37" s="124"/>
      <c r="D37" s="53"/>
      <c r="E37" s="91"/>
      <c r="F37" s="943"/>
      <c r="G37" s="951"/>
      <c r="H37" s="921" t="s">
        <v>90</v>
      </c>
      <c r="I37" s="944"/>
      <c r="J37" s="388"/>
      <c r="K37" s="448"/>
      <c r="L37" s="224"/>
      <c r="M37" s="218"/>
      <c r="N37" s="952"/>
      <c r="O37" s="953">
        <v>1</v>
      </c>
      <c r="P37" s="954" t="s">
        <v>65</v>
      </c>
      <c r="Q37" s="388" t="s">
        <v>1025</v>
      </c>
      <c r="R37" s="955" t="s">
        <v>1026</v>
      </c>
      <c r="S37" s="955" t="s">
        <v>1027</v>
      </c>
      <c r="T37" s="955" t="s">
        <v>1027</v>
      </c>
      <c r="U37" s="955" t="s">
        <v>1028</v>
      </c>
      <c r="V37" s="955" t="s">
        <v>1029</v>
      </c>
      <c r="W37" s="955" t="s">
        <v>1030</v>
      </c>
      <c r="X37" s="955" t="s">
        <v>1031</v>
      </c>
      <c r="Y37" s="955" t="s">
        <v>1032</v>
      </c>
      <c r="Z37" s="956"/>
      <c r="AA37" s="957"/>
      <c r="AB37" s="957"/>
      <c r="AC37" s="958"/>
      <c r="AD37" s="958"/>
      <c r="AE37" s="959"/>
      <c r="AF37" s="949"/>
      <c r="AG37" s="950"/>
      <c r="AH37" s="950"/>
      <c r="AI37" s="949"/>
      <c r="AJ37" s="950"/>
      <c r="AK37" s="950"/>
      <c r="AL37" s="919"/>
      <c r="AM37" s="143"/>
      <c r="AN37" s="143"/>
      <c r="AO37" s="143"/>
      <c r="AP37" s="143"/>
      <c r="AQ37" s="143"/>
      <c r="AR37" s="143"/>
      <c r="AS37" s="143"/>
      <c r="AT37" s="143"/>
      <c r="AU37" s="143"/>
      <c r="AV37" s="143"/>
      <c r="AW37" s="143"/>
      <c r="AX37" s="143"/>
      <c r="AY37" s="143"/>
      <c r="AZ37" s="143"/>
      <c r="BA37" s="143"/>
      <c r="BB37" s="143"/>
      <c r="BC37" s="143"/>
      <c r="BD37" s="143"/>
      <c r="BE37" s="143"/>
      <c r="BF37" s="143"/>
      <c r="BG37" s="50"/>
    </row>
    <row r="38" ht="11.25" customHeight="1">
      <c r="A38" s="124" t="s">
        <v>989</v>
      </c>
      <c r="B38" s="124"/>
      <c r="C38" s="124"/>
      <c r="D38" s="53"/>
      <c r="E38" s="91"/>
      <c r="F38" s="943"/>
      <c r="G38" s="951"/>
      <c r="H38" s="921" t="s">
        <v>90</v>
      </c>
      <c r="I38" s="944"/>
      <c r="J38" s="388"/>
      <c r="K38" s="448"/>
      <c r="L38" s="224"/>
      <c r="M38" s="218"/>
      <c r="N38" s="952"/>
      <c r="O38" s="953"/>
      <c r="P38" s="960"/>
      <c r="Q38" s="388"/>
      <c r="R38" s="458"/>
      <c r="S38" s="955"/>
      <c r="T38" s="458"/>
      <c r="U38" s="458"/>
      <c r="V38" s="458"/>
      <c r="W38" s="458"/>
      <c r="X38" s="458"/>
      <c r="Y38" s="458"/>
      <c r="Z38" s="961"/>
      <c r="AA38" s="962">
        <v>1</v>
      </c>
      <c r="AB38" s="963" t="s">
        <v>1033</v>
      </c>
      <c r="AC38" s="856">
        <v>32544.819</v>
      </c>
      <c r="AD38" s="963" t="str">
        <f t="shared" si="48"/>
        <v xml:space="preserve">      Амортизационные отчисления с выделением результатов переоценки основных средств и нематериальных активов</v>
      </c>
      <c r="AE38" s="856"/>
      <c r="AF38" s="949"/>
      <c r="AG38" s="950"/>
      <c r="AH38" s="950"/>
      <c r="AI38" s="949"/>
      <c r="AJ38" s="950"/>
      <c r="AK38" s="950"/>
      <c r="AL38" s="919"/>
      <c r="AM38" s="143"/>
      <c r="AN38" s="143"/>
      <c r="AO38" s="143"/>
      <c r="AP38" s="143"/>
      <c r="AQ38" s="143"/>
      <c r="AR38" s="143"/>
      <c r="AS38" s="143"/>
      <c r="AT38" s="143"/>
      <c r="AU38" s="143"/>
      <c r="AV38" s="143"/>
      <c r="AW38" s="143"/>
      <c r="AX38" s="143"/>
      <c r="AY38" s="143"/>
      <c r="AZ38" s="143"/>
      <c r="BA38" s="143"/>
      <c r="BB38" s="143"/>
      <c r="BC38" s="143"/>
      <c r="BD38" s="143"/>
      <c r="BE38" s="143"/>
      <c r="BF38" s="143"/>
      <c r="BG38" s="50"/>
    </row>
    <row r="39" ht="11.25" customHeight="1">
      <c r="A39" s="124" t="s">
        <v>989</v>
      </c>
      <c r="B39" s="124"/>
      <c r="C39" s="124"/>
      <c r="D39" s="53"/>
      <c r="E39" s="91"/>
      <c r="F39" s="943"/>
      <c r="G39" s="951"/>
      <c r="H39" s="921" t="s">
        <v>90</v>
      </c>
      <c r="I39" s="944"/>
      <c r="J39" s="388"/>
      <c r="K39" s="448"/>
      <c r="L39" s="224"/>
      <c r="M39" s="218"/>
      <c r="N39" s="952"/>
      <c r="O39" s="953"/>
      <c r="P39" s="964"/>
      <c r="Q39" s="388"/>
      <c r="R39" s="458"/>
      <c r="S39" s="955"/>
      <c r="T39" s="458"/>
      <c r="U39" s="458"/>
      <c r="V39" s="458"/>
      <c r="W39" s="458"/>
      <c r="X39" s="458"/>
      <c r="Y39" s="458"/>
      <c r="Z39" s="956"/>
      <c r="AA39" s="957"/>
      <c r="AB39" s="172" t="s">
        <v>1034</v>
      </c>
      <c r="AC39" s="958"/>
      <c r="AD39" s="958"/>
      <c r="AE39" s="965"/>
      <c r="AF39" s="949"/>
      <c r="AG39" s="950"/>
      <c r="AH39" s="950"/>
      <c r="AI39" s="949"/>
      <c r="AJ39" s="950"/>
      <c r="AK39" s="950"/>
      <c r="AL39" s="919"/>
      <c r="AM39" s="143"/>
      <c r="AN39" s="143"/>
      <c r="AO39" s="143"/>
      <c r="AP39" s="143"/>
      <c r="AQ39" s="143"/>
      <c r="AR39" s="143"/>
      <c r="AS39" s="143"/>
      <c r="AT39" s="143"/>
      <c r="AU39" s="143"/>
      <c r="AV39" s="143"/>
      <c r="AW39" s="143"/>
      <c r="AX39" s="143"/>
      <c r="AY39" s="143"/>
      <c r="AZ39" s="143"/>
      <c r="BA39" s="143"/>
      <c r="BB39" s="143"/>
      <c r="BC39" s="143"/>
      <c r="BD39" s="143"/>
      <c r="BE39" s="143"/>
      <c r="BF39" s="143"/>
      <c r="BG39" s="50"/>
    </row>
    <row r="40" ht="11.25" customHeight="1">
      <c r="A40" s="124" t="s">
        <v>989</v>
      </c>
      <c r="B40" s="124"/>
      <c r="C40" s="124"/>
      <c r="D40" s="53"/>
      <c r="E40" s="91"/>
      <c r="F40" s="943"/>
      <c r="G40" s="951"/>
      <c r="H40" s="921" t="s">
        <v>90</v>
      </c>
      <c r="I40" s="944"/>
      <c r="J40" s="388"/>
      <c r="K40" s="448"/>
      <c r="L40" s="224"/>
      <c r="M40" s="218"/>
      <c r="N40" s="956"/>
      <c r="O40" s="957"/>
      <c r="P40" s="172" t="s">
        <v>1035</v>
      </c>
      <c r="Q40" s="957"/>
      <c r="R40" s="957"/>
      <c r="S40" s="957"/>
      <c r="T40" s="957"/>
      <c r="U40" s="957"/>
      <c r="V40" s="957"/>
      <c r="W40" s="957"/>
      <c r="X40" s="957"/>
      <c r="Y40" s="957"/>
      <c r="Z40" s="957"/>
      <c r="AA40" s="957"/>
      <c r="AB40" s="957"/>
      <c r="AC40" s="957"/>
      <c r="AD40" s="957"/>
      <c r="AE40" s="966"/>
      <c r="AF40" s="949"/>
      <c r="AG40" s="950"/>
      <c r="AH40" s="950"/>
      <c r="AI40" s="949"/>
      <c r="AJ40" s="950"/>
      <c r="AK40" s="950"/>
      <c r="AL40" s="919"/>
      <c r="AM40" s="143"/>
      <c r="AN40" s="143"/>
      <c r="AO40" s="143"/>
      <c r="AP40" s="143"/>
      <c r="AQ40" s="143"/>
      <c r="AR40" s="143"/>
      <c r="AS40" s="143"/>
      <c r="AT40" s="143"/>
      <c r="AU40" s="143"/>
      <c r="AV40" s="143"/>
      <c r="AW40" s="143"/>
      <c r="AX40" s="143"/>
      <c r="AY40" s="143"/>
      <c r="AZ40" s="143"/>
      <c r="BA40" s="143"/>
      <c r="BB40" s="143"/>
      <c r="BC40" s="143"/>
      <c r="BD40" s="143"/>
      <c r="BE40" s="143"/>
      <c r="BF40" s="143"/>
      <c r="BG40" s="50"/>
    </row>
    <row r="41" ht="11.25" customHeight="1">
      <c r="A41" s="124" t="s">
        <v>989</v>
      </c>
      <c r="B41" s="124" t="s">
        <v>1036</v>
      </c>
      <c r="C41" s="124"/>
      <c r="D41" s="53"/>
      <c r="E41" s="91"/>
      <c r="F41" s="943"/>
      <c r="G41" s="149" t="s">
        <v>684</v>
      </c>
      <c r="H41" s="921" t="s">
        <v>108</v>
      </c>
      <c r="I41" s="944" t="s">
        <v>1037</v>
      </c>
      <c r="J41" s="388" t="s">
        <v>1045</v>
      </c>
      <c r="K41" s="448" t="s">
        <v>1046</v>
      </c>
      <c r="L41" s="224" t="s">
        <v>19</v>
      </c>
      <c r="M41" s="218"/>
      <c r="N41" s="946"/>
      <c r="O41" s="947" t="s">
        <v>371</v>
      </c>
      <c r="P41" s="948"/>
      <c r="Q41" s="948"/>
      <c r="R41" s="948"/>
      <c r="S41" s="948"/>
      <c r="T41" s="948"/>
      <c r="U41" s="948"/>
      <c r="V41" s="948"/>
      <c r="W41" s="948"/>
      <c r="X41" s="948"/>
      <c r="Y41" s="948"/>
      <c r="Z41" s="948"/>
      <c r="AA41" s="948"/>
      <c r="AB41" s="948"/>
      <c r="AC41" s="948"/>
      <c r="AD41" s="948"/>
      <c r="AE41" s="948"/>
      <c r="AF41" s="949">
        <v>5</v>
      </c>
      <c r="AG41" s="950" t="s">
        <v>1047</v>
      </c>
      <c r="AH41" s="950" t="s">
        <v>1024</v>
      </c>
      <c r="AI41" s="949"/>
      <c r="AJ41" s="950"/>
      <c r="AK41" s="950"/>
      <c r="AL41" s="919"/>
      <c r="AM41" s="143"/>
      <c r="AN41" s="143"/>
      <c r="AO41" s="143"/>
      <c r="AP41" s="143"/>
      <c r="AQ41" s="143"/>
      <c r="AR41" s="143"/>
      <c r="AS41" s="143"/>
      <c r="AT41" s="143"/>
      <c r="AU41" s="143"/>
      <c r="AV41" s="143"/>
      <c r="AW41" s="143"/>
      <c r="AX41" s="143"/>
      <c r="AY41" s="143"/>
      <c r="AZ41" s="143"/>
      <c r="BA41" s="143"/>
      <c r="BB41" s="143"/>
      <c r="BC41" s="143"/>
      <c r="BD41" s="143"/>
      <c r="BE41" s="143"/>
      <c r="BF41" s="143"/>
      <c r="BG41" s="50"/>
    </row>
    <row r="42" ht="11.25" customHeight="1">
      <c r="A42" s="124" t="s">
        <v>989</v>
      </c>
      <c r="B42" s="124"/>
      <c r="C42" s="124"/>
      <c r="D42" s="53"/>
      <c r="E42" s="91"/>
      <c r="F42" s="943"/>
      <c r="G42" s="951"/>
      <c r="H42" s="921" t="s">
        <v>91</v>
      </c>
      <c r="I42" s="944"/>
      <c r="J42" s="388"/>
      <c r="K42" s="448"/>
      <c r="L42" s="224"/>
      <c r="M42" s="218"/>
      <c r="N42" s="952"/>
      <c r="O42" s="953">
        <v>1</v>
      </c>
      <c r="P42" s="954" t="s">
        <v>65</v>
      </c>
      <c r="Q42" s="388" t="s">
        <v>1025</v>
      </c>
      <c r="R42" s="955" t="s">
        <v>1026</v>
      </c>
      <c r="S42" s="955" t="s">
        <v>1027</v>
      </c>
      <c r="T42" s="955" t="s">
        <v>1027</v>
      </c>
      <c r="U42" s="955" t="s">
        <v>1028</v>
      </c>
      <c r="V42" s="955" t="s">
        <v>1029</v>
      </c>
      <c r="W42" s="955" t="s">
        <v>1030</v>
      </c>
      <c r="X42" s="955" t="s">
        <v>1031</v>
      </c>
      <c r="Y42" s="955" t="s">
        <v>1032</v>
      </c>
      <c r="Z42" s="956"/>
      <c r="AA42" s="957"/>
      <c r="AB42" s="957"/>
      <c r="AC42" s="958"/>
      <c r="AD42" s="958"/>
      <c r="AE42" s="959"/>
      <c r="AF42" s="949"/>
      <c r="AG42" s="950"/>
      <c r="AH42" s="950"/>
      <c r="AI42" s="949"/>
      <c r="AJ42" s="950"/>
      <c r="AK42" s="950"/>
      <c r="AL42" s="919"/>
      <c r="AM42" s="143"/>
      <c r="AN42" s="143"/>
      <c r="AO42" s="143"/>
      <c r="AP42" s="143"/>
      <c r="AQ42" s="143"/>
      <c r="AR42" s="143"/>
      <c r="AS42" s="143"/>
      <c r="AT42" s="143"/>
      <c r="AU42" s="143"/>
      <c r="AV42" s="143"/>
      <c r="AW42" s="143"/>
      <c r="AX42" s="143"/>
      <c r="AY42" s="143"/>
      <c r="AZ42" s="143"/>
      <c r="BA42" s="143"/>
      <c r="BB42" s="143"/>
      <c r="BC42" s="143"/>
      <c r="BD42" s="143"/>
      <c r="BE42" s="143"/>
      <c r="BF42" s="143"/>
      <c r="BG42" s="50"/>
    </row>
    <row r="43" ht="11.25" customHeight="1">
      <c r="A43" s="124" t="s">
        <v>989</v>
      </c>
      <c r="B43" s="124"/>
      <c r="C43" s="124"/>
      <c r="D43" s="53"/>
      <c r="E43" s="91"/>
      <c r="F43" s="943"/>
      <c r="G43" s="951"/>
      <c r="H43" s="921" t="s">
        <v>91</v>
      </c>
      <c r="I43" s="944"/>
      <c r="J43" s="388"/>
      <c r="K43" s="448"/>
      <c r="L43" s="224"/>
      <c r="M43" s="218"/>
      <c r="N43" s="952"/>
      <c r="O43" s="953"/>
      <c r="P43" s="960"/>
      <c r="Q43" s="388"/>
      <c r="R43" s="458"/>
      <c r="S43" s="955"/>
      <c r="T43" s="458"/>
      <c r="U43" s="458"/>
      <c r="V43" s="458"/>
      <c r="W43" s="458"/>
      <c r="X43" s="458"/>
      <c r="Y43" s="458"/>
      <c r="Z43" s="961"/>
      <c r="AA43" s="962">
        <v>1</v>
      </c>
      <c r="AB43" s="963" t="s">
        <v>1033</v>
      </c>
      <c r="AC43" s="856">
        <v>1179.492</v>
      </c>
      <c r="AD43" s="963" t="str">
        <f t="shared" si="48"/>
        <v xml:space="preserve">      Амортизационные отчисления с выделением результатов переоценки основных средств и нематериальных активов</v>
      </c>
      <c r="AE43" s="856"/>
      <c r="AF43" s="949"/>
      <c r="AG43" s="950"/>
      <c r="AH43" s="950"/>
      <c r="AI43" s="949"/>
      <c r="AJ43" s="950"/>
      <c r="AK43" s="950"/>
      <c r="AL43" s="919"/>
      <c r="AM43" s="143"/>
      <c r="AN43" s="143"/>
      <c r="AO43" s="143"/>
      <c r="AP43" s="143"/>
      <c r="AQ43" s="143"/>
      <c r="AR43" s="143"/>
      <c r="AS43" s="143"/>
      <c r="AT43" s="143"/>
      <c r="AU43" s="143"/>
      <c r="AV43" s="143"/>
      <c r="AW43" s="143"/>
      <c r="AX43" s="143"/>
      <c r="AY43" s="143"/>
      <c r="AZ43" s="143"/>
      <c r="BA43" s="143"/>
      <c r="BB43" s="143"/>
      <c r="BC43" s="143"/>
      <c r="BD43" s="143"/>
      <c r="BE43" s="143"/>
      <c r="BF43" s="143"/>
      <c r="BG43" s="50"/>
    </row>
    <row r="44" ht="11.25" customHeight="1">
      <c r="A44" s="124" t="s">
        <v>989</v>
      </c>
      <c r="B44" s="124"/>
      <c r="C44" s="124"/>
      <c r="D44" s="53"/>
      <c r="E44" s="91"/>
      <c r="F44" s="951"/>
      <c r="G44" s="951"/>
      <c r="H44" s="951"/>
      <c r="I44" s="951"/>
      <c r="J44" s="967"/>
      <c r="K44" s="951"/>
      <c r="L44" s="951"/>
      <c r="M44" s="951"/>
      <c r="N44" s="951"/>
      <c r="O44" s="951"/>
      <c r="P44" s="951"/>
      <c r="Q44" s="951"/>
      <c r="R44" s="951"/>
      <c r="S44" s="951"/>
      <c r="T44" s="951"/>
      <c r="U44" s="951"/>
      <c r="V44" s="951"/>
      <c r="W44" s="951"/>
      <c r="X44" s="951"/>
      <c r="Y44" s="951"/>
      <c r="Z44" s="149" t="s">
        <v>684</v>
      </c>
      <c r="AA44" s="953" t="s">
        <v>107</v>
      </c>
      <c r="AB44" s="963" t="s">
        <v>1048</v>
      </c>
      <c r="AC44" s="856">
        <v>26293.835999999999</v>
      </c>
      <c r="AD44" s="963" t="str">
        <f t="shared" si="48"/>
        <v xml:space="preserve">  За счет платы за технологическое присоединение</v>
      </c>
      <c r="AE44" s="856"/>
      <c r="AF44" s="968"/>
      <c r="AG44" s="969"/>
      <c r="AH44" s="969"/>
      <c r="AI44" s="968"/>
      <c r="AJ44" s="969"/>
      <c r="AK44" s="970"/>
      <c r="AL44" s="919"/>
      <c r="AM44" s="143"/>
      <c r="AN44" s="143"/>
      <c r="AO44" s="143"/>
      <c r="AP44" s="143"/>
      <c r="AQ44" s="143"/>
      <c r="AR44" s="143"/>
      <c r="AS44" s="143"/>
      <c r="AT44" s="143"/>
      <c r="AU44" s="143"/>
      <c r="AV44" s="143"/>
      <c r="AW44" s="143"/>
      <c r="AX44" s="143"/>
      <c r="AY44" s="143"/>
      <c r="AZ44" s="143"/>
      <c r="BA44" s="143"/>
      <c r="BB44" s="143"/>
      <c r="BC44" s="143"/>
      <c r="BD44" s="143"/>
      <c r="BE44" s="143"/>
      <c r="BF44" s="143"/>
      <c r="BG44" s="50"/>
    </row>
    <row r="45" ht="11.25" customHeight="1">
      <c r="A45" s="124" t="s">
        <v>989</v>
      </c>
      <c r="B45" s="124"/>
      <c r="C45" s="124"/>
      <c r="D45" s="53"/>
      <c r="E45" s="91"/>
      <c r="F45" s="943"/>
      <c r="G45" s="951"/>
      <c r="H45" s="921" t="s">
        <v>91</v>
      </c>
      <c r="I45" s="944"/>
      <c r="J45" s="388"/>
      <c r="K45" s="448"/>
      <c r="L45" s="224"/>
      <c r="M45" s="218"/>
      <c r="N45" s="952"/>
      <c r="O45" s="953"/>
      <c r="P45" s="964"/>
      <c r="Q45" s="388"/>
      <c r="R45" s="458"/>
      <c r="S45" s="955"/>
      <c r="T45" s="458"/>
      <c r="U45" s="458"/>
      <c r="V45" s="458"/>
      <c r="W45" s="458"/>
      <c r="X45" s="458"/>
      <c r="Y45" s="458"/>
      <c r="Z45" s="956"/>
      <c r="AA45" s="957"/>
      <c r="AB45" s="172" t="s">
        <v>1034</v>
      </c>
      <c r="AC45" s="958"/>
      <c r="AD45" s="958"/>
      <c r="AE45" s="965"/>
      <c r="AF45" s="949"/>
      <c r="AG45" s="950"/>
      <c r="AH45" s="950"/>
      <c r="AI45" s="949"/>
      <c r="AJ45" s="950"/>
      <c r="AK45" s="950"/>
      <c r="AL45" s="919"/>
      <c r="AM45" s="143"/>
      <c r="AN45" s="143"/>
      <c r="AO45" s="143"/>
      <c r="AP45" s="143"/>
      <c r="AQ45" s="143"/>
      <c r="AR45" s="143"/>
      <c r="AS45" s="143"/>
      <c r="AT45" s="143"/>
      <c r="AU45" s="143"/>
      <c r="AV45" s="143"/>
      <c r="AW45" s="143"/>
      <c r="AX45" s="143"/>
      <c r="AY45" s="143"/>
      <c r="AZ45" s="143"/>
      <c r="BA45" s="143"/>
      <c r="BB45" s="143"/>
      <c r="BC45" s="143"/>
      <c r="BD45" s="143"/>
      <c r="BE45" s="143"/>
      <c r="BF45" s="143"/>
      <c r="BG45" s="50"/>
    </row>
    <row r="46" ht="11.25" customHeight="1">
      <c r="A46" s="124" t="s">
        <v>989</v>
      </c>
      <c r="B46" s="124"/>
      <c r="C46" s="124"/>
      <c r="D46" s="53"/>
      <c r="E46" s="91"/>
      <c r="F46" s="943"/>
      <c r="G46" s="951"/>
      <c r="H46" s="921" t="s">
        <v>91</v>
      </c>
      <c r="I46" s="944"/>
      <c r="J46" s="388"/>
      <c r="K46" s="448"/>
      <c r="L46" s="224"/>
      <c r="M46" s="218"/>
      <c r="N46" s="956"/>
      <c r="O46" s="957"/>
      <c r="P46" s="172" t="s">
        <v>1035</v>
      </c>
      <c r="Q46" s="957"/>
      <c r="R46" s="957"/>
      <c r="S46" s="957"/>
      <c r="T46" s="957"/>
      <c r="U46" s="957"/>
      <c r="V46" s="957"/>
      <c r="W46" s="957"/>
      <c r="X46" s="957"/>
      <c r="Y46" s="957"/>
      <c r="Z46" s="957"/>
      <c r="AA46" s="957"/>
      <c r="AB46" s="957"/>
      <c r="AC46" s="957"/>
      <c r="AD46" s="957"/>
      <c r="AE46" s="966"/>
      <c r="AF46" s="949"/>
      <c r="AG46" s="950"/>
      <c r="AH46" s="950"/>
      <c r="AI46" s="949"/>
      <c r="AJ46" s="950"/>
      <c r="AK46" s="950"/>
      <c r="AL46" s="919"/>
      <c r="AM46" s="143"/>
      <c r="AN46" s="143"/>
      <c r="AO46" s="143"/>
      <c r="AP46" s="143"/>
      <c r="AQ46" s="143"/>
      <c r="AR46" s="143"/>
      <c r="AS46" s="143"/>
      <c r="AT46" s="143"/>
      <c r="AU46" s="143"/>
      <c r="AV46" s="143"/>
      <c r="AW46" s="143"/>
      <c r="AX46" s="143"/>
      <c r="AY46" s="143"/>
      <c r="AZ46" s="143"/>
      <c r="BA46" s="143"/>
      <c r="BB46" s="143"/>
      <c r="BC46" s="143"/>
      <c r="BD46" s="143"/>
      <c r="BE46" s="143"/>
      <c r="BF46" s="143"/>
      <c r="BG46" s="50"/>
    </row>
    <row r="47" ht="11.25" customHeight="1">
      <c r="A47" s="124" t="s">
        <v>989</v>
      </c>
      <c r="B47" s="124" t="s">
        <v>22</v>
      </c>
      <c r="C47" s="124"/>
      <c r="D47" s="53"/>
      <c r="E47" s="91"/>
      <c r="F47" s="943"/>
      <c r="G47" s="149" t="s">
        <v>684</v>
      </c>
      <c r="H47" s="921" t="s">
        <v>92</v>
      </c>
      <c r="I47" s="944" t="s">
        <v>1021</v>
      </c>
      <c r="J47" s="945" t="s">
        <v>22</v>
      </c>
      <c r="K47" s="448" t="s">
        <v>1049</v>
      </c>
      <c r="L47" s="224" t="s">
        <v>19</v>
      </c>
      <c r="M47" s="218"/>
      <c r="N47" s="946"/>
      <c r="O47" s="947" t="s">
        <v>371</v>
      </c>
      <c r="P47" s="948"/>
      <c r="Q47" s="948"/>
      <c r="R47" s="948"/>
      <c r="S47" s="948"/>
      <c r="T47" s="948"/>
      <c r="U47" s="948"/>
      <c r="V47" s="948"/>
      <c r="W47" s="948"/>
      <c r="X47" s="948"/>
      <c r="Y47" s="948"/>
      <c r="Z47" s="948"/>
      <c r="AA47" s="948"/>
      <c r="AB47" s="948"/>
      <c r="AC47" s="948"/>
      <c r="AD47" s="948"/>
      <c r="AE47" s="948"/>
      <c r="AF47" s="949">
        <v>5</v>
      </c>
      <c r="AG47" s="950" t="s">
        <v>1023</v>
      </c>
      <c r="AH47" s="950" t="s">
        <v>1024</v>
      </c>
      <c r="AI47" s="949"/>
      <c r="AJ47" s="950"/>
      <c r="AK47" s="950"/>
      <c r="AL47" s="919"/>
      <c r="AM47" s="143"/>
      <c r="AN47" s="143"/>
      <c r="AO47" s="143"/>
      <c r="AP47" s="143"/>
      <c r="AQ47" s="143"/>
      <c r="AR47" s="143"/>
      <c r="AS47" s="143"/>
      <c r="AT47" s="143"/>
      <c r="AU47" s="143"/>
      <c r="AV47" s="143"/>
      <c r="AW47" s="143"/>
      <c r="AX47" s="143"/>
      <c r="AY47" s="143"/>
      <c r="AZ47" s="143"/>
      <c r="BA47" s="143"/>
      <c r="BB47" s="143"/>
      <c r="BC47" s="143"/>
      <c r="BD47" s="143"/>
      <c r="BE47" s="143"/>
      <c r="BF47" s="143"/>
      <c r="BG47" s="50"/>
    </row>
    <row r="48" ht="11.25" customHeight="1">
      <c r="A48" s="124" t="s">
        <v>989</v>
      </c>
      <c r="B48" s="124"/>
      <c r="C48" s="124"/>
      <c r="D48" s="53"/>
      <c r="E48" s="91"/>
      <c r="F48" s="943"/>
      <c r="G48" s="951"/>
      <c r="H48" s="921" t="s">
        <v>108</v>
      </c>
      <c r="I48" s="944"/>
      <c r="J48" s="945"/>
      <c r="K48" s="448"/>
      <c r="L48" s="224"/>
      <c r="M48" s="218"/>
      <c r="N48" s="952"/>
      <c r="O48" s="953">
        <v>1</v>
      </c>
      <c r="P48" s="954" t="s">
        <v>65</v>
      </c>
      <c r="Q48" s="388" t="s">
        <v>1025</v>
      </c>
      <c r="R48" s="955" t="s">
        <v>1026</v>
      </c>
      <c r="S48" s="955" t="s">
        <v>1027</v>
      </c>
      <c r="T48" s="955" t="s">
        <v>1027</v>
      </c>
      <c r="U48" s="955" t="s">
        <v>1028</v>
      </c>
      <c r="V48" s="955" t="s">
        <v>1029</v>
      </c>
      <c r="W48" s="955" t="s">
        <v>1030</v>
      </c>
      <c r="X48" s="955" t="s">
        <v>1031</v>
      </c>
      <c r="Y48" s="955" t="s">
        <v>1032</v>
      </c>
      <c r="Z48" s="956"/>
      <c r="AA48" s="957"/>
      <c r="AB48" s="957"/>
      <c r="AC48" s="958"/>
      <c r="AD48" s="958"/>
      <c r="AE48" s="959"/>
      <c r="AF48" s="949"/>
      <c r="AG48" s="950"/>
      <c r="AH48" s="950"/>
      <c r="AI48" s="949"/>
      <c r="AJ48" s="950"/>
      <c r="AK48" s="950"/>
      <c r="AL48" s="919"/>
      <c r="AM48" s="143"/>
      <c r="AN48" s="143"/>
      <c r="AO48" s="143"/>
      <c r="AP48" s="143"/>
      <c r="AQ48" s="143"/>
      <c r="AR48" s="143"/>
      <c r="AS48" s="143"/>
      <c r="AT48" s="143"/>
      <c r="AU48" s="143"/>
      <c r="AV48" s="143"/>
      <c r="AW48" s="143"/>
      <c r="AX48" s="143"/>
      <c r="AY48" s="143"/>
      <c r="AZ48" s="143"/>
      <c r="BA48" s="143"/>
      <c r="BB48" s="143"/>
      <c r="BC48" s="143"/>
      <c r="BD48" s="143"/>
      <c r="BE48" s="143"/>
      <c r="BF48" s="143"/>
      <c r="BG48" s="50"/>
    </row>
    <row r="49" ht="11.25" customHeight="1">
      <c r="A49" s="124" t="s">
        <v>989</v>
      </c>
      <c r="B49" s="124"/>
      <c r="C49" s="124"/>
      <c r="D49" s="53"/>
      <c r="E49" s="91"/>
      <c r="F49" s="943"/>
      <c r="G49" s="951"/>
      <c r="H49" s="921" t="s">
        <v>108</v>
      </c>
      <c r="I49" s="944"/>
      <c r="J49" s="945"/>
      <c r="K49" s="448"/>
      <c r="L49" s="224"/>
      <c r="M49" s="218"/>
      <c r="N49" s="952"/>
      <c r="O49" s="953"/>
      <c r="P49" s="960"/>
      <c r="Q49" s="388"/>
      <c r="R49" s="458"/>
      <c r="S49" s="955"/>
      <c r="T49" s="458"/>
      <c r="U49" s="458"/>
      <c r="V49" s="458"/>
      <c r="W49" s="458"/>
      <c r="X49" s="458"/>
      <c r="Y49" s="458"/>
      <c r="Z49" s="961"/>
      <c r="AA49" s="962">
        <v>1</v>
      </c>
      <c r="AB49" s="963" t="s">
        <v>1033</v>
      </c>
      <c r="AC49" s="856">
        <v>6857.9179999999997</v>
      </c>
      <c r="AD49" s="963" t="str">
        <f t="shared" si="48"/>
        <v xml:space="preserve">      Амортизационные отчисления с выделением результатов переоценки основных средств и нематериальных активов</v>
      </c>
      <c r="AE49" s="856"/>
      <c r="AF49" s="949"/>
      <c r="AG49" s="950"/>
      <c r="AH49" s="950"/>
      <c r="AI49" s="949"/>
      <c r="AJ49" s="950"/>
      <c r="AK49" s="950"/>
      <c r="AL49" s="919"/>
      <c r="AM49" s="143"/>
      <c r="AN49" s="143"/>
      <c r="AO49" s="143"/>
      <c r="AP49" s="143"/>
      <c r="AQ49" s="143"/>
      <c r="AR49" s="143"/>
      <c r="AS49" s="143"/>
      <c r="AT49" s="143"/>
      <c r="AU49" s="143"/>
      <c r="AV49" s="143"/>
      <c r="AW49" s="143"/>
      <c r="AX49" s="143"/>
      <c r="AY49" s="143"/>
      <c r="AZ49" s="143"/>
      <c r="BA49" s="143"/>
      <c r="BB49" s="143"/>
      <c r="BC49" s="143"/>
      <c r="BD49" s="143"/>
      <c r="BE49" s="143"/>
      <c r="BF49" s="143"/>
      <c r="BG49" s="50"/>
    </row>
    <row r="50" ht="11.25" customHeight="1">
      <c r="A50" s="124" t="s">
        <v>989</v>
      </c>
      <c r="B50" s="124"/>
      <c r="C50" s="124"/>
      <c r="D50" s="53"/>
      <c r="E50" s="91"/>
      <c r="F50" s="943"/>
      <c r="G50" s="951"/>
      <c r="H50" s="921" t="s">
        <v>108</v>
      </c>
      <c r="I50" s="944"/>
      <c r="J50" s="945"/>
      <c r="K50" s="448"/>
      <c r="L50" s="224"/>
      <c r="M50" s="218"/>
      <c r="N50" s="952"/>
      <c r="O50" s="953"/>
      <c r="P50" s="964"/>
      <c r="Q50" s="388"/>
      <c r="R50" s="458"/>
      <c r="S50" s="955"/>
      <c r="T50" s="458"/>
      <c r="U50" s="458"/>
      <c r="V50" s="458"/>
      <c r="W50" s="458"/>
      <c r="X50" s="458"/>
      <c r="Y50" s="458"/>
      <c r="Z50" s="956"/>
      <c r="AA50" s="957"/>
      <c r="AB50" s="172" t="s">
        <v>1034</v>
      </c>
      <c r="AC50" s="958"/>
      <c r="AD50" s="958"/>
      <c r="AE50" s="965"/>
      <c r="AF50" s="949"/>
      <c r="AG50" s="950"/>
      <c r="AH50" s="950"/>
      <c r="AI50" s="949"/>
      <c r="AJ50" s="950"/>
      <c r="AK50" s="950"/>
      <c r="AL50" s="919"/>
      <c r="AM50" s="143"/>
      <c r="AN50" s="143"/>
      <c r="AO50" s="143"/>
      <c r="AP50" s="143"/>
      <c r="AQ50" s="143"/>
      <c r="AR50" s="143"/>
      <c r="AS50" s="143"/>
      <c r="AT50" s="143"/>
      <c r="AU50" s="143"/>
      <c r="AV50" s="143"/>
      <c r="AW50" s="143"/>
      <c r="AX50" s="143"/>
      <c r="AY50" s="143"/>
      <c r="AZ50" s="143"/>
      <c r="BA50" s="143"/>
      <c r="BB50" s="143"/>
      <c r="BC50" s="143"/>
      <c r="BD50" s="143"/>
      <c r="BE50" s="143"/>
      <c r="BF50" s="143"/>
      <c r="BG50" s="50"/>
    </row>
    <row r="51" ht="11.25" customHeight="1">
      <c r="A51" s="124" t="s">
        <v>989</v>
      </c>
      <c r="B51" s="124"/>
      <c r="C51" s="124"/>
      <c r="D51" s="53"/>
      <c r="E51" s="91"/>
      <c r="F51" s="943"/>
      <c r="G51" s="951"/>
      <c r="H51" s="921" t="s">
        <v>108</v>
      </c>
      <c r="I51" s="944"/>
      <c r="J51" s="945"/>
      <c r="K51" s="448"/>
      <c r="L51" s="224"/>
      <c r="M51" s="218"/>
      <c r="N51" s="956"/>
      <c r="O51" s="957"/>
      <c r="P51" s="172" t="s">
        <v>1035</v>
      </c>
      <c r="Q51" s="957"/>
      <c r="R51" s="957"/>
      <c r="S51" s="957"/>
      <c r="T51" s="957"/>
      <c r="U51" s="957"/>
      <c r="V51" s="957"/>
      <c r="W51" s="957"/>
      <c r="X51" s="957"/>
      <c r="Y51" s="957"/>
      <c r="Z51" s="957"/>
      <c r="AA51" s="957"/>
      <c r="AB51" s="957"/>
      <c r="AC51" s="957"/>
      <c r="AD51" s="957"/>
      <c r="AE51" s="966"/>
      <c r="AF51" s="949"/>
      <c r="AG51" s="950"/>
      <c r="AH51" s="950"/>
      <c r="AI51" s="949"/>
      <c r="AJ51" s="950"/>
      <c r="AK51" s="950"/>
      <c r="AL51" s="919"/>
      <c r="AM51" s="143"/>
      <c r="AN51" s="143"/>
      <c r="AO51" s="143"/>
      <c r="AP51" s="143"/>
      <c r="AQ51" s="143"/>
      <c r="AR51" s="143"/>
      <c r="AS51" s="143"/>
      <c r="AT51" s="143"/>
      <c r="AU51" s="143"/>
      <c r="AV51" s="143"/>
      <c r="AW51" s="143"/>
      <c r="AX51" s="143"/>
      <c r="AY51" s="143"/>
      <c r="AZ51" s="143"/>
      <c r="BA51" s="143"/>
      <c r="BB51" s="143"/>
      <c r="BC51" s="143"/>
      <c r="BD51" s="143"/>
      <c r="BE51" s="143"/>
      <c r="BF51" s="143"/>
      <c r="BG51" s="50"/>
    </row>
    <row r="52" ht="11.25" customHeight="1">
      <c r="A52" s="124" t="s">
        <v>989</v>
      </c>
      <c r="B52" s="124" t="s">
        <v>22</v>
      </c>
      <c r="C52" s="124"/>
      <c r="D52" s="53"/>
      <c r="E52" s="91"/>
      <c r="F52" s="943"/>
      <c r="G52" s="149" t="s">
        <v>684</v>
      </c>
      <c r="H52" s="921" t="s">
        <v>93</v>
      </c>
      <c r="I52" s="944" t="s">
        <v>1021</v>
      </c>
      <c r="J52" s="945" t="s">
        <v>22</v>
      </c>
      <c r="K52" s="448" t="s">
        <v>1050</v>
      </c>
      <c r="L52" s="224" t="s">
        <v>19</v>
      </c>
      <c r="M52" s="218"/>
      <c r="N52" s="946"/>
      <c r="O52" s="947" t="s">
        <v>371</v>
      </c>
      <c r="P52" s="948"/>
      <c r="Q52" s="948"/>
      <c r="R52" s="948"/>
      <c r="S52" s="948"/>
      <c r="T52" s="948"/>
      <c r="U52" s="948"/>
      <c r="V52" s="948"/>
      <c r="W52" s="948"/>
      <c r="X52" s="948"/>
      <c r="Y52" s="948"/>
      <c r="Z52" s="948"/>
      <c r="AA52" s="948"/>
      <c r="AB52" s="948"/>
      <c r="AC52" s="948"/>
      <c r="AD52" s="948"/>
      <c r="AE52" s="948"/>
      <c r="AF52" s="949">
        <v>5</v>
      </c>
      <c r="AG52" s="950" t="s">
        <v>1023</v>
      </c>
      <c r="AH52" s="950" t="s">
        <v>1024</v>
      </c>
      <c r="AI52" s="949"/>
      <c r="AJ52" s="950"/>
      <c r="AK52" s="950"/>
      <c r="AL52" s="919"/>
      <c r="AM52" s="143"/>
      <c r="AN52" s="143"/>
      <c r="AO52" s="143"/>
      <c r="AP52" s="143"/>
      <c r="AQ52" s="143"/>
      <c r="AR52" s="143"/>
      <c r="AS52" s="143"/>
      <c r="AT52" s="143"/>
      <c r="AU52" s="143"/>
      <c r="AV52" s="143"/>
      <c r="AW52" s="143"/>
      <c r="AX52" s="143"/>
      <c r="AY52" s="143"/>
      <c r="AZ52" s="143"/>
      <c r="BA52" s="143"/>
      <c r="BB52" s="143"/>
      <c r="BC52" s="143"/>
      <c r="BD52" s="143"/>
      <c r="BE52" s="143"/>
      <c r="BF52" s="143"/>
      <c r="BG52" s="50"/>
    </row>
    <row r="53" ht="11.25" customHeight="1">
      <c r="A53" s="124" t="s">
        <v>989</v>
      </c>
      <c r="B53" s="124"/>
      <c r="C53" s="124"/>
      <c r="D53" s="53"/>
      <c r="E53" s="91"/>
      <c r="F53" s="943"/>
      <c r="G53" s="951"/>
      <c r="H53" s="921" t="s">
        <v>92</v>
      </c>
      <c r="I53" s="944"/>
      <c r="J53" s="945"/>
      <c r="K53" s="448"/>
      <c r="L53" s="224"/>
      <c r="M53" s="218"/>
      <c r="N53" s="952"/>
      <c r="O53" s="953">
        <v>1</v>
      </c>
      <c r="P53" s="954" t="s">
        <v>65</v>
      </c>
      <c r="Q53" s="388" t="s">
        <v>1025</v>
      </c>
      <c r="R53" s="955" t="s">
        <v>1026</v>
      </c>
      <c r="S53" s="955" t="s">
        <v>1027</v>
      </c>
      <c r="T53" s="955" t="s">
        <v>1027</v>
      </c>
      <c r="U53" s="955" t="s">
        <v>1028</v>
      </c>
      <c r="V53" s="955" t="s">
        <v>1029</v>
      </c>
      <c r="W53" s="955" t="s">
        <v>1030</v>
      </c>
      <c r="X53" s="955" t="s">
        <v>1031</v>
      </c>
      <c r="Y53" s="955" t="s">
        <v>1032</v>
      </c>
      <c r="Z53" s="956"/>
      <c r="AA53" s="957"/>
      <c r="AB53" s="957"/>
      <c r="AC53" s="958"/>
      <c r="AD53" s="958"/>
      <c r="AE53" s="959"/>
      <c r="AF53" s="949"/>
      <c r="AG53" s="950"/>
      <c r="AH53" s="950"/>
      <c r="AI53" s="949"/>
      <c r="AJ53" s="950"/>
      <c r="AK53" s="950"/>
      <c r="AL53" s="919"/>
      <c r="AM53" s="143"/>
      <c r="AN53" s="143"/>
      <c r="AO53" s="143"/>
      <c r="AP53" s="143"/>
      <c r="AQ53" s="143"/>
      <c r="AR53" s="143"/>
      <c r="AS53" s="143"/>
      <c r="AT53" s="143"/>
      <c r="AU53" s="143"/>
      <c r="AV53" s="143"/>
      <c r="AW53" s="143"/>
      <c r="AX53" s="143"/>
      <c r="AY53" s="143"/>
      <c r="AZ53" s="143"/>
      <c r="BA53" s="143"/>
      <c r="BB53" s="143"/>
      <c r="BC53" s="143"/>
      <c r="BD53" s="143"/>
      <c r="BE53" s="143"/>
      <c r="BF53" s="143"/>
      <c r="BG53" s="50"/>
    </row>
    <row r="54" ht="11.25" customHeight="1">
      <c r="A54" s="124" t="s">
        <v>989</v>
      </c>
      <c r="B54" s="124"/>
      <c r="C54" s="124"/>
      <c r="D54" s="53"/>
      <c r="E54" s="91"/>
      <c r="F54" s="943"/>
      <c r="G54" s="951"/>
      <c r="H54" s="921" t="s">
        <v>92</v>
      </c>
      <c r="I54" s="944"/>
      <c r="J54" s="945"/>
      <c r="K54" s="448"/>
      <c r="L54" s="224"/>
      <c r="M54" s="218"/>
      <c r="N54" s="952"/>
      <c r="O54" s="953"/>
      <c r="P54" s="960"/>
      <c r="Q54" s="388"/>
      <c r="R54" s="458"/>
      <c r="S54" s="955"/>
      <c r="T54" s="458"/>
      <c r="U54" s="458"/>
      <c r="V54" s="458"/>
      <c r="W54" s="458"/>
      <c r="X54" s="458"/>
      <c r="Y54" s="458"/>
      <c r="Z54" s="961"/>
      <c r="AA54" s="962">
        <v>1</v>
      </c>
      <c r="AB54" s="963" t="s">
        <v>1041</v>
      </c>
      <c r="AC54" s="856">
        <v>1086.9770000000001</v>
      </c>
      <c r="AD54" s="963" t="str">
        <f t="shared" si="48"/>
        <v xml:space="preserve">  Прочие собственные средства</v>
      </c>
      <c r="AE54" s="856"/>
      <c r="AF54" s="949"/>
      <c r="AG54" s="950"/>
      <c r="AH54" s="950"/>
      <c r="AI54" s="949"/>
      <c r="AJ54" s="950"/>
      <c r="AK54" s="950"/>
      <c r="AL54" s="919"/>
      <c r="AM54" s="143"/>
      <c r="AN54" s="143"/>
      <c r="AO54" s="143"/>
      <c r="AP54" s="143"/>
      <c r="AQ54" s="143"/>
      <c r="AR54" s="143"/>
      <c r="AS54" s="143"/>
      <c r="AT54" s="143"/>
      <c r="AU54" s="143"/>
      <c r="AV54" s="143"/>
      <c r="AW54" s="143"/>
      <c r="AX54" s="143"/>
      <c r="AY54" s="143"/>
      <c r="AZ54" s="143"/>
      <c r="BA54" s="143"/>
      <c r="BB54" s="143"/>
      <c r="BC54" s="143"/>
      <c r="BD54" s="143"/>
      <c r="BE54" s="143"/>
      <c r="BF54" s="143"/>
      <c r="BG54" s="50"/>
    </row>
    <row r="55" ht="11.25" customHeight="1">
      <c r="A55" s="124" t="s">
        <v>989</v>
      </c>
      <c r="B55" s="124"/>
      <c r="C55" s="124"/>
      <c r="D55" s="53"/>
      <c r="E55" s="91"/>
      <c r="F55" s="943"/>
      <c r="G55" s="951"/>
      <c r="H55" s="921" t="s">
        <v>92</v>
      </c>
      <c r="I55" s="944"/>
      <c r="J55" s="945"/>
      <c r="K55" s="448"/>
      <c r="L55" s="224"/>
      <c r="M55" s="218"/>
      <c r="N55" s="952"/>
      <c r="O55" s="953"/>
      <c r="P55" s="964"/>
      <c r="Q55" s="388"/>
      <c r="R55" s="458"/>
      <c r="S55" s="955"/>
      <c r="T55" s="458"/>
      <c r="U55" s="458"/>
      <c r="V55" s="458"/>
      <c r="W55" s="458"/>
      <c r="X55" s="458"/>
      <c r="Y55" s="458"/>
      <c r="Z55" s="956"/>
      <c r="AA55" s="957"/>
      <c r="AB55" s="172" t="s">
        <v>1034</v>
      </c>
      <c r="AC55" s="958"/>
      <c r="AD55" s="958"/>
      <c r="AE55" s="965"/>
      <c r="AF55" s="949"/>
      <c r="AG55" s="950"/>
      <c r="AH55" s="950"/>
      <c r="AI55" s="949"/>
      <c r="AJ55" s="950"/>
      <c r="AK55" s="950"/>
      <c r="AL55" s="919"/>
      <c r="AM55" s="143"/>
      <c r="AN55" s="143"/>
      <c r="AO55" s="143"/>
      <c r="AP55" s="143"/>
      <c r="AQ55" s="143"/>
      <c r="AR55" s="143"/>
      <c r="AS55" s="143"/>
      <c r="AT55" s="143"/>
      <c r="AU55" s="143"/>
      <c r="AV55" s="143"/>
      <c r="AW55" s="143"/>
      <c r="AX55" s="143"/>
      <c r="AY55" s="143"/>
      <c r="AZ55" s="143"/>
      <c r="BA55" s="143"/>
      <c r="BB55" s="143"/>
      <c r="BC55" s="143"/>
      <c r="BD55" s="143"/>
      <c r="BE55" s="143"/>
      <c r="BF55" s="143"/>
      <c r="BG55" s="50"/>
    </row>
    <row r="56" ht="11.25" customHeight="1">
      <c r="A56" s="124" t="s">
        <v>989</v>
      </c>
      <c r="B56" s="124"/>
      <c r="C56" s="124"/>
      <c r="D56" s="53"/>
      <c r="E56" s="91"/>
      <c r="F56" s="943"/>
      <c r="G56" s="951"/>
      <c r="H56" s="921" t="s">
        <v>92</v>
      </c>
      <c r="I56" s="944"/>
      <c r="J56" s="945"/>
      <c r="K56" s="448"/>
      <c r="L56" s="224"/>
      <c r="M56" s="218"/>
      <c r="N56" s="956"/>
      <c r="O56" s="957"/>
      <c r="P56" s="172" t="s">
        <v>1035</v>
      </c>
      <c r="Q56" s="957"/>
      <c r="R56" s="957"/>
      <c r="S56" s="957"/>
      <c r="T56" s="957"/>
      <c r="U56" s="957"/>
      <c r="V56" s="957"/>
      <c r="W56" s="957"/>
      <c r="X56" s="957"/>
      <c r="Y56" s="957"/>
      <c r="Z56" s="957"/>
      <c r="AA56" s="957"/>
      <c r="AB56" s="957"/>
      <c r="AC56" s="957"/>
      <c r="AD56" s="957"/>
      <c r="AE56" s="966"/>
      <c r="AF56" s="949"/>
      <c r="AG56" s="950"/>
      <c r="AH56" s="950"/>
      <c r="AI56" s="949"/>
      <c r="AJ56" s="950"/>
      <c r="AK56" s="950"/>
      <c r="AL56" s="919"/>
      <c r="AM56" s="143"/>
      <c r="AN56" s="143"/>
      <c r="AO56" s="143"/>
      <c r="AP56" s="143"/>
      <c r="AQ56" s="143"/>
      <c r="AR56" s="143"/>
      <c r="AS56" s="143"/>
      <c r="AT56" s="143"/>
      <c r="AU56" s="143"/>
      <c r="AV56" s="143"/>
      <c r="AW56" s="143"/>
      <c r="AX56" s="143"/>
      <c r="AY56" s="143"/>
      <c r="AZ56" s="143"/>
      <c r="BA56" s="143"/>
      <c r="BB56" s="143"/>
      <c r="BC56" s="143"/>
      <c r="BD56" s="143"/>
      <c r="BE56" s="143"/>
      <c r="BF56" s="143"/>
      <c r="BG56" s="50"/>
    </row>
    <row r="57" ht="12" customHeight="1">
      <c r="A57" s="124" t="s">
        <v>989</v>
      </c>
      <c r="B57" s="124"/>
      <c r="C57" s="124"/>
      <c r="D57" s="53"/>
      <c r="E57" s="91"/>
      <c r="F57" s="971"/>
      <c r="G57" s="972"/>
      <c r="H57" s="972"/>
      <c r="I57" s="973" t="s">
        <v>1051</v>
      </c>
      <c r="J57" s="973"/>
      <c r="K57" s="973"/>
      <c r="L57" s="974"/>
      <c r="M57" s="974"/>
      <c r="N57" s="975"/>
      <c r="O57" s="975"/>
      <c r="P57" s="975"/>
      <c r="Q57" s="975"/>
      <c r="R57" s="975"/>
      <c r="S57" s="975"/>
      <c r="T57" s="975"/>
      <c r="U57" s="975"/>
      <c r="V57" s="975"/>
      <c r="W57" s="975"/>
      <c r="X57" s="975"/>
      <c r="Y57" s="975"/>
      <c r="Z57" s="975"/>
      <c r="AA57" s="975"/>
      <c r="AB57" s="975"/>
      <c r="AC57" s="975"/>
      <c r="AD57" s="975"/>
      <c r="AE57" s="975"/>
      <c r="AF57" s="975"/>
      <c r="AG57" s="974"/>
      <c r="AH57" s="974"/>
      <c r="AI57" s="975"/>
      <c r="AJ57" s="974"/>
      <c r="AK57" s="975"/>
      <c r="AL57" s="919"/>
      <c r="AM57" s="143"/>
      <c r="AN57" s="143"/>
      <c r="AO57" s="143"/>
      <c r="AP57" s="143"/>
      <c r="AQ57" s="143"/>
      <c r="AR57" s="143"/>
      <c r="AS57" s="143"/>
      <c r="AT57" s="143"/>
      <c r="AU57" s="143"/>
      <c r="AV57" s="143"/>
      <c r="AW57" s="143"/>
      <c r="AX57" s="143"/>
      <c r="AY57" s="143"/>
      <c r="AZ57" s="143"/>
      <c r="BA57" s="143"/>
      <c r="BB57" s="143"/>
      <c r="BC57" s="143"/>
      <c r="BD57" s="143"/>
      <c r="BE57" s="143"/>
      <c r="BF57" s="143"/>
      <c r="BG57" s="50"/>
    </row>
    <row r="58" ht="0.75" customHeight="1">
      <c r="A58" s="124" t="s">
        <v>989</v>
      </c>
      <c r="B58" s="124"/>
      <c r="C58" s="124"/>
      <c r="D58" s="53"/>
      <c r="E58" s="91"/>
      <c r="F58" s="920">
        <v>2026</v>
      </c>
      <c r="G58" s="921"/>
      <c r="H58" s="922" t="s">
        <v>371</v>
      </c>
      <c r="I58" s="923"/>
      <c r="J58" s="160"/>
      <c r="K58" s="160"/>
      <c r="L58" s="924"/>
      <c r="M58" s="536"/>
      <c r="N58" s="925"/>
      <c r="O58" s="926"/>
      <c r="P58" s="925"/>
      <c r="Q58" s="925"/>
      <c r="R58" s="925"/>
      <c r="S58" s="925"/>
      <c r="T58" s="925"/>
      <c r="U58" s="925"/>
      <c r="V58" s="925"/>
      <c r="W58" s="925"/>
      <c r="X58" s="925"/>
      <c r="Y58" s="925"/>
      <c r="Z58" s="925"/>
      <c r="AA58" s="925"/>
      <c r="AB58" s="925"/>
      <c r="AC58" s="925"/>
      <c r="AD58" s="925"/>
      <c r="AE58" s="925"/>
      <c r="AF58" s="927"/>
      <c r="AG58" s="924"/>
      <c r="AH58" s="924"/>
      <c r="AI58" s="927"/>
      <c r="AJ58" s="924"/>
      <c r="AK58" s="924"/>
      <c r="AL58" s="919"/>
      <c r="AM58" s="143"/>
      <c r="AN58" s="143"/>
      <c r="AO58" s="143"/>
      <c r="AP58" s="143"/>
      <c r="AQ58" s="143"/>
      <c r="AR58" s="143"/>
      <c r="AS58" s="143"/>
      <c r="AT58" s="143"/>
      <c r="AU58" s="143"/>
      <c r="AV58" s="143"/>
      <c r="AW58" s="143"/>
      <c r="AX58" s="143"/>
      <c r="AY58" s="143"/>
      <c r="AZ58" s="143"/>
      <c r="BA58" s="143"/>
      <c r="BB58" s="143"/>
      <c r="BC58" s="143"/>
      <c r="BD58" s="143"/>
      <c r="BE58" s="143"/>
      <c r="BF58" s="143"/>
      <c r="BG58" s="50"/>
    </row>
    <row r="59" ht="0.75" customHeight="1">
      <c r="A59" s="124" t="s">
        <v>989</v>
      </c>
      <c r="B59" s="124"/>
      <c r="C59" s="124"/>
      <c r="D59" s="53"/>
      <c r="E59" s="91"/>
      <c r="F59" s="920"/>
      <c r="G59" s="921"/>
      <c r="H59" s="922"/>
      <c r="I59" s="923"/>
      <c r="J59" s="160"/>
      <c r="K59" s="160"/>
      <c r="L59" s="924"/>
      <c r="M59" s="536"/>
      <c r="N59" s="928"/>
      <c r="O59" s="929"/>
      <c r="P59" s="930"/>
      <c r="Q59" s="160"/>
      <c r="R59" s="160"/>
      <c r="S59" s="160"/>
      <c r="T59" s="160"/>
      <c r="U59" s="160"/>
      <c r="V59" s="160"/>
      <c r="W59" s="160"/>
      <c r="X59" s="160"/>
      <c r="Y59" s="160"/>
      <c r="Z59" s="931"/>
      <c r="AA59" s="932"/>
      <c r="AB59" s="932"/>
      <c r="AC59" s="933"/>
      <c r="AD59" s="933"/>
      <c r="AE59" s="934"/>
      <c r="AF59" s="927"/>
      <c r="AG59" s="924"/>
      <c r="AH59" s="924"/>
      <c r="AI59" s="927"/>
      <c r="AJ59" s="924"/>
      <c r="AK59" s="924"/>
      <c r="AL59" s="919"/>
      <c r="AM59" s="143"/>
      <c r="AN59" s="143"/>
      <c r="AO59" s="143"/>
      <c r="AP59" s="143"/>
      <c r="AQ59" s="143"/>
      <c r="AR59" s="143"/>
      <c r="AS59" s="143"/>
      <c r="AT59" s="143"/>
      <c r="AU59" s="143"/>
      <c r="AV59" s="143"/>
      <c r="AW59" s="143"/>
      <c r="AX59" s="143"/>
      <c r="AY59" s="143"/>
      <c r="AZ59" s="143"/>
      <c r="BA59" s="143"/>
      <c r="BB59" s="143"/>
      <c r="BC59" s="143"/>
      <c r="BD59" s="143"/>
      <c r="BE59" s="143"/>
      <c r="BF59" s="143"/>
      <c r="BG59" s="50"/>
    </row>
    <row r="60" ht="0.75" customHeight="1">
      <c r="A60" s="124" t="s">
        <v>989</v>
      </c>
      <c r="B60" s="124"/>
      <c r="C60" s="124"/>
      <c r="D60" s="53"/>
      <c r="E60" s="91"/>
      <c r="F60" s="920"/>
      <c r="G60" s="921"/>
      <c r="H60" s="922"/>
      <c r="I60" s="923"/>
      <c r="J60" s="160"/>
      <c r="K60" s="160"/>
      <c r="L60" s="924"/>
      <c r="M60" s="536"/>
      <c r="N60" s="928"/>
      <c r="O60" s="929"/>
      <c r="P60" s="935"/>
      <c r="Q60" s="160"/>
      <c r="R60" s="160"/>
      <c r="S60" s="160"/>
      <c r="T60" s="160"/>
      <c r="U60" s="160"/>
      <c r="V60" s="160"/>
      <c r="W60" s="160"/>
      <c r="X60" s="160"/>
      <c r="Y60" s="160"/>
      <c r="Z60" s="936"/>
      <c r="AA60" s="929"/>
      <c r="AB60" s="937"/>
      <c r="AC60" s="938"/>
      <c r="AD60" s="937"/>
      <c r="AE60" s="938"/>
      <c r="AF60" s="927"/>
      <c r="AG60" s="924"/>
      <c r="AH60" s="924"/>
      <c r="AI60" s="927"/>
      <c r="AJ60" s="924"/>
      <c r="AK60" s="924"/>
      <c r="AL60" s="919"/>
      <c r="AM60" s="143"/>
      <c r="AN60" s="143"/>
      <c r="AO60" s="143"/>
      <c r="AP60" s="143"/>
      <c r="AQ60" s="143"/>
      <c r="AR60" s="143"/>
      <c r="AS60" s="143"/>
      <c r="AT60" s="143"/>
      <c r="AU60" s="143"/>
      <c r="AV60" s="143"/>
      <c r="AW60" s="143"/>
      <c r="AX60" s="143"/>
      <c r="AY60" s="143"/>
      <c r="AZ60" s="143"/>
      <c r="BA60" s="143"/>
      <c r="BB60" s="143"/>
      <c r="BC60" s="143"/>
      <c r="BD60" s="143"/>
      <c r="BE60" s="143"/>
      <c r="BF60" s="143"/>
      <c r="BG60" s="50"/>
    </row>
    <row r="61" ht="0.75" customHeight="1">
      <c r="A61" s="124" t="s">
        <v>989</v>
      </c>
      <c r="B61" s="124"/>
      <c r="C61" s="124"/>
      <c r="D61" s="53"/>
      <c r="E61" s="91"/>
      <c r="F61" s="920"/>
      <c r="G61" s="921"/>
      <c r="H61" s="922"/>
      <c r="I61" s="923"/>
      <c r="J61" s="160"/>
      <c r="K61" s="160"/>
      <c r="L61" s="924"/>
      <c r="M61" s="536"/>
      <c r="N61" s="928"/>
      <c r="O61" s="929"/>
      <c r="P61" s="939"/>
      <c r="Q61" s="160"/>
      <c r="R61" s="160"/>
      <c r="S61" s="160"/>
      <c r="T61" s="160"/>
      <c r="U61" s="160"/>
      <c r="V61" s="160"/>
      <c r="W61" s="160"/>
      <c r="X61" s="160"/>
      <c r="Y61" s="160"/>
      <c r="Z61" s="931"/>
      <c r="AA61" s="932"/>
      <c r="AB61" s="940"/>
      <c r="AC61" s="933"/>
      <c r="AD61" s="933"/>
      <c r="AE61" s="941"/>
      <c r="AF61" s="927"/>
      <c r="AG61" s="924"/>
      <c r="AH61" s="924"/>
      <c r="AI61" s="927"/>
      <c r="AJ61" s="924"/>
      <c r="AK61" s="924"/>
      <c r="AL61" s="919"/>
      <c r="AM61" s="143"/>
      <c r="AN61" s="143"/>
      <c r="AO61" s="143"/>
      <c r="AP61" s="143"/>
      <c r="AQ61" s="143"/>
      <c r="AR61" s="143"/>
      <c r="AS61" s="143"/>
      <c r="AT61" s="143"/>
      <c r="AU61" s="143"/>
      <c r="AV61" s="143"/>
      <c r="AW61" s="143"/>
      <c r="AX61" s="143"/>
      <c r="AY61" s="143"/>
      <c r="AZ61" s="143"/>
      <c r="BA61" s="143"/>
      <c r="BB61" s="143"/>
      <c r="BC61" s="143"/>
      <c r="BD61" s="143"/>
      <c r="BE61" s="143"/>
      <c r="BF61" s="143"/>
      <c r="BG61" s="50"/>
    </row>
    <row r="62" ht="0.75" customHeight="1">
      <c r="A62" s="124" t="s">
        <v>989</v>
      </c>
      <c r="B62" s="124"/>
      <c r="C62" s="124"/>
      <c r="D62" s="53"/>
      <c r="E62" s="91"/>
      <c r="F62" s="920"/>
      <c r="G62" s="921"/>
      <c r="H62" s="922"/>
      <c r="I62" s="923"/>
      <c r="J62" s="160"/>
      <c r="K62" s="160"/>
      <c r="L62" s="924"/>
      <c r="M62" s="536"/>
      <c r="N62" s="932"/>
      <c r="O62" s="932"/>
      <c r="P62" s="940"/>
      <c r="Q62" s="932"/>
      <c r="R62" s="932"/>
      <c r="S62" s="932"/>
      <c r="T62" s="932"/>
      <c r="U62" s="932"/>
      <c r="V62" s="932"/>
      <c r="W62" s="932"/>
      <c r="X62" s="932"/>
      <c r="Y62" s="932"/>
      <c r="Z62" s="932"/>
      <c r="AA62" s="932"/>
      <c r="AB62" s="932"/>
      <c r="AC62" s="932"/>
      <c r="AD62" s="932"/>
      <c r="AE62" s="942"/>
      <c r="AF62" s="927"/>
      <c r="AG62" s="924"/>
      <c r="AH62" s="924"/>
      <c r="AI62" s="927"/>
      <c r="AJ62" s="924"/>
      <c r="AK62" s="924"/>
      <c r="AL62" s="919"/>
      <c r="AM62" s="143"/>
      <c r="AN62" s="143"/>
      <c r="AO62" s="143"/>
      <c r="AP62" s="143"/>
      <c r="AQ62" s="143"/>
      <c r="AR62" s="143"/>
      <c r="AS62" s="143"/>
      <c r="AT62" s="143"/>
      <c r="AU62" s="143"/>
      <c r="AV62" s="143"/>
      <c r="AW62" s="143"/>
      <c r="AX62" s="143"/>
      <c r="AY62" s="143"/>
      <c r="AZ62" s="143"/>
      <c r="BA62" s="143"/>
      <c r="BB62" s="143"/>
      <c r="BC62" s="143"/>
      <c r="BD62" s="143"/>
      <c r="BE62" s="143"/>
      <c r="BF62" s="143"/>
      <c r="BG62" s="50"/>
    </row>
    <row r="63" ht="11.25" customHeight="1">
      <c r="A63" s="124" t="s">
        <v>989</v>
      </c>
      <c r="B63" s="124" t="s">
        <v>22</v>
      </c>
      <c r="C63" s="124"/>
      <c r="D63" s="53"/>
      <c r="E63" s="91"/>
      <c r="F63" s="943"/>
      <c r="G63" s="149" t="s">
        <v>684</v>
      </c>
      <c r="H63" s="921" t="s">
        <v>106</v>
      </c>
      <c r="I63" s="944" t="s">
        <v>1021</v>
      </c>
      <c r="J63" s="945" t="s">
        <v>22</v>
      </c>
      <c r="K63" s="448" t="s">
        <v>1022</v>
      </c>
      <c r="L63" s="224" t="s">
        <v>19</v>
      </c>
      <c r="M63" s="218"/>
      <c r="N63" s="946"/>
      <c r="O63" s="947" t="s">
        <v>371</v>
      </c>
      <c r="P63" s="948"/>
      <c r="Q63" s="948"/>
      <c r="R63" s="948"/>
      <c r="S63" s="948"/>
      <c r="T63" s="948"/>
      <c r="U63" s="948"/>
      <c r="V63" s="948"/>
      <c r="W63" s="948"/>
      <c r="X63" s="948"/>
      <c r="Y63" s="948"/>
      <c r="Z63" s="948"/>
      <c r="AA63" s="948"/>
      <c r="AB63" s="948"/>
      <c r="AC63" s="948"/>
      <c r="AD63" s="948"/>
      <c r="AE63" s="948"/>
      <c r="AF63" s="949">
        <v>5</v>
      </c>
      <c r="AG63" s="950" t="s">
        <v>1023</v>
      </c>
      <c r="AH63" s="950" t="s">
        <v>1024</v>
      </c>
      <c r="AI63" s="949"/>
      <c r="AJ63" s="950"/>
      <c r="AK63" s="950"/>
      <c r="AL63" s="919"/>
      <c r="AM63" s="143"/>
      <c r="AN63" s="143"/>
      <c r="AO63" s="143"/>
      <c r="AP63" s="143"/>
      <c r="AQ63" s="143"/>
      <c r="AR63" s="143"/>
      <c r="AS63" s="143"/>
      <c r="AT63" s="143"/>
      <c r="AU63" s="143"/>
      <c r="AV63" s="143"/>
      <c r="AW63" s="143"/>
      <c r="AX63" s="143"/>
      <c r="AY63" s="143"/>
      <c r="AZ63" s="143"/>
      <c r="BA63" s="143"/>
      <c r="BB63" s="143"/>
      <c r="BC63" s="143"/>
      <c r="BD63" s="143"/>
      <c r="BE63" s="143"/>
      <c r="BF63" s="143"/>
      <c r="BG63" s="50"/>
    </row>
    <row r="64" ht="11.25" customHeight="1">
      <c r="A64" s="124" t="s">
        <v>989</v>
      </c>
      <c r="B64" s="124"/>
      <c r="C64" s="124"/>
      <c r="D64" s="53"/>
      <c r="E64" s="91"/>
      <c r="F64" s="943"/>
      <c r="G64" s="951"/>
      <c r="H64" s="921" t="s">
        <v>371</v>
      </c>
      <c r="I64" s="944"/>
      <c r="J64" s="945"/>
      <c r="K64" s="448"/>
      <c r="L64" s="224"/>
      <c r="M64" s="218"/>
      <c r="N64" s="952"/>
      <c r="O64" s="953">
        <v>1</v>
      </c>
      <c r="P64" s="954" t="s">
        <v>65</v>
      </c>
      <c r="Q64" s="388" t="s">
        <v>1025</v>
      </c>
      <c r="R64" s="955" t="s">
        <v>1026</v>
      </c>
      <c r="S64" s="955" t="s">
        <v>1027</v>
      </c>
      <c r="T64" s="955" t="s">
        <v>1027</v>
      </c>
      <c r="U64" s="955" t="s">
        <v>1028</v>
      </c>
      <c r="V64" s="955" t="s">
        <v>1029</v>
      </c>
      <c r="W64" s="955" t="s">
        <v>1030</v>
      </c>
      <c r="X64" s="955" t="s">
        <v>1031</v>
      </c>
      <c r="Y64" s="955" t="s">
        <v>1032</v>
      </c>
      <c r="Z64" s="956"/>
      <c r="AA64" s="957"/>
      <c r="AB64" s="957"/>
      <c r="AC64" s="958"/>
      <c r="AD64" s="958"/>
      <c r="AE64" s="959"/>
      <c r="AF64" s="949"/>
      <c r="AG64" s="950"/>
      <c r="AH64" s="950"/>
      <c r="AI64" s="949"/>
      <c r="AJ64" s="950"/>
      <c r="AK64" s="950"/>
      <c r="AL64" s="919"/>
      <c r="AM64" s="143"/>
      <c r="AN64" s="143"/>
      <c r="AO64" s="143"/>
      <c r="AP64" s="143"/>
      <c r="AQ64" s="143"/>
      <c r="AR64" s="143"/>
      <c r="AS64" s="143"/>
      <c r="AT64" s="143"/>
      <c r="AU64" s="143"/>
      <c r="AV64" s="143"/>
      <c r="AW64" s="143"/>
      <c r="AX64" s="143"/>
      <c r="AY64" s="143"/>
      <c r="AZ64" s="143"/>
      <c r="BA64" s="143"/>
      <c r="BB64" s="143"/>
      <c r="BC64" s="143"/>
      <c r="BD64" s="143"/>
      <c r="BE64" s="143"/>
      <c r="BF64" s="143"/>
      <c r="BG64" s="50"/>
    </row>
    <row r="65" ht="11.25" customHeight="1">
      <c r="A65" s="124" t="s">
        <v>989</v>
      </c>
      <c r="B65" s="124"/>
      <c r="C65" s="124"/>
      <c r="D65" s="53"/>
      <c r="E65" s="91"/>
      <c r="F65" s="943"/>
      <c r="G65" s="951"/>
      <c r="H65" s="921" t="s">
        <v>371</v>
      </c>
      <c r="I65" s="944"/>
      <c r="J65" s="945"/>
      <c r="K65" s="448"/>
      <c r="L65" s="224"/>
      <c r="M65" s="218"/>
      <c r="N65" s="952"/>
      <c r="O65" s="953"/>
      <c r="P65" s="960"/>
      <c r="Q65" s="388"/>
      <c r="R65" s="458"/>
      <c r="S65" s="955"/>
      <c r="T65" s="458"/>
      <c r="U65" s="458"/>
      <c r="V65" s="458"/>
      <c r="W65" s="458"/>
      <c r="X65" s="458"/>
      <c r="Y65" s="458"/>
      <c r="Z65" s="961"/>
      <c r="AA65" s="962">
        <v>1</v>
      </c>
      <c r="AB65" s="963" t="s">
        <v>1033</v>
      </c>
      <c r="AC65" s="856">
        <v>5176.3710000000001</v>
      </c>
      <c r="AD65" s="963" t="str">
        <f t="shared" si="48"/>
        <v xml:space="preserve">      Амортизационные отчисления с выделением результатов переоценки основных средств и нематериальных активов</v>
      </c>
      <c r="AE65" s="856"/>
      <c r="AF65" s="949"/>
      <c r="AG65" s="950"/>
      <c r="AH65" s="950"/>
      <c r="AI65" s="949"/>
      <c r="AJ65" s="950"/>
      <c r="AK65" s="950"/>
      <c r="AL65" s="919"/>
      <c r="AM65" s="143"/>
      <c r="AN65" s="143"/>
      <c r="AO65" s="143"/>
      <c r="AP65" s="143"/>
      <c r="AQ65" s="143"/>
      <c r="AR65" s="143"/>
      <c r="AS65" s="143"/>
      <c r="AT65" s="143"/>
      <c r="AU65" s="143"/>
      <c r="AV65" s="143"/>
      <c r="AW65" s="143"/>
      <c r="AX65" s="143"/>
      <c r="AY65" s="143"/>
      <c r="AZ65" s="143"/>
      <c r="BA65" s="143"/>
      <c r="BB65" s="143"/>
      <c r="BC65" s="143"/>
      <c r="BD65" s="143"/>
      <c r="BE65" s="143"/>
      <c r="BF65" s="143"/>
      <c r="BG65" s="50"/>
    </row>
    <row r="66" ht="11.25" customHeight="1">
      <c r="A66" s="124" t="s">
        <v>989</v>
      </c>
      <c r="B66" s="124"/>
      <c r="C66" s="124"/>
      <c r="D66" s="53"/>
      <c r="E66" s="91"/>
      <c r="F66" s="943"/>
      <c r="G66" s="951"/>
      <c r="H66" s="921" t="s">
        <v>371</v>
      </c>
      <c r="I66" s="944"/>
      <c r="J66" s="945"/>
      <c r="K66" s="448"/>
      <c r="L66" s="224"/>
      <c r="M66" s="218"/>
      <c r="N66" s="952"/>
      <c r="O66" s="953"/>
      <c r="P66" s="964"/>
      <c r="Q66" s="388"/>
      <c r="R66" s="458"/>
      <c r="S66" s="955"/>
      <c r="T66" s="458"/>
      <c r="U66" s="458"/>
      <c r="V66" s="458"/>
      <c r="W66" s="458"/>
      <c r="X66" s="458"/>
      <c r="Y66" s="458"/>
      <c r="Z66" s="956"/>
      <c r="AA66" s="957"/>
      <c r="AB66" s="172" t="s">
        <v>1034</v>
      </c>
      <c r="AC66" s="958"/>
      <c r="AD66" s="958"/>
      <c r="AE66" s="965"/>
      <c r="AF66" s="949"/>
      <c r="AG66" s="950"/>
      <c r="AH66" s="950"/>
      <c r="AI66" s="949"/>
      <c r="AJ66" s="950"/>
      <c r="AK66" s="950"/>
      <c r="AL66" s="919"/>
      <c r="AM66" s="143"/>
      <c r="AN66" s="143"/>
      <c r="AO66" s="143"/>
      <c r="AP66" s="143"/>
      <c r="AQ66" s="143"/>
      <c r="AR66" s="143"/>
      <c r="AS66" s="143"/>
      <c r="AT66" s="143"/>
      <c r="AU66" s="143"/>
      <c r="AV66" s="143"/>
      <c r="AW66" s="143"/>
      <c r="AX66" s="143"/>
      <c r="AY66" s="143"/>
      <c r="AZ66" s="143"/>
      <c r="BA66" s="143"/>
      <c r="BB66" s="143"/>
      <c r="BC66" s="143"/>
      <c r="BD66" s="143"/>
      <c r="BE66" s="143"/>
      <c r="BF66" s="143"/>
      <c r="BG66" s="50"/>
    </row>
    <row r="67" ht="11.25" customHeight="1">
      <c r="A67" s="124" t="s">
        <v>989</v>
      </c>
      <c r="B67" s="124"/>
      <c r="C67" s="124"/>
      <c r="D67" s="53"/>
      <c r="E67" s="91"/>
      <c r="F67" s="943"/>
      <c r="G67" s="951"/>
      <c r="H67" s="921" t="s">
        <v>371</v>
      </c>
      <c r="I67" s="944"/>
      <c r="J67" s="945"/>
      <c r="K67" s="448"/>
      <c r="L67" s="224"/>
      <c r="M67" s="218"/>
      <c r="N67" s="956"/>
      <c r="O67" s="957"/>
      <c r="P67" s="172" t="s">
        <v>1035</v>
      </c>
      <c r="Q67" s="957"/>
      <c r="R67" s="957"/>
      <c r="S67" s="957"/>
      <c r="T67" s="957"/>
      <c r="U67" s="957"/>
      <c r="V67" s="957"/>
      <c r="W67" s="957"/>
      <c r="X67" s="957"/>
      <c r="Y67" s="957"/>
      <c r="Z67" s="957"/>
      <c r="AA67" s="957"/>
      <c r="AB67" s="957"/>
      <c r="AC67" s="957"/>
      <c r="AD67" s="957"/>
      <c r="AE67" s="966"/>
      <c r="AF67" s="949"/>
      <c r="AG67" s="950"/>
      <c r="AH67" s="950"/>
      <c r="AI67" s="949"/>
      <c r="AJ67" s="950"/>
      <c r="AK67" s="950"/>
      <c r="AL67" s="919"/>
      <c r="AM67" s="143"/>
      <c r="AN67" s="143"/>
      <c r="AO67" s="143"/>
      <c r="AP67" s="143"/>
      <c r="AQ67" s="143"/>
      <c r="AR67" s="143"/>
      <c r="AS67" s="143"/>
      <c r="AT67" s="143"/>
      <c r="AU67" s="143"/>
      <c r="AV67" s="143"/>
      <c r="AW67" s="143"/>
      <c r="AX67" s="143"/>
      <c r="AY67" s="143"/>
      <c r="AZ67" s="143"/>
      <c r="BA67" s="143"/>
      <c r="BB67" s="143"/>
      <c r="BC67" s="143"/>
      <c r="BD67" s="143"/>
      <c r="BE67" s="143"/>
      <c r="BF67" s="143"/>
      <c r="BG67" s="50"/>
    </row>
    <row r="68" ht="11.25" customHeight="1">
      <c r="A68" s="124" t="s">
        <v>989</v>
      </c>
      <c r="B68" s="124" t="s">
        <v>1036</v>
      </c>
      <c r="C68" s="124"/>
      <c r="D68" s="53"/>
      <c r="E68" s="91"/>
      <c r="F68" s="943"/>
      <c r="G68" s="149" t="s">
        <v>684</v>
      </c>
      <c r="H68" s="921" t="s">
        <v>107</v>
      </c>
      <c r="I68" s="944" t="s">
        <v>1037</v>
      </c>
      <c r="J68" s="388" t="s">
        <v>1038</v>
      </c>
      <c r="K68" s="448" t="s">
        <v>1039</v>
      </c>
      <c r="L68" s="224" t="s">
        <v>19</v>
      </c>
      <c r="M68" s="218"/>
      <c r="N68" s="946"/>
      <c r="O68" s="947" t="s">
        <v>371</v>
      </c>
      <c r="P68" s="948"/>
      <c r="Q68" s="948"/>
      <c r="R68" s="948"/>
      <c r="S68" s="948"/>
      <c r="T68" s="948"/>
      <c r="U68" s="948"/>
      <c r="V68" s="948"/>
      <c r="W68" s="948"/>
      <c r="X68" s="948"/>
      <c r="Y68" s="948"/>
      <c r="Z68" s="948"/>
      <c r="AA68" s="948"/>
      <c r="AB68" s="948"/>
      <c r="AC68" s="948"/>
      <c r="AD68" s="948"/>
      <c r="AE68" s="948"/>
      <c r="AF68" s="949">
        <v>3</v>
      </c>
      <c r="AG68" s="950" t="s">
        <v>1023</v>
      </c>
      <c r="AH68" s="950" t="s">
        <v>1040</v>
      </c>
      <c r="AI68" s="949"/>
      <c r="AJ68" s="950"/>
      <c r="AK68" s="950"/>
      <c r="AL68" s="919"/>
      <c r="AM68" s="143"/>
      <c r="AN68" s="143"/>
      <c r="AO68" s="143"/>
      <c r="AP68" s="143"/>
      <c r="AQ68" s="143"/>
      <c r="AR68" s="143"/>
      <c r="AS68" s="143"/>
      <c r="AT68" s="143"/>
      <c r="AU68" s="143"/>
      <c r="AV68" s="143"/>
      <c r="AW68" s="143"/>
      <c r="AX68" s="143"/>
      <c r="AY68" s="143"/>
      <c r="AZ68" s="143"/>
      <c r="BA68" s="143"/>
      <c r="BB68" s="143"/>
      <c r="BC68" s="143"/>
      <c r="BD68" s="143"/>
      <c r="BE68" s="143"/>
      <c r="BF68" s="143"/>
      <c r="BG68" s="50"/>
    </row>
    <row r="69" ht="11.25" customHeight="1">
      <c r="A69" s="124" t="s">
        <v>989</v>
      </c>
      <c r="B69" s="124"/>
      <c r="C69" s="124"/>
      <c r="D69" s="53"/>
      <c r="E69" s="91"/>
      <c r="F69" s="943"/>
      <c r="G69" s="951"/>
      <c r="H69" s="921" t="s">
        <v>106</v>
      </c>
      <c r="I69" s="944"/>
      <c r="J69" s="388"/>
      <c r="K69" s="448"/>
      <c r="L69" s="224"/>
      <c r="M69" s="218"/>
      <c r="N69" s="952"/>
      <c r="O69" s="953">
        <v>1</v>
      </c>
      <c r="P69" s="954" t="s">
        <v>65</v>
      </c>
      <c r="Q69" s="388" t="s">
        <v>1025</v>
      </c>
      <c r="R69" s="955" t="s">
        <v>1026</v>
      </c>
      <c r="S69" s="955" t="s">
        <v>1027</v>
      </c>
      <c r="T69" s="955" t="s">
        <v>1027</v>
      </c>
      <c r="U69" s="955" t="s">
        <v>1028</v>
      </c>
      <c r="V69" s="955" t="s">
        <v>1029</v>
      </c>
      <c r="W69" s="955" t="s">
        <v>1030</v>
      </c>
      <c r="X69" s="955" t="s">
        <v>1031</v>
      </c>
      <c r="Y69" s="955" t="s">
        <v>1032</v>
      </c>
      <c r="Z69" s="956"/>
      <c r="AA69" s="957"/>
      <c r="AB69" s="957"/>
      <c r="AC69" s="958"/>
      <c r="AD69" s="958"/>
      <c r="AE69" s="959"/>
      <c r="AF69" s="949"/>
      <c r="AG69" s="950"/>
      <c r="AH69" s="950"/>
      <c r="AI69" s="949"/>
      <c r="AJ69" s="950"/>
      <c r="AK69" s="950"/>
      <c r="AL69" s="919"/>
      <c r="AM69" s="143"/>
      <c r="AN69" s="143"/>
      <c r="AO69" s="143"/>
      <c r="AP69" s="143"/>
      <c r="AQ69" s="143"/>
      <c r="AR69" s="143"/>
      <c r="AS69" s="143"/>
      <c r="AT69" s="143"/>
      <c r="AU69" s="143"/>
      <c r="AV69" s="143"/>
      <c r="AW69" s="143"/>
      <c r="AX69" s="143"/>
      <c r="AY69" s="143"/>
      <c r="AZ69" s="143"/>
      <c r="BA69" s="143"/>
      <c r="BB69" s="143"/>
      <c r="BC69" s="143"/>
      <c r="BD69" s="143"/>
      <c r="BE69" s="143"/>
      <c r="BF69" s="143"/>
      <c r="BG69" s="50"/>
    </row>
    <row r="70" ht="11.25" customHeight="1">
      <c r="A70" s="124" t="s">
        <v>989</v>
      </c>
      <c r="B70" s="124"/>
      <c r="C70" s="124"/>
      <c r="D70" s="53"/>
      <c r="E70" s="91"/>
      <c r="F70" s="943"/>
      <c r="G70" s="951"/>
      <c r="H70" s="921" t="s">
        <v>106</v>
      </c>
      <c r="I70" s="944"/>
      <c r="J70" s="388"/>
      <c r="K70" s="448"/>
      <c r="L70" s="224"/>
      <c r="M70" s="218"/>
      <c r="N70" s="952"/>
      <c r="O70" s="953"/>
      <c r="P70" s="960"/>
      <c r="Q70" s="388"/>
      <c r="R70" s="458"/>
      <c r="S70" s="955"/>
      <c r="T70" s="458"/>
      <c r="U70" s="458"/>
      <c r="V70" s="458"/>
      <c r="W70" s="458"/>
      <c r="X70" s="458"/>
      <c r="Y70" s="458"/>
      <c r="Z70" s="961"/>
      <c r="AA70" s="962">
        <v>1</v>
      </c>
      <c r="AB70" s="963" t="s">
        <v>1033</v>
      </c>
      <c r="AC70" s="856">
        <v>779.42999999999995</v>
      </c>
      <c r="AD70" s="963" t="str">
        <f t="shared" si="48"/>
        <v xml:space="preserve">      Амортизационные отчисления с выделением результатов переоценки основных средств и нематериальных активов</v>
      </c>
      <c r="AE70" s="856"/>
      <c r="AF70" s="949"/>
      <c r="AG70" s="950"/>
      <c r="AH70" s="950"/>
      <c r="AI70" s="949"/>
      <c r="AJ70" s="950"/>
      <c r="AK70" s="950"/>
      <c r="AL70" s="919"/>
      <c r="AM70" s="143"/>
      <c r="AN70" s="143"/>
      <c r="AO70" s="143"/>
      <c r="AP70" s="143"/>
      <c r="AQ70" s="143"/>
      <c r="AR70" s="143"/>
      <c r="AS70" s="143"/>
      <c r="AT70" s="143"/>
      <c r="AU70" s="143"/>
      <c r="AV70" s="143"/>
      <c r="AW70" s="143"/>
      <c r="AX70" s="143"/>
      <c r="AY70" s="143"/>
      <c r="AZ70" s="143"/>
      <c r="BA70" s="143"/>
      <c r="BB70" s="143"/>
      <c r="BC70" s="143"/>
      <c r="BD70" s="143"/>
      <c r="BE70" s="143"/>
      <c r="BF70" s="143"/>
      <c r="BG70" s="50"/>
    </row>
    <row r="71" ht="11.25" customHeight="1">
      <c r="A71" s="124" t="s">
        <v>989</v>
      </c>
      <c r="B71" s="124"/>
      <c r="C71" s="124"/>
      <c r="D71" s="53"/>
      <c r="E71" s="91"/>
      <c r="F71" s="951"/>
      <c r="G71" s="951"/>
      <c r="H71" s="951"/>
      <c r="I71" s="951"/>
      <c r="J71" s="967"/>
      <c r="K71" s="951"/>
      <c r="L71" s="951"/>
      <c r="M71" s="951"/>
      <c r="N71" s="951"/>
      <c r="O71" s="951"/>
      <c r="P71" s="951"/>
      <c r="Q71" s="951"/>
      <c r="R71" s="951"/>
      <c r="S71" s="951"/>
      <c r="T71" s="951"/>
      <c r="U71" s="951"/>
      <c r="V71" s="951"/>
      <c r="W71" s="951"/>
      <c r="X71" s="951"/>
      <c r="Y71" s="951"/>
      <c r="Z71" s="149" t="s">
        <v>684</v>
      </c>
      <c r="AA71" s="953" t="s">
        <v>107</v>
      </c>
      <c r="AB71" s="963" t="s">
        <v>1041</v>
      </c>
      <c r="AC71" s="856">
        <v>8953.5820000000003</v>
      </c>
      <c r="AD71" s="963" t="str">
        <f t="shared" si="48"/>
        <v xml:space="preserve">  Прочие собственные средства</v>
      </c>
      <c r="AE71" s="856"/>
      <c r="AF71" s="968"/>
      <c r="AG71" s="969"/>
      <c r="AH71" s="969"/>
      <c r="AI71" s="968"/>
      <c r="AJ71" s="969"/>
      <c r="AK71" s="970"/>
      <c r="AL71" s="919"/>
      <c r="AM71" s="143"/>
      <c r="AN71" s="143"/>
      <c r="AO71" s="143"/>
      <c r="AP71" s="143"/>
      <c r="AQ71" s="143"/>
      <c r="AR71" s="143"/>
      <c r="AS71" s="143"/>
      <c r="AT71" s="143"/>
      <c r="AU71" s="143"/>
      <c r="AV71" s="143"/>
      <c r="AW71" s="143"/>
      <c r="AX71" s="143"/>
      <c r="AY71" s="143"/>
      <c r="AZ71" s="143"/>
      <c r="BA71" s="143"/>
      <c r="BB71" s="143"/>
      <c r="BC71" s="143"/>
      <c r="BD71" s="143"/>
      <c r="BE71" s="143"/>
      <c r="BF71" s="143"/>
      <c r="BG71" s="50"/>
    </row>
    <row r="72" ht="11.25" customHeight="1">
      <c r="A72" s="124" t="s">
        <v>989</v>
      </c>
      <c r="B72" s="124"/>
      <c r="C72" s="124"/>
      <c r="D72" s="53"/>
      <c r="E72" s="91"/>
      <c r="F72" s="943"/>
      <c r="G72" s="951"/>
      <c r="H72" s="921" t="s">
        <v>106</v>
      </c>
      <c r="I72" s="944"/>
      <c r="J72" s="388"/>
      <c r="K72" s="448"/>
      <c r="L72" s="224"/>
      <c r="M72" s="218"/>
      <c r="N72" s="952"/>
      <c r="O72" s="953"/>
      <c r="P72" s="964"/>
      <c r="Q72" s="388"/>
      <c r="R72" s="458"/>
      <c r="S72" s="955"/>
      <c r="T72" s="458"/>
      <c r="U72" s="458"/>
      <c r="V72" s="458"/>
      <c r="W72" s="458"/>
      <c r="X72" s="458"/>
      <c r="Y72" s="458"/>
      <c r="Z72" s="956"/>
      <c r="AA72" s="957"/>
      <c r="AB72" s="172" t="s">
        <v>1034</v>
      </c>
      <c r="AC72" s="958"/>
      <c r="AD72" s="958"/>
      <c r="AE72" s="965"/>
      <c r="AF72" s="949"/>
      <c r="AG72" s="950"/>
      <c r="AH72" s="950"/>
      <c r="AI72" s="949"/>
      <c r="AJ72" s="950"/>
      <c r="AK72" s="950"/>
      <c r="AL72" s="919"/>
      <c r="AM72" s="143"/>
      <c r="AN72" s="143"/>
      <c r="AO72" s="143"/>
      <c r="AP72" s="143"/>
      <c r="AQ72" s="143"/>
      <c r="AR72" s="143"/>
      <c r="AS72" s="143"/>
      <c r="AT72" s="143"/>
      <c r="AU72" s="143"/>
      <c r="AV72" s="143"/>
      <c r="AW72" s="143"/>
      <c r="AX72" s="143"/>
      <c r="AY72" s="143"/>
      <c r="AZ72" s="143"/>
      <c r="BA72" s="143"/>
      <c r="BB72" s="143"/>
      <c r="BC72" s="143"/>
      <c r="BD72" s="143"/>
      <c r="BE72" s="143"/>
      <c r="BF72" s="143"/>
      <c r="BG72" s="50"/>
    </row>
    <row r="73" ht="11.25" customHeight="1">
      <c r="A73" s="124" t="s">
        <v>989</v>
      </c>
      <c r="B73" s="124"/>
      <c r="C73" s="124"/>
      <c r="D73" s="53"/>
      <c r="E73" s="91"/>
      <c r="F73" s="943"/>
      <c r="G73" s="951"/>
      <c r="H73" s="921" t="s">
        <v>106</v>
      </c>
      <c r="I73" s="944"/>
      <c r="J73" s="388"/>
      <c r="K73" s="448"/>
      <c r="L73" s="224"/>
      <c r="M73" s="218"/>
      <c r="N73" s="956"/>
      <c r="O73" s="957"/>
      <c r="P73" s="172" t="s">
        <v>1035</v>
      </c>
      <c r="Q73" s="957"/>
      <c r="R73" s="957"/>
      <c r="S73" s="957"/>
      <c r="T73" s="957"/>
      <c r="U73" s="957"/>
      <c r="V73" s="957"/>
      <c r="W73" s="957"/>
      <c r="X73" s="957"/>
      <c r="Y73" s="957"/>
      <c r="Z73" s="957"/>
      <c r="AA73" s="957"/>
      <c r="AB73" s="957"/>
      <c r="AC73" s="957"/>
      <c r="AD73" s="957"/>
      <c r="AE73" s="966"/>
      <c r="AF73" s="949"/>
      <c r="AG73" s="950"/>
      <c r="AH73" s="950"/>
      <c r="AI73" s="949"/>
      <c r="AJ73" s="950"/>
      <c r="AK73" s="950"/>
      <c r="AL73" s="919"/>
      <c r="AM73" s="143"/>
      <c r="AN73" s="143"/>
      <c r="AO73" s="143"/>
      <c r="AP73" s="143"/>
      <c r="AQ73" s="143"/>
      <c r="AR73" s="143"/>
      <c r="AS73" s="143"/>
      <c r="AT73" s="143"/>
      <c r="AU73" s="143"/>
      <c r="AV73" s="143"/>
      <c r="AW73" s="143"/>
      <c r="AX73" s="143"/>
      <c r="AY73" s="143"/>
      <c r="AZ73" s="143"/>
      <c r="BA73" s="143"/>
      <c r="BB73" s="143"/>
      <c r="BC73" s="143"/>
      <c r="BD73" s="143"/>
      <c r="BE73" s="143"/>
      <c r="BF73" s="143"/>
      <c r="BG73" s="50"/>
    </row>
    <row r="74" ht="11.25" customHeight="1">
      <c r="A74" s="124" t="s">
        <v>989</v>
      </c>
      <c r="B74" s="124" t="s">
        <v>1036</v>
      </c>
      <c r="C74" s="124"/>
      <c r="D74" s="53"/>
      <c r="E74" s="91"/>
      <c r="F74" s="943"/>
      <c r="G74" s="149" t="s">
        <v>684</v>
      </c>
      <c r="H74" s="921" t="s">
        <v>90</v>
      </c>
      <c r="I74" s="944" t="s">
        <v>1037</v>
      </c>
      <c r="J74" s="388" t="s">
        <v>1038</v>
      </c>
      <c r="K74" s="448" t="s">
        <v>1044</v>
      </c>
      <c r="L74" s="224" t="s">
        <v>19</v>
      </c>
      <c r="M74" s="218"/>
      <c r="N74" s="946"/>
      <c r="O74" s="947" t="s">
        <v>371</v>
      </c>
      <c r="P74" s="948"/>
      <c r="Q74" s="948"/>
      <c r="R74" s="948"/>
      <c r="S74" s="948"/>
      <c r="T74" s="948"/>
      <c r="U74" s="948"/>
      <c r="V74" s="948"/>
      <c r="W74" s="948"/>
      <c r="X74" s="948"/>
      <c r="Y74" s="948"/>
      <c r="Z74" s="948"/>
      <c r="AA74" s="948"/>
      <c r="AB74" s="948"/>
      <c r="AC74" s="948"/>
      <c r="AD74" s="948"/>
      <c r="AE74" s="948"/>
      <c r="AF74" s="949">
        <v>5</v>
      </c>
      <c r="AG74" s="950" t="s">
        <v>1023</v>
      </c>
      <c r="AH74" s="950" t="s">
        <v>1024</v>
      </c>
      <c r="AI74" s="949"/>
      <c r="AJ74" s="950"/>
      <c r="AK74" s="950"/>
      <c r="AL74" s="919"/>
      <c r="AM74" s="143"/>
      <c r="AN74" s="143"/>
      <c r="AO74" s="143"/>
      <c r="AP74" s="143"/>
      <c r="AQ74" s="143"/>
      <c r="AR74" s="143"/>
      <c r="AS74" s="143"/>
      <c r="AT74" s="143"/>
      <c r="AU74" s="143"/>
      <c r="AV74" s="143"/>
      <c r="AW74" s="143"/>
      <c r="AX74" s="143"/>
      <c r="AY74" s="143"/>
      <c r="AZ74" s="143"/>
      <c r="BA74" s="143"/>
      <c r="BB74" s="143"/>
      <c r="BC74" s="143"/>
      <c r="BD74" s="143"/>
      <c r="BE74" s="143"/>
      <c r="BF74" s="143"/>
      <c r="BG74" s="50"/>
    </row>
    <row r="75" ht="11.25" customHeight="1">
      <c r="A75" s="124" t="s">
        <v>989</v>
      </c>
      <c r="B75" s="124"/>
      <c r="C75" s="124"/>
      <c r="D75" s="53"/>
      <c r="E75" s="91"/>
      <c r="F75" s="943"/>
      <c r="G75" s="951"/>
      <c r="H75" s="921" t="s">
        <v>107</v>
      </c>
      <c r="I75" s="944"/>
      <c r="J75" s="388"/>
      <c r="K75" s="448"/>
      <c r="L75" s="224"/>
      <c r="M75" s="218"/>
      <c r="N75" s="952"/>
      <c r="O75" s="953">
        <v>1</v>
      </c>
      <c r="P75" s="954" t="s">
        <v>65</v>
      </c>
      <c r="Q75" s="388" t="s">
        <v>1025</v>
      </c>
      <c r="R75" s="955" t="s">
        <v>1026</v>
      </c>
      <c r="S75" s="955" t="s">
        <v>1027</v>
      </c>
      <c r="T75" s="955" t="s">
        <v>1027</v>
      </c>
      <c r="U75" s="955" t="s">
        <v>1028</v>
      </c>
      <c r="V75" s="955" t="s">
        <v>1029</v>
      </c>
      <c r="W75" s="955" t="s">
        <v>1030</v>
      </c>
      <c r="X75" s="955" t="s">
        <v>1031</v>
      </c>
      <c r="Y75" s="955" t="s">
        <v>1032</v>
      </c>
      <c r="Z75" s="956"/>
      <c r="AA75" s="957"/>
      <c r="AB75" s="957"/>
      <c r="AC75" s="958"/>
      <c r="AD75" s="958"/>
      <c r="AE75" s="959"/>
      <c r="AF75" s="949"/>
      <c r="AG75" s="950"/>
      <c r="AH75" s="950"/>
      <c r="AI75" s="949"/>
      <c r="AJ75" s="950"/>
      <c r="AK75" s="950"/>
      <c r="AL75" s="919"/>
      <c r="AM75" s="143"/>
      <c r="AN75" s="143"/>
      <c r="AO75" s="143"/>
      <c r="AP75" s="143"/>
      <c r="AQ75" s="143"/>
      <c r="AR75" s="143"/>
      <c r="AS75" s="143"/>
      <c r="AT75" s="143"/>
      <c r="AU75" s="143"/>
      <c r="AV75" s="143"/>
      <c r="AW75" s="143"/>
      <c r="AX75" s="143"/>
      <c r="AY75" s="143"/>
      <c r="AZ75" s="143"/>
      <c r="BA75" s="143"/>
      <c r="BB75" s="143"/>
      <c r="BC75" s="143"/>
      <c r="BD75" s="143"/>
      <c r="BE75" s="143"/>
      <c r="BF75" s="143"/>
      <c r="BG75" s="50"/>
    </row>
    <row r="76" ht="11.25" customHeight="1">
      <c r="A76" s="124" t="s">
        <v>989</v>
      </c>
      <c r="B76" s="124"/>
      <c r="C76" s="124"/>
      <c r="D76" s="53"/>
      <c r="E76" s="91"/>
      <c r="F76" s="943"/>
      <c r="G76" s="951"/>
      <c r="H76" s="921" t="s">
        <v>107</v>
      </c>
      <c r="I76" s="944"/>
      <c r="J76" s="388"/>
      <c r="K76" s="448"/>
      <c r="L76" s="224"/>
      <c r="M76" s="218"/>
      <c r="N76" s="952"/>
      <c r="O76" s="953"/>
      <c r="P76" s="960"/>
      <c r="Q76" s="388"/>
      <c r="R76" s="458"/>
      <c r="S76" s="955"/>
      <c r="T76" s="458"/>
      <c r="U76" s="458"/>
      <c r="V76" s="458"/>
      <c r="W76" s="458"/>
      <c r="X76" s="458"/>
      <c r="Y76" s="458"/>
      <c r="Z76" s="961"/>
      <c r="AA76" s="962">
        <v>1</v>
      </c>
      <c r="AB76" s="963" t="s">
        <v>1033</v>
      </c>
      <c r="AC76" s="856">
        <v>39851.357000000004</v>
      </c>
      <c r="AD76" s="963" t="str">
        <f t="shared" si="48"/>
        <v xml:space="preserve">      Амортизационные отчисления с выделением результатов переоценки основных средств и нематериальных активов</v>
      </c>
      <c r="AE76" s="856"/>
      <c r="AF76" s="949"/>
      <c r="AG76" s="950"/>
      <c r="AH76" s="950"/>
      <c r="AI76" s="949"/>
      <c r="AJ76" s="950"/>
      <c r="AK76" s="950"/>
      <c r="AL76" s="919"/>
      <c r="AM76" s="143"/>
      <c r="AN76" s="143"/>
      <c r="AO76" s="143"/>
      <c r="AP76" s="143"/>
      <c r="AQ76" s="143"/>
      <c r="AR76" s="143"/>
      <c r="AS76" s="143"/>
      <c r="AT76" s="143"/>
      <c r="AU76" s="143"/>
      <c r="AV76" s="143"/>
      <c r="AW76" s="143"/>
      <c r="AX76" s="143"/>
      <c r="AY76" s="143"/>
      <c r="AZ76" s="143"/>
      <c r="BA76" s="143"/>
      <c r="BB76" s="143"/>
      <c r="BC76" s="143"/>
      <c r="BD76" s="143"/>
      <c r="BE76" s="143"/>
      <c r="BF76" s="143"/>
      <c r="BG76" s="50"/>
    </row>
    <row r="77" ht="11.25" customHeight="1">
      <c r="A77" s="124" t="s">
        <v>989</v>
      </c>
      <c r="B77" s="124"/>
      <c r="C77" s="124"/>
      <c r="D77" s="53"/>
      <c r="E77" s="91"/>
      <c r="F77" s="943"/>
      <c r="G77" s="951"/>
      <c r="H77" s="921" t="s">
        <v>107</v>
      </c>
      <c r="I77" s="944"/>
      <c r="J77" s="388"/>
      <c r="K77" s="448"/>
      <c r="L77" s="224"/>
      <c r="M77" s="218"/>
      <c r="N77" s="952"/>
      <c r="O77" s="953"/>
      <c r="P77" s="964"/>
      <c r="Q77" s="388"/>
      <c r="R77" s="458"/>
      <c r="S77" s="955"/>
      <c r="T77" s="458"/>
      <c r="U77" s="458"/>
      <c r="V77" s="458"/>
      <c r="W77" s="458"/>
      <c r="X77" s="458"/>
      <c r="Y77" s="458"/>
      <c r="Z77" s="956"/>
      <c r="AA77" s="957"/>
      <c r="AB77" s="172" t="s">
        <v>1034</v>
      </c>
      <c r="AC77" s="958"/>
      <c r="AD77" s="958"/>
      <c r="AE77" s="965"/>
      <c r="AF77" s="949"/>
      <c r="AG77" s="950"/>
      <c r="AH77" s="950"/>
      <c r="AI77" s="949"/>
      <c r="AJ77" s="950"/>
      <c r="AK77" s="950"/>
      <c r="AL77" s="919"/>
      <c r="AM77" s="143"/>
      <c r="AN77" s="143"/>
      <c r="AO77" s="143"/>
      <c r="AP77" s="143"/>
      <c r="AQ77" s="143"/>
      <c r="AR77" s="143"/>
      <c r="AS77" s="143"/>
      <c r="AT77" s="143"/>
      <c r="AU77" s="143"/>
      <c r="AV77" s="143"/>
      <c r="AW77" s="143"/>
      <c r="AX77" s="143"/>
      <c r="AY77" s="143"/>
      <c r="AZ77" s="143"/>
      <c r="BA77" s="143"/>
      <c r="BB77" s="143"/>
      <c r="BC77" s="143"/>
      <c r="BD77" s="143"/>
      <c r="BE77" s="143"/>
      <c r="BF77" s="143"/>
      <c r="BG77" s="50"/>
    </row>
    <row r="78" ht="11.25" customHeight="1">
      <c r="A78" s="124" t="s">
        <v>989</v>
      </c>
      <c r="B78" s="124"/>
      <c r="C78" s="124"/>
      <c r="D78" s="53"/>
      <c r="E78" s="91"/>
      <c r="F78" s="943"/>
      <c r="G78" s="951"/>
      <c r="H78" s="921" t="s">
        <v>107</v>
      </c>
      <c r="I78" s="944"/>
      <c r="J78" s="388"/>
      <c r="K78" s="448"/>
      <c r="L78" s="224"/>
      <c r="M78" s="218"/>
      <c r="N78" s="956"/>
      <c r="O78" s="957"/>
      <c r="P78" s="172" t="s">
        <v>1035</v>
      </c>
      <c r="Q78" s="957"/>
      <c r="R78" s="957"/>
      <c r="S78" s="957"/>
      <c r="T78" s="957"/>
      <c r="U78" s="957"/>
      <c r="V78" s="957"/>
      <c r="W78" s="957"/>
      <c r="X78" s="957"/>
      <c r="Y78" s="957"/>
      <c r="Z78" s="957"/>
      <c r="AA78" s="957"/>
      <c r="AB78" s="957"/>
      <c r="AC78" s="957"/>
      <c r="AD78" s="957"/>
      <c r="AE78" s="966"/>
      <c r="AF78" s="949"/>
      <c r="AG78" s="950"/>
      <c r="AH78" s="950"/>
      <c r="AI78" s="949"/>
      <c r="AJ78" s="950"/>
      <c r="AK78" s="950"/>
      <c r="AL78" s="919"/>
      <c r="AM78" s="143"/>
      <c r="AN78" s="143"/>
      <c r="AO78" s="143"/>
      <c r="AP78" s="143"/>
      <c r="AQ78" s="143"/>
      <c r="AR78" s="143"/>
      <c r="AS78" s="143"/>
      <c r="AT78" s="143"/>
      <c r="AU78" s="143"/>
      <c r="AV78" s="143"/>
      <c r="AW78" s="143"/>
      <c r="AX78" s="143"/>
      <c r="AY78" s="143"/>
      <c r="AZ78" s="143"/>
      <c r="BA78" s="143"/>
      <c r="BB78" s="143"/>
      <c r="BC78" s="143"/>
      <c r="BD78" s="143"/>
      <c r="BE78" s="143"/>
      <c r="BF78" s="143"/>
      <c r="BG78" s="50"/>
    </row>
    <row r="79" ht="11.25" customHeight="1">
      <c r="A79" s="124" t="s">
        <v>989</v>
      </c>
      <c r="B79" s="124" t="s">
        <v>22</v>
      </c>
      <c r="C79" s="124"/>
      <c r="D79" s="53"/>
      <c r="E79" s="91"/>
      <c r="F79" s="943"/>
      <c r="G79" s="149" t="s">
        <v>684</v>
      </c>
      <c r="H79" s="921" t="s">
        <v>91</v>
      </c>
      <c r="I79" s="944" t="s">
        <v>1021</v>
      </c>
      <c r="J79" s="945" t="s">
        <v>22</v>
      </c>
      <c r="K79" s="448" t="s">
        <v>1052</v>
      </c>
      <c r="L79" s="224" t="s">
        <v>19</v>
      </c>
      <c r="M79" s="218"/>
      <c r="N79" s="946"/>
      <c r="O79" s="947" t="s">
        <v>371</v>
      </c>
      <c r="P79" s="948"/>
      <c r="Q79" s="948"/>
      <c r="R79" s="948"/>
      <c r="S79" s="948"/>
      <c r="T79" s="948"/>
      <c r="U79" s="948"/>
      <c r="V79" s="948"/>
      <c r="W79" s="948"/>
      <c r="X79" s="948"/>
      <c r="Y79" s="948"/>
      <c r="Z79" s="948"/>
      <c r="AA79" s="948"/>
      <c r="AB79" s="948"/>
      <c r="AC79" s="948"/>
      <c r="AD79" s="948"/>
      <c r="AE79" s="948"/>
      <c r="AF79" s="949">
        <v>5</v>
      </c>
      <c r="AG79" s="950" t="s">
        <v>1023</v>
      </c>
      <c r="AH79" s="950" t="s">
        <v>1024</v>
      </c>
      <c r="AI79" s="949"/>
      <c r="AJ79" s="950"/>
      <c r="AK79" s="950"/>
      <c r="AL79" s="919"/>
      <c r="AM79" s="143"/>
      <c r="AN79" s="143"/>
      <c r="AO79" s="143"/>
      <c r="AP79" s="143"/>
      <c r="AQ79" s="143"/>
      <c r="AR79" s="143"/>
      <c r="AS79" s="143"/>
      <c r="AT79" s="143"/>
      <c r="AU79" s="143"/>
      <c r="AV79" s="143"/>
      <c r="AW79" s="143"/>
      <c r="AX79" s="143"/>
      <c r="AY79" s="143"/>
      <c r="AZ79" s="143"/>
      <c r="BA79" s="143"/>
      <c r="BB79" s="143"/>
      <c r="BC79" s="143"/>
      <c r="BD79" s="143"/>
      <c r="BE79" s="143"/>
      <c r="BF79" s="143"/>
      <c r="BG79" s="50"/>
    </row>
    <row r="80" ht="11.25" customHeight="1">
      <c r="A80" s="124" t="s">
        <v>989</v>
      </c>
      <c r="B80" s="124"/>
      <c r="C80" s="124"/>
      <c r="D80" s="53"/>
      <c r="E80" s="91"/>
      <c r="F80" s="943"/>
      <c r="G80" s="951"/>
      <c r="H80" s="921" t="s">
        <v>90</v>
      </c>
      <c r="I80" s="944"/>
      <c r="J80" s="945"/>
      <c r="K80" s="448"/>
      <c r="L80" s="224"/>
      <c r="M80" s="218"/>
      <c r="N80" s="952"/>
      <c r="O80" s="953">
        <v>1</v>
      </c>
      <c r="P80" s="954" t="s">
        <v>65</v>
      </c>
      <c r="Q80" s="388" t="s">
        <v>1025</v>
      </c>
      <c r="R80" s="955" t="s">
        <v>1026</v>
      </c>
      <c r="S80" s="955" t="s">
        <v>1027</v>
      </c>
      <c r="T80" s="955" t="s">
        <v>1027</v>
      </c>
      <c r="U80" s="955" t="s">
        <v>1028</v>
      </c>
      <c r="V80" s="955" t="s">
        <v>1029</v>
      </c>
      <c r="W80" s="955" t="s">
        <v>1030</v>
      </c>
      <c r="X80" s="955" t="s">
        <v>1031</v>
      </c>
      <c r="Y80" s="955" t="s">
        <v>1032</v>
      </c>
      <c r="Z80" s="956"/>
      <c r="AA80" s="957"/>
      <c r="AB80" s="957"/>
      <c r="AC80" s="958"/>
      <c r="AD80" s="958"/>
      <c r="AE80" s="959"/>
      <c r="AF80" s="949"/>
      <c r="AG80" s="950"/>
      <c r="AH80" s="950"/>
      <c r="AI80" s="949"/>
      <c r="AJ80" s="950"/>
      <c r="AK80" s="950"/>
      <c r="AL80" s="919"/>
      <c r="AM80" s="143"/>
      <c r="AN80" s="143"/>
      <c r="AO80" s="143"/>
      <c r="AP80" s="143"/>
      <c r="AQ80" s="143"/>
      <c r="AR80" s="143"/>
      <c r="AS80" s="143"/>
      <c r="AT80" s="143"/>
      <c r="AU80" s="143"/>
      <c r="AV80" s="143"/>
      <c r="AW80" s="143"/>
      <c r="AX80" s="143"/>
      <c r="AY80" s="143"/>
      <c r="AZ80" s="143"/>
      <c r="BA80" s="143"/>
      <c r="BB80" s="143"/>
      <c r="BC80" s="143"/>
      <c r="BD80" s="143"/>
      <c r="BE80" s="143"/>
      <c r="BF80" s="143"/>
      <c r="BG80" s="50"/>
    </row>
    <row r="81" ht="11.25" customHeight="1">
      <c r="A81" s="124" t="s">
        <v>989</v>
      </c>
      <c r="B81" s="124"/>
      <c r="C81" s="124"/>
      <c r="D81" s="53"/>
      <c r="E81" s="91"/>
      <c r="F81" s="943"/>
      <c r="G81" s="951"/>
      <c r="H81" s="921" t="s">
        <v>90</v>
      </c>
      <c r="I81" s="944"/>
      <c r="J81" s="945"/>
      <c r="K81" s="448"/>
      <c r="L81" s="224"/>
      <c r="M81" s="218"/>
      <c r="N81" s="952"/>
      <c r="O81" s="953"/>
      <c r="P81" s="960"/>
      <c r="Q81" s="388"/>
      <c r="R81" s="458"/>
      <c r="S81" s="955"/>
      <c r="T81" s="458"/>
      <c r="U81" s="458"/>
      <c r="V81" s="458"/>
      <c r="W81" s="458"/>
      <c r="X81" s="458"/>
      <c r="Y81" s="458"/>
      <c r="Z81" s="961"/>
      <c r="AA81" s="962">
        <v>1</v>
      </c>
      <c r="AB81" s="963" t="s">
        <v>1033</v>
      </c>
      <c r="AC81" s="856">
        <v>23713.402999999998</v>
      </c>
      <c r="AD81" s="963" t="str">
        <f t="shared" si="48"/>
        <v xml:space="preserve">      Амортизационные отчисления с выделением результатов переоценки основных средств и нематериальных активов</v>
      </c>
      <c r="AE81" s="856"/>
      <c r="AF81" s="949"/>
      <c r="AG81" s="950"/>
      <c r="AH81" s="950"/>
      <c r="AI81" s="949"/>
      <c r="AJ81" s="950"/>
      <c r="AK81" s="950"/>
      <c r="AL81" s="919"/>
      <c r="AM81" s="143"/>
      <c r="AN81" s="143"/>
      <c r="AO81" s="143"/>
      <c r="AP81" s="143"/>
      <c r="AQ81" s="143"/>
      <c r="AR81" s="143"/>
      <c r="AS81" s="143"/>
      <c r="AT81" s="143"/>
      <c r="AU81" s="143"/>
      <c r="AV81" s="143"/>
      <c r="AW81" s="143"/>
      <c r="AX81" s="143"/>
      <c r="AY81" s="143"/>
      <c r="AZ81" s="143"/>
      <c r="BA81" s="143"/>
      <c r="BB81" s="143"/>
      <c r="BC81" s="143"/>
      <c r="BD81" s="143"/>
      <c r="BE81" s="143"/>
      <c r="BF81" s="143"/>
      <c r="BG81" s="50"/>
    </row>
    <row r="82" ht="11.25" customHeight="1">
      <c r="A82" s="124" t="s">
        <v>989</v>
      </c>
      <c r="B82" s="124"/>
      <c r="C82" s="124"/>
      <c r="D82" s="53"/>
      <c r="E82" s="91"/>
      <c r="F82" s="943"/>
      <c r="G82" s="951"/>
      <c r="H82" s="921" t="s">
        <v>90</v>
      </c>
      <c r="I82" s="944"/>
      <c r="J82" s="945"/>
      <c r="K82" s="448"/>
      <c r="L82" s="224"/>
      <c r="M82" s="218"/>
      <c r="N82" s="952"/>
      <c r="O82" s="953"/>
      <c r="P82" s="964"/>
      <c r="Q82" s="388"/>
      <c r="R82" s="458"/>
      <c r="S82" s="955"/>
      <c r="T82" s="458"/>
      <c r="U82" s="458"/>
      <c r="V82" s="458"/>
      <c r="W82" s="458"/>
      <c r="X82" s="458"/>
      <c r="Y82" s="458"/>
      <c r="Z82" s="956"/>
      <c r="AA82" s="957"/>
      <c r="AB82" s="172" t="s">
        <v>1034</v>
      </c>
      <c r="AC82" s="958"/>
      <c r="AD82" s="958"/>
      <c r="AE82" s="965"/>
      <c r="AF82" s="949"/>
      <c r="AG82" s="950"/>
      <c r="AH82" s="950"/>
      <c r="AI82" s="949"/>
      <c r="AJ82" s="950"/>
      <c r="AK82" s="950"/>
      <c r="AL82" s="919"/>
      <c r="AM82" s="143"/>
      <c r="AN82" s="143"/>
      <c r="AO82" s="143"/>
      <c r="AP82" s="143"/>
      <c r="AQ82" s="143"/>
      <c r="AR82" s="143"/>
      <c r="AS82" s="143"/>
      <c r="AT82" s="143"/>
      <c r="AU82" s="143"/>
      <c r="AV82" s="143"/>
      <c r="AW82" s="143"/>
      <c r="AX82" s="143"/>
      <c r="AY82" s="143"/>
      <c r="AZ82" s="143"/>
      <c r="BA82" s="143"/>
      <c r="BB82" s="143"/>
      <c r="BC82" s="143"/>
      <c r="BD82" s="143"/>
      <c r="BE82" s="143"/>
      <c r="BF82" s="143"/>
      <c r="BG82" s="50"/>
    </row>
    <row r="83" ht="11.25" customHeight="1">
      <c r="A83" s="124" t="s">
        <v>989</v>
      </c>
      <c r="B83" s="124"/>
      <c r="C83" s="124"/>
      <c r="D83" s="53"/>
      <c r="E83" s="91"/>
      <c r="F83" s="943"/>
      <c r="G83" s="951"/>
      <c r="H83" s="921" t="s">
        <v>90</v>
      </c>
      <c r="I83" s="944"/>
      <c r="J83" s="945"/>
      <c r="K83" s="448"/>
      <c r="L83" s="224"/>
      <c r="M83" s="218"/>
      <c r="N83" s="956"/>
      <c r="O83" s="957"/>
      <c r="P83" s="172" t="s">
        <v>1035</v>
      </c>
      <c r="Q83" s="957"/>
      <c r="R83" s="957"/>
      <c r="S83" s="957"/>
      <c r="T83" s="957"/>
      <c r="U83" s="957"/>
      <c r="V83" s="957"/>
      <c r="W83" s="957"/>
      <c r="X83" s="957"/>
      <c r="Y83" s="957"/>
      <c r="Z83" s="957"/>
      <c r="AA83" s="957"/>
      <c r="AB83" s="957"/>
      <c r="AC83" s="957"/>
      <c r="AD83" s="957"/>
      <c r="AE83" s="966"/>
      <c r="AF83" s="949"/>
      <c r="AG83" s="950"/>
      <c r="AH83" s="950"/>
      <c r="AI83" s="949"/>
      <c r="AJ83" s="950"/>
      <c r="AK83" s="950"/>
      <c r="AL83" s="919"/>
      <c r="AM83" s="143"/>
      <c r="AN83" s="143"/>
      <c r="AO83" s="143"/>
      <c r="AP83" s="143"/>
      <c r="AQ83" s="143"/>
      <c r="AR83" s="143"/>
      <c r="AS83" s="143"/>
      <c r="AT83" s="143"/>
      <c r="AU83" s="143"/>
      <c r="AV83" s="143"/>
      <c r="AW83" s="143"/>
      <c r="AX83" s="143"/>
      <c r="AY83" s="143"/>
      <c r="AZ83" s="143"/>
      <c r="BA83" s="143"/>
      <c r="BB83" s="143"/>
      <c r="BC83" s="143"/>
      <c r="BD83" s="143"/>
      <c r="BE83" s="143"/>
      <c r="BF83" s="143"/>
      <c r="BG83" s="50"/>
    </row>
    <row r="84" ht="11.25" customHeight="1">
      <c r="A84" s="124" t="s">
        <v>989</v>
      </c>
      <c r="B84" s="124" t="s">
        <v>22</v>
      </c>
      <c r="C84" s="124"/>
      <c r="D84" s="53"/>
      <c r="E84" s="91"/>
      <c r="F84" s="943"/>
      <c r="G84" s="149" t="s">
        <v>684</v>
      </c>
      <c r="H84" s="921" t="s">
        <v>108</v>
      </c>
      <c r="I84" s="944" t="s">
        <v>1021</v>
      </c>
      <c r="J84" s="945" t="s">
        <v>22</v>
      </c>
      <c r="K84" s="448" t="s">
        <v>1053</v>
      </c>
      <c r="L84" s="224" t="s">
        <v>19</v>
      </c>
      <c r="M84" s="218"/>
      <c r="N84" s="946"/>
      <c r="O84" s="947" t="s">
        <v>371</v>
      </c>
      <c r="P84" s="948"/>
      <c r="Q84" s="948"/>
      <c r="R84" s="948"/>
      <c r="S84" s="948"/>
      <c r="T84" s="948"/>
      <c r="U84" s="948"/>
      <c r="V84" s="948"/>
      <c r="W84" s="948"/>
      <c r="X84" s="948"/>
      <c r="Y84" s="948"/>
      <c r="Z84" s="948"/>
      <c r="AA84" s="948"/>
      <c r="AB84" s="948"/>
      <c r="AC84" s="948"/>
      <c r="AD84" s="948"/>
      <c r="AE84" s="948"/>
      <c r="AF84" s="949">
        <v>5</v>
      </c>
      <c r="AG84" s="950" t="s">
        <v>1023</v>
      </c>
      <c r="AH84" s="950" t="s">
        <v>1024</v>
      </c>
      <c r="AI84" s="949"/>
      <c r="AJ84" s="950"/>
      <c r="AK84" s="950"/>
      <c r="AL84" s="919"/>
      <c r="AM84" s="143"/>
      <c r="AN84" s="143"/>
      <c r="AO84" s="143"/>
      <c r="AP84" s="143"/>
      <c r="AQ84" s="143"/>
      <c r="AR84" s="143"/>
      <c r="AS84" s="143"/>
      <c r="AT84" s="143"/>
      <c r="AU84" s="143"/>
      <c r="AV84" s="143"/>
      <c r="AW84" s="143"/>
      <c r="AX84" s="143"/>
      <c r="AY84" s="143"/>
      <c r="AZ84" s="143"/>
      <c r="BA84" s="143"/>
      <c r="BB84" s="143"/>
      <c r="BC84" s="143"/>
      <c r="BD84" s="143"/>
      <c r="BE84" s="143"/>
      <c r="BF84" s="143"/>
      <c r="BG84" s="50"/>
    </row>
    <row r="85" ht="11.25" customHeight="1">
      <c r="A85" s="124" t="s">
        <v>989</v>
      </c>
      <c r="B85" s="124"/>
      <c r="C85" s="124"/>
      <c r="D85" s="53"/>
      <c r="E85" s="91"/>
      <c r="F85" s="943"/>
      <c r="G85" s="951"/>
      <c r="H85" s="921" t="s">
        <v>91</v>
      </c>
      <c r="I85" s="944"/>
      <c r="J85" s="945"/>
      <c r="K85" s="448"/>
      <c r="L85" s="224"/>
      <c r="M85" s="218"/>
      <c r="N85" s="952"/>
      <c r="O85" s="953">
        <v>1</v>
      </c>
      <c r="P85" s="954" t="s">
        <v>65</v>
      </c>
      <c r="Q85" s="388" t="s">
        <v>1025</v>
      </c>
      <c r="R85" s="955" t="s">
        <v>1026</v>
      </c>
      <c r="S85" s="955" t="s">
        <v>1027</v>
      </c>
      <c r="T85" s="955" t="s">
        <v>1027</v>
      </c>
      <c r="U85" s="955" t="s">
        <v>1028</v>
      </c>
      <c r="V85" s="955" t="s">
        <v>1029</v>
      </c>
      <c r="W85" s="955" t="s">
        <v>1030</v>
      </c>
      <c r="X85" s="955" t="s">
        <v>1031</v>
      </c>
      <c r="Y85" s="955" t="s">
        <v>1032</v>
      </c>
      <c r="Z85" s="956"/>
      <c r="AA85" s="957"/>
      <c r="AB85" s="957"/>
      <c r="AC85" s="958"/>
      <c r="AD85" s="958"/>
      <c r="AE85" s="959"/>
      <c r="AF85" s="949"/>
      <c r="AG85" s="950"/>
      <c r="AH85" s="950"/>
      <c r="AI85" s="949"/>
      <c r="AJ85" s="950"/>
      <c r="AK85" s="950"/>
      <c r="AL85" s="919"/>
      <c r="AM85" s="143"/>
      <c r="AN85" s="143"/>
      <c r="AO85" s="143"/>
      <c r="AP85" s="143"/>
      <c r="AQ85" s="143"/>
      <c r="AR85" s="143"/>
      <c r="AS85" s="143"/>
      <c r="AT85" s="143"/>
      <c r="AU85" s="143"/>
      <c r="AV85" s="143"/>
      <c r="AW85" s="143"/>
      <c r="AX85" s="143"/>
      <c r="AY85" s="143"/>
      <c r="AZ85" s="143"/>
      <c r="BA85" s="143"/>
      <c r="BB85" s="143"/>
      <c r="BC85" s="143"/>
      <c r="BD85" s="143"/>
      <c r="BE85" s="143"/>
      <c r="BF85" s="143"/>
      <c r="BG85" s="50"/>
    </row>
    <row r="86" ht="11.25" customHeight="1">
      <c r="A86" s="124" t="s">
        <v>989</v>
      </c>
      <c r="B86" s="124"/>
      <c r="C86" s="124"/>
      <c r="D86" s="53"/>
      <c r="E86" s="91"/>
      <c r="F86" s="943"/>
      <c r="G86" s="951"/>
      <c r="H86" s="921" t="s">
        <v>91</v>
      </c>
      <c r="I86" s="944"/>
      <c r="J86" s="945"/>
      <c r="K86" s="448"/>
      <c r="L86" s="224"/>
      <c r="M86" s="218"/>
      <c r="N86" s="952"/>
      <c r="O86" s="953"/>
      <c r="P86" s="960"/>
      <c r="Q86" s="388"/>
      <c r="R86" s="458"/>
      <c r="S86" s="955"/>
      <c r="T86" s="458"/>
      <c r="U86" s="458"/>
      <c r="V86" s="458"/>
      <c r="W86" s="458"/>
      <c r="X86" s="458"/>
      <c r="Y86" s="458"/>
      <c r="Z86" s="961"/>
      <c r="AA86" s="962">
        <v>1</v>
      </c>
      <c r="AB86" s="963" t="s">
        <v>1041</v>
      </c>
      <c r="AC86" s="856">
        <v>27806.105</v>
      </c>
      <c r="AD86" s="963" t="str">
        <f t="shared" si="48"/>
        <v xml:space="preserve">  Прочие собственные средства</v>
      </c>
      <c r="AE86" s="856"/>
      <c r="AF86" s="949"/>
      <c r="AG86" s="950"/>
      <c r="AH86" s="950"/>
      <c r="AI86" s="949"/>
      <c r="AJ86" s="950"/>
      <c r="AK86" s="950"/>
      <c r="AL86" s="919"/>
      <c r="AM86" s="143"/>
      <c r="AN86" s="143"/>
      <c r="AO86" s="143"/>
      <c r="AP86" s="143"/>
      <c r="AQ86" s="143"/>
      <c r="AR86" s="143"/>
      <c r="AS86" s="143"/>
      <c r="AT86" s="143"/>
      <c r="AU86" s="143"/>
      <c r="AV86" s="143"/>
      <c r="AW86" s="143"/>
      <c r="AX86" s="143"/>
      <c r="AY86" s="143"/>
      <c r="AZ86" s="143"/>
      <c r="BA86" s="143"/>
      <c r="BB86" s="143"/>
      <c r="BC86" s="143"/>
      <c r="BD86" s="143"/>
      <c r="BE86" s="143"/>
      <c r="BF86" s="143"/>
      <c r="BG86" s="50"/>
    </row>
    <row r="87" ht="11.25" customHeight="1">
      <c r="A87" s="124" t="s">
        <v>989</v>
      </c>
      <c r="B87" s="124"/>
      <c r="C87" s="124"/>
      <c r="D87" s="53"/>
      <c r="E87" s="91"/>
      <c r="F87" s="943"/>
      <c r="G87" s="951"/>
      <c r="H87" s="921" t="s">
        <v>91</v>
      </c>
      <c r="I87" s="944"/>
      <c r="J87" s="945"/>
      <c r="K87" s="448"/>
      <c r="L87" s="224"/>
      <c r="M87" s="218"/>
      <c r="N87" s="952"/>
      <c r="O87" s="953"/>
      <c r="P87" s="964"/>
      <c r="Q87" s="388"/>
      <c r="R87" s="458"/>
      <c r="S87" s="955"/>
      <c r="T87" s="458"/>
      <c r="U87" s="458"/>
      <c r="V87" s="458"/>
      <c r="W87" s="458"/>
      <c r="X87" s="458"/>
      <c r="Y87" s="458"/>
      <c r="Z87" s="956"/>
      <c r="AA87" s="957"/>
      <c r="AB87" s="172" t="s">
        <v>1034</v>
      </c>
      <c r="AC87" s="958"/>
      <c r="AD87" s="958"/>
      <c r="AE87" s="965"/>
      <c r="AF87" s="949"/>
      <c r="AG87" s="950"/>
      <c r="AH87" s="950"/>
      <c r="AI87" s="949"/>
      <c r="AJ87" s="950"/>
      <c r="AK87" s="950"/>
      <c r="AL87" s="919"/>
      <c r="AM87" s="143"/>
      <c r="AN87" s="143"/>
      <c r="AO87" s="143"/>
      <c r="AP87" s="143"/>
      <c r="AQ87" s="143"/>
      <c r="AR87" s="143"/>
      <c r="AS87" s="143"/>
      <c r="AT87" s="143"/>
      <c r="AU87" s="143"/>
      <c r="AV87" s="143"/>
      <c r="AW87" s="143"/>
      <c r="AX87" s="143"/>
      <c r="AY87" s="143"/>
      <c r="AZ87" s="143"/>
      <c r="BA87" s="143"/>
      <c r="BB87" s="143"/>
      <c r="BC87" s="143"/>
      <c r="BD87" s="143"/>
      <c r="BE87" s="143"/>
      <c r="BF87" s="143"/>
      <c r="BG87" s="50"/>
    </row>
    <row r="88" ht="11.25" customHeight="1">
      <c r="A88" s="124" t="s">
        <v>989</v>
      </c>
      <c r="B88" s="124"/>
      <c r="C88" s="124"/>
      <c r="D88" s="53"/>
      <c r="E88" s="91"/>
      <c r="F88" s="943"/>
      <c r="G88" s="951"/>
      <c r="H88" s="921" t="s">
        <v>91</v>
      </c>
      <c r="I88" s="944"/>
      <c r="J88" s="945"/>
      <c r="K88" s="448"/>
      <c r="L88" s="224"/>
      <c r="M88" s="218"/>
      <c r="N88" s="956"/>
      <c r="O88" s="957"/>
      <c r="P88" s="172" t="s">
        <v>1035</v>
      </c>
      <c r="Q88" s="957"/>
      <c r="R88" s="957"/>
      <c r="S88" s="957"/>
      <c r="T88" s="957"/>
      <c r="U88" s="957"/>
      <c r="V88" s="957"/>
      <c r="W88" s="957"/>
      <c r="X88" s="957"/>
      <c r="Y88" s="957"/>
      <c r="Z88" s="957"/>
      <c r="AA88" s="957"/>
      <c r="AB88" s="957"/>
      <c r="AC88" s="957"/>
      <c r="AD88" s="957"/>
      <c r="AE88" s="966"/>
      <c r="AF88" s="949"/>
      <c r="AG88" s="950"/>
      <c r="AH88" s="950"/>
      <c r="AI88" s="949"/>
      <c r="AJ88" s="950"/>
      <c r="AK88" s="950"/>
      <c r="AL88" s="919"/>
      <c r="AM88" s="143"/>
      <c r="AN88" s="143"/>
      <c r="AO88" s="143"/>
      <c r="AP88" s="143"/>
      <c r="AQ88" s="143"/>
      <c r="AR88" s="143"/>
      <c r="AS88" s="143"/>
      <c r="AT88" s="143"/>
      <c r="AU88" s="143"/>
      <c r="AV88" s="143"/>
      <c r="AW88" s="143"/>
      <c r="AX88" s="143"/>
      <c r="AY88" s="143"/>
      <c r="AZ88" s="143"/>
      <c r="BA88" s="143"/>
      <c r="BB88" s="143"/>
      <c r="BC88" s="143"/>
      <c r="BD88" s="143"/>
      <c r="BE88" s="143"/>
      <c r="BF88" s="143"/>
      <c r="BG88" s="50"/>
    </row>
    <row r="89" ht="11.25" customHeight="1">
      <c r="A89" s="124" t="s">
        <v>989</v>
      </c>
      <c r="B89" s="124" t="s">
        <v>22</v>
      </c>
      <c r="C89" s="124"/>
      <c r="D89" s="53"/>
      <c r="E89" s="91"/>
      <c r="F89" s="943"/>
      <c r="G89" s="149" t="s">
        <v>684</v>
      </c>
      <c r="H89" s="921" t="s">
        <v>92</v>
      </c>
      <c r="I89" s="944" t="s">
        <v>1054</v>
      </c>
      <c r="J89" s="945" t="s">
        <v>22</v>
      </c>
      <c r="K89" s="448" t="s">
        <v>1055</v>
      </c>
      <c r="L89" s="224" t="s">
        <v>19</v>
      </c>
      <c r="M89" s="218"/>
      <c r="N89" s="946"/>
      <c r="O89" s="947" t="s">
        <v>371</v>
      </c>
      <c r="P89" s="948"/>
      <c r="Q89" s="948"/>
      <c r="R89" s="948"/>
      <c r="S89" s="948"/>
      <c r="T89" s="948"/>
      <c r="U89" s="948"/>
      <c r="V89" s="948"/>
      <c r="W89" s="948"/>
      <c r="X89" s="948"/>
      <c r="Y89" s="948"/>
      <c r="Z89" s="948"/>
      <c r="AA89" s="948"/>
      <c r="AB89" s="948"/>
      <c r="AC89" s="948"/>
      <c r="AD89" s="948"/>
      <c r="AE89" s="948"/>
      <c r="AF89" s="949">
        <v>4</v>
      </c>
      <c r="AG89" s="950" t="s">
        <v>1023</v>
      </c>
      <c r="AH89" s="950" t="s">
        <v>1024</v>
      </c>
      <c r="AI89" s="949"/>
      <c r="AJ89" s="950"/>
      <c r="AK89" s="950"/>
      <c r="AL89" s="919"/>
      <c r="AM89" s="143"/>
      <c r="AN89" s="143"/>
      <c r="AO89" s="143"/>
      <c r="AP89" s="143"/>
      <c r="AQ89" s="143"/>
      <c r="AR89" s="143"/>
      <c r="AS89" s="143"/>
      <c r="AT89" s="143"/>
      <c r="AU89" s="143"/>
      <c r="AV89" s="143"/>
      <c r="AW89" s="143"/>
      <c r="AX89" s="143"/>
      <c r="AY89" s="143"/>
      <c r="AZ89" s="143"/>
      <c r="BA89" s="143"/>
      <c r="BB89" s="143"/>
      <c r="BC89" s="143"/>
      <c r="BD89" s="143"/>
      <c r="BE89" s="143"/>
      <c r="BF89" s="143"/>
      <c r="BG89" s="50"/>
    </row>
    <row r="90" ht="11.25" customHeight="1">
      <c r="A90" s="124" t="s">
        <v>989</v>
      </c>
      <c r="B90" s="124"/>
      <c r="C90" s="124"/>
      <c r="D90" s="53"/>
      <c r="E90" s="91"/>
      <c r="F90" s="943"/>
      <c r="G90" s="951"/>
      <c r="H90" s="921" t="s">
        <v>108</v>
      </c>
      <c r="I90" s="944"/>
      <c r="J90" s="945"/>
      <c r="K90" s="448"/>
      <c r="L90" s="224"/>
      <c r="M90" s="218"/>
      <c r="N90" s="952"/>
      <c r="O90" s="953">
        <v>1</v>
      </c>
      <c r="P90" s="954" t="s">
        <v>65</v>
      </c>
      <c r="Q90" s="388" t="s">
        <v>1025</v>
      </c>
      <c r="R90" s="955" t="s">
        <v>1026</v>
      </c>
      <c r="S90" s="955" t="s">
        <v>1027</v>
      </c>
      <c r="T90" s="955" t="s">
        <v>1027</v>
      </c>
      <c r="U90" s="955" t="s">
        <v>1028</v>
      </c>
      <c r="V90" s="955" t="s">
        <v>1029</v>
      </c>
      <c r="W90" s="955" t="s">
        <v>1030</v>
      </c>
      <c r="X90" s="955" t="s">
        <v>1031</v>
      </c>
      <c r="Y90" s="955" t="s">
        <v>1032</v>
      </c>
      <c r="Z90" s="956"/>
      <c r="AA90" s="957"/>
      <c r="AB90" s="957"/>
      <c r="AC90" s="958"/>
      <c r="AD90" s="958"/>
      <c r="AE90" s="959"/>
      <c r="AF90" s="949"/>
      <c r="AG90" s="950"/>
      <c r="AH90" s="950"/>
      <c r="AI90" s="949"/>
      <c r="AJ90" s="950"/>
      <c r="AK90" s="950"/>
      <c r="AL90" s="919"/>
      <c r="AM90" s="143"/>
      <c r="AN90" s="143"/>
      <c r="AO90" s="143"/>
      <c r="AP90" s="143"/>
      <c r="AQ90" s="143"/>
      <c r="AR90" s="143"/>
      <c r="AS90" s="143"/>
      <c r="AT90" s="143"/>
      <c r="AU90" s="143"/>
      <c r="AV90" s="143"/>
      <c r="AW90" s="143"/>
      <c r="AX90" s="143"/>
      <c r="AY90" s="143"/>
      <c r="AZ90" s="143"/>
      <c r="BA90" s="143"/>
      <c r="BB90" s="143"/>
      <c r="BC90" s="143"/>
      <c r="BD90" s="143"/>
      <c r="BE90" s="143"/>
      <c r="BF90" s="143"/>
      <c r="BG90" s="50"/>
    </row>
    <row r="91" ht="11.25" customHeight="1">
      <c r="A91" s="124" t="s">
        <v>989</v>
      </c>
      <c r="B91" s="124"/>
      <c r="C91" s="124"/>
      <c r="D91" s="53"/>
      <c r="E91" s="91"/>
      <c r="F91" s="943"/>
      <c r="G91" s="951"/>
      <c r="H91" s="921" t="s">
        <v>108</v>
      </c>
      <c r="I91" s="944"/>
      <c r="J91" s="945"/>
      <c r="K91" s="448"/>
      <c r="L91" s="224"/>
      <c r="M91" s="218"/>
      <c r="N91" s="952"/>
      <c r="O91" s="953"/>
      <c r="P91" s="960"/>
      <c r="Q91" s="388"/>
      <c r="R91" s="458"/>
      <c r="S91" s="955"/>
      <c r="T91" s="458"/>
      <c r="U91" s="458"/>
      <c r="V91" s="458"/>
      <c r="W91" s="458"/>
      <c r="X91" s="458"/>
      <c r="Y91" s="458"/>
      <c r="Z91" s="961"/>
      <c r="AA91" s="962">
        <v>1</v>
      </c>
      <c r="AB91" s="963" t="s">
        <v>1033</v>
      </c>
      <c r="AC91" s="856">
        <v>6808.6319999999996</v>
      </c>
      <c r="AD91" s="963" t="str">
        <f t="shared" ref="AD91" si="49">AB91</f>
        <v xml:space="preserve">      Амортизационные отчисления с выделением результатов переоценки основных средств и нематериальных активов</v>
      </c>
      <c r="AE91" s="856"/>
      <c r="AF91" s="949"/>
      <c r="AG91" s="950"/>
      <c r="AH91" s="950"/>
      <c r="AI91" s="949"/>
      <c r="AJ91" s="950"/>
      <c r="AK91" s="950"/>
      <c r="AL91" s="919"/>
      <c r="AM91" s="143"/>
      <c r="AN91" s="143"/>
      <c r="AO91" s="143"/>
      <c r="AP91" s="143"/>
      <c r="AQ91" s="143"/>
      <c r="AR91" s="143"/>
      <c r="AS91" s="143"/>
      <c r="AT91" s="143"/>
      <c r="AU91" s="143"/>
      <c r="AV91" s="143"/>
      <c r="AW91" s="143"/>
      <c r="AX91" s="143"/>
      <c r="AY91" s="143"/>
      <c r="AZ91" s="143"/>
      <c r="BA91" s="143"/>
      <c r="BB91" s="143"/>
      <c r="BC91" s="143"/>
      <c r="BD91" s="143"/>
      <c r="BE91" s="143"/>
      <c r="BF91" s="143"/>
      <c r="BG91" s="50"/>
    </row>
    <row r="92" ht="11.25" customHeight="1">
      <c r="A92" s="124" t="s">
        <v>989</v>
      </c>
      <c r="B92" s="124"/>
      <c r="C92" s="124"/>
      <c r="D92" s="53"/>
      <c r="E92" s="91"/>
      <c r="F92" s="943"/>
      <c r="G92" s="951"/>
      <c r="H92" s="921" t="s">
        <v>108</v>
      </c>
      <c r="I92" s="944"/>
      <c r="J92" s="945"/>
      <c r="K92" s="448"/>
      <c r="L92" s="224"/>
      <c r="M92" s="218"/>
      <c r="N92" s="952"/>
      <c r="O92" s="953"/>
      <c r="P92" s="964"/>
      <c r="Q92" s="388"/>
      <c r="R92" s="458"/>
      <c r="S92" s="955"/>
      <c r="T92" s="458"/>
      <c r="U92" s="458"/>
      <c r="V92" s="458"/>
      <c r="W92" s="458"/>
      <c r="X92" s="458"/>
      <c r="Y92" s="458"/>
      <c r="Z92" s="956"/>
      <c r="AA92" s="957"/>
      <c r="AB92" s="172" t="s">
        <v>1034</v>
      </c>
      <c r="AC92" s="958"/>
      <c r="AD92" s="958"/>
      <c r="AE92" s="965"/>
      <c r="AF92" s="949"/>
      <c r="AG92" s="950"/>
      <c r="AH92" s="950"/>
      <c r="AI92" s="949"/>
      <c r="AJ92" s="950"/>
      <c r="AK92" s="950"/>
      <c r="AL92" s="919"/>
      <c r="AM92" s="143"/>
      <c r="AN92" s="143"/>
      <c r="AO92" s="143"/>
      <c r="AP92" s="143"/>
      <c r="AQ92" s="143"/>
      <c r="AR92" s="143"/>
      <c r="AS92" s="143"/>
      <c r="AT92" s="143"/>
      <c r="AU92" s="143"/>
      <c r="AV92" s="143"/>
      <c r="AW92" s="143"/>
      <c r="AX92" s="143"/>
      <c r="AY92" s="143"/>
      <c r="AZ92" s="143"/>
      <c r="BA92" s="143"/>
      <c r="BB92" s="143"/>
      <c r="BC92" s="143"/>
      <c r="BD92" s="143"/>
      <c r="BE92" s="143"/>
      <c r="BF92" s="143"/>
      <c r="BG92" s="50"/>
    </row>
    <row r="93" ht="11.25" customHeight="1">
      <c r="A93" s="124" t="s">
        <v>989</v>
      </c>
      <c r="B93" s="124"/>
      <c r="C93" s="124"/>
      <c r="D93" s="53"/>
      <c r="E93" s="91"/>
      <c r="F93" s="943"/>
      <c r="G93" s="951"/>
      <c r="H93" s="921" t="s">
        <v>108</v>
      </c>
      <c r="I93" s="944"/>
      <c r="J93" s="945"/>
      <c r="K93" s="448"/>
      <c r="L93" s="224"/>
      <c r="M93" s="218"/>
      <c r="N93" s="956"/>
      <c r="O93" s="957"/>
      <c r="P93" s="172" t="s">
        <v>1035</v>
      </c>
      <c r="Q93" s="957"/>
      <c r="R93" s="957"/>
      <c r="S93" s="957"/>
      <c r="T93" s="957"/>
      <c r="U93" s="957"/>
      <c r="V93" s="957"/>
      <c r="W93" s="957"/>
      <c r="X93" s="957"/>
      <c r="Y93" s="957"/>
      <c r="Z93" s="957"/>
      <c r="AA93" s="957"/>
      <c r="AB93" s="957"/>
      <c r="AC93" s="957"/>
      <c r="AD93" s="957"/>
      <c r="AE93" s="966"/>
      <c r="AF93" s="949"/>
      <c r="AG93" s="950"/>
      <c r="AH93" s="950"/>
      <c r="AI93" s="949"/>
      <c r="AJ93" s="950"/>
      <c r="AK93" s="950"/>
      <c r="AL93" s="919"/>
      <c r="AM93" s="143"/>
      <c r="AN93" s="143"/>
      <c r="AO93" s="143"/>
      <c r="AP93" s="143"/>
      <c r="AQ93" s="143"/>
      <c r="AR93" s="143"/>
      <c r="AS93" s="143"/>
      <c r="AT93" s="143"/>
      <c r="AU93" s="143"/>
      <c r="AV93" s="143"/>
      <c r="AW93" s="143"/>
      <c r="AX93" s="143"/>
      <c r="AY93" s="143"/>
      <c r="AZ93" s="143"/>
      <c r="BA93" s="143"/>
      <c r="BB93" s="143"/>
      <c r="BC93" s="143"/>
      <c r="BD93" s="143"/>
      <c r="BE93" s="143"/>
      <c r="BF93" s="143"/>
      <c r="BG93" s="50"/>
    </row>
    <row r="94" ht="12" customHeight="1">
      <c r="A94" s="124" t="s">
        <v>989</v>
      </c>
      <c r="B94" s="124"/>
      <c r="C94" s="124"/>
      <c r="D94" s="53"/>
      <c r="E94" s="91"/>
      <c r="F94" s="971"/>
      <c r="G94" s="972"/>
      <c r="H94" s="972"/>
      <c r="I94" s="973" t="s">
        <v>1051</v>
      </c>
      <c r="J94" s="973"/>
      <c r="K94" s="973"/>
      <c r="L94" s="974"/>
      <c r="M94" s="974"/>
      <c r="N94" s="975"/>
      <c r="O94" s="975"/>
      <c r="P94" s="975"/>
      <c r="Q94" s="975"/>
      <c r="R94" s="975"/>
      <c r="S94" s="975"/>
      <c r="T94" s="975"/>
      <c r="U94" s="975"/>
      <c r="V94" s="975"/>
      <c r="W94" s="975"/>
      <c r="X94" s="975"/>
      <c r="Y94" s="975"/>
      <c r="Z94" s="975"/>
      <c r="AA94" s="975"/>
      <c r="AB94" s="975"/>
      <c r="AC94" s="975"/>
      <c r="AD94" s="975"/>
      <c r="AE94" s="975"/>
      <c r="AF94" s="975"/>
      <c r="AG94" s="974"/>
      <c r="AH94" s="974"/>
      <c r="AI94" s="975"/>
      <c r="AJ94" s="974"/>
      <c r="AK94" s="975"/>
      <c r="AL94" s="919"/>
      <c r="AM94" s="143"/>
      <c r="AN94" s="143"/>
      <c r="AO94" s="143"/>
      <c r="AP94" s="143"/>
      <c r="AQ94" s="143"/>
      <c r="AR94" s="143"/>
      <c r="AS94" s="143"/>
      <c r="AT94" s="143"/>
      <c r="AU94" s="143"/>
      <c r="AV94" s="143"/>
      <c r="AW94" s="143"/>
      <c r="AX94" s="143"/>
      <c r="AY94" s="143"/>
      <c r="AZ94" s="143"/>
      <c r="BA94" s="143"/>
      <c r="BB94" s="143"/>
      <c r="BC94" s="143"/>
      <c r="BD94" s="143"/>
      <c r="BE94" s="143"/>
      <c r="BF94" s="143"/>
      <c r="BG94" s="50"/>
    </row>
    <row r="95" ht="0.75" customHeight="1">
      <c r="A95" s="124" t="s">
        <v>989</v>
      </c>
      <c r="B95" s="124"/>
      <c r="C95" s="124"/>
      <c r="D95" s="53"/>
      <c r="E95" s="91"/>
      <c r="F95" s="920">
        <v>2027</v>
      </c>
      <c r="G95" s="921"/>
      <c r="H95" s="922" t="s">
        <v>371</v>
      </c>
      <c r="I95" s="923"/>
      <c r="J95" s="160"/>
      <c r="K95" s="160"/>
      <c r="L95" s="924"/>
      <c r="M95" s="536"/>
      <c r="N95" s="925"/>
      <c r="O95" s="926"/>
      <c r="P95" s="925"/>
      <c r="Q95" s="925"/>
      <c r="R95" s="925"/>
      <c r="S95" s="925"/>
      <c r="T95" s="925"/>
      <c r="U95" s="925"/>
      <c r="V95" s="925"/>
      <c r="W95" s="925"/>
      <c r="X95" s="925"/>
      <c r="Y95" s="925"/>
      <c r="Z95" s="925"/>
      <c r="AA95" s="925"/>
      <c r="AB95" s="925"/>
      <c r="AC95" s="925"/>
      <c r="AD95" s="925"/>
      <c r="AE95" s="925"/>
      <c r="AF95" s="927"/>
      <c r="AG95" s="924"/>
      <c r="AH95" s="924"/>
      <c r="AI95" s="927"/>
      <c r="AJ95" s="924"/>
      <c r="AK95" s="924"/>
      <c r="AL95" s="919"/>
      <c r="AM95" s="143"/>
      <c r="AN95" s="143"/>
      <c r="AO95" s="143"/>
      <c r="AP95" s="143"/>
      <c r="AQ95" s="143"/>
      <c r="AR95" s="143"/>
      <c r="AS95" s="143"/>
      <c r="AT95" s="143"/>
      <c r="AU95" s="143"/>
      <c r="AV95" s="143"/>
      <c r="AW95" s="143"/>
      <c r="AX95" s="143"/>
      <c r="AY95" s="143"/>
      <c r="AZ95" s="143"/>
      <c r="BA95" s="143"/>
      <c r="BB95" s="143"/>
      <c r="BC95" s="143"/>
      <c r="BD95" s="143"/>
      <c r="BE95" s="143"/>
      <c r="BF95" s="143"/>
      <c r="BG95" s="50"/>
    </row>
    <row r="96" ht="0.75" customHeight="1">
      <c r="A96" s="124" t="s">
        <v>989</v>
      </c>
      <c r="B96" s="124"/>
      <c r="C96" s="124"/>
      <c r="D96" s="53"/>
      <c r="E96" s="91"/>
      <c r="F96" s="920"/>
      <c r="G96" s="921"/>
      <c r="H96" s="922"/>
      <c r="I96" s="923"/>
      <c r="J96" s="160"/>
      <c r="K96" s="160"/>
      <c r="L96" s="924"/>
      <c r="M96" s="536"/>
      <c r="N96" s="928"/>
      <c r="O96" s="929"/>
      <c r="P96" s="930"/>
      <c r="Q96" s="160"/>
      <c r="R96" s="160"/>
      <c r="S96" s="160"/>
      <c r="T96" s="160"/>
      <c r="U96" s="160"/>
      <c r="V96" s="160"/>
      <c r="W96" s="160"/>
      <c r="X96" s="160"/>
      <c r="Y96" s="160"/>
      <c r="Z96" s="931"/>
      <c r="AA96" s="932"/>
      <c r="AB96" s="932"/>
      <c r="AC96" s="933"/>
      <c r="AD96" s="933"/>
      <c r="AE96" s="934"/>
      <c r="AF96" s="927"/>
      <c r="AG96" s="924"/>
      <c r="AH96" s="924"/>
      <c r="AI96" s="927"/>
      <c r="AJ96" s="924"/>
      <c r="AK96" s="924"/>
      <c r="AL96" s="919"/>
      <c r="AM96" s="143"/>
      <c r="AN96" s="143"/>
      <c r="AO96" s="143"/>
      <c r="AP96" s="143"/>
      <c r="AQ96" s="143"/>
      <c r="AR96" s="143"/>
      <c r="AS96" s="143"/>
      <c r="AT96" s="143"/>
      <c r="AU96" s="143"/>
      <c r="AV96" s="143"/>
      <c r="AW96" s="143"/>
      <c r="AX96" s="143"/>
      <c r="AY96" s="143"/>
      <c r="AZ96" s="143"/>
      <c r="BA96" s="143"/>
      <c r="BB96" s="143"/>
      <c r="BC96" s="143"/>
      <c r="BD96" s="143"/>
      <c r="BE96" s="143"/>
      <c r="BF96" s="143"/>
      <c r="BG96" s="50"/>
    </row>
    <row r="97" ht="0.75" customHeight="1">
      <c r="A97" s="124" t="s">
        <v>989</v>
      </c>
      <c r="B97" s="124"/>
      <c r="C97" s="124"/>
      <c r="D97" s="53"/>
      <c r="E97" s="91"/>
      <c r="F97" s="920"/>
      <c r="G97" s="921"/>
      <c r="H97" s="922"/>
      <c r="I97" s="923"/>
      <c r="J97" s="160"/>
      <c r="K97" s="160"/>
      <c r="L97" s="924"/>
      <c r="M97" s="536"/>
      <c r="N97" s="928"/>
      <c r="O97" s="929"/>
      <c r="P97" s="935"/>
      <c r="Q97" s="160"/>
      <c r="R97" s="160"/>
      <c r="S97" s="160"/>
      <c r="T97" s="160"/>
      <c r="U97" s="160"/>
      <c r="V97" s="160"/>
      <c r="W97" s="160"/>
      <c r="X97" s="160"/>
      <c r="Y97" s="160"/>
      <c r="Z97" s="936"/>
      <c r="AA97" s="929"/>
      <c r="AB97" s="937"/>
      <c r="AC97" s="938"/>
      <c r="AD97" s="937"/>
      <c r="AE97" s="938"/>
      <c r="AF97" s="927"/>
      <c r="AG97" s="924"/>
      <c r="AH97" s="924"/>
      <c r="AI97" s="927"/>
      <c r="AJ97" s="924"/>
      <c r="AK97" s="924"/>
      <c r="AL97" s="919"/>
      <c r="AM97" s="143"/>
      <c r="AN97" s="143"/>
      <c r="AO97" s="143"/>
      <c r="AP97" s="143"/>
      <c r="AQ97" s="143"/>
      <c r="AR97" s="143"/>
      <c r="AS97" s="143"/>
      <c r="AT97" s="143"/>
      <c r="AU97" s="143"/>
      <c r="AV97" s="143"/>
      <c r="AW97" s="143"/>
      <c r="AX97" s="143"/>
      <c r="AY97" s="143"/>
      <c r="AZ97" s="143"/>
      <c r="BA97" s="143"/>
      <c r="BB97" s="143"/>
      <c r="BC97" s="143"/>
      <c r="BD97" s="143"/>
      <c r="BE97" s="143"/>
      <c r="BF97" s="143"/>
      <c r="BG97" s="50"/>
    </row>
    <row r="98" ht="0.75" customHeight="1">
      <c r="A98" s="124" t="s">
        <v>989</v>
      </c>
      <c r="B98" s="124"/>
      <c r="C98" s="124"/>
      <c r="D98" s="53"/>
      <c r="E98" s="91"/>
      <c r="F98" s="920"/>
      <c r="G98" s="921"/>
      <c r="H98" s="922"/>
      <c r="I98" s="923"/>
      <c r="J98" s="160"/>
      <c r="K98" s="160"/>
      <c r="L98" s="924"/>
      <c r="M98" s="536"/>
      <c r="N98" s="928"/>
      <c r="O98" s="929"/>
      <c r="P98" s="939"/>
      <c r="Q98" s="160"/>
      <c r="R98" s="160"/>
      <c r="S98" s="160"/>
      <c r="T98" s="160"/>
      <c r="U98" s="160"/>
      <c r="V98" s="160"/>
      <c r="W98" s="160"/>
      <c r="X98" s="160"/>
      <c r="Y98" s="160"/>
      <c r="Z98" s="931"/>
      <c r="AA98" s="932"/>
      <c r="AB98" s="940"/>
      <c r="AC98" s="933"/>
      <c r="AD98" s="933"/>
      <c r="AE98" s="941"/>
      <c r="AF98" s="927"/>
      <c r="AG98" s="924"/>
      <c r="AH98" s="924"/>
      <c r="AI98" s="927"/>
      <c r="AJ98" s="924"/>
      <c r="AK98" s="924"/>
      <c r="AL98" s="919"/>
      <c r="AM98" s="143"/>
      <c r="AN98" s="143"/>
      <c r="AO98" s="143"/>
      <c r="AP98" s="143"/>
      <c r="AQ98" s="143"/>
      <c r="AR98" s="143"/>
      <c r="AS98" s="143"/>
      <c r="AT98" s="143"/>
      <c r="AU98" s="143"/>
      <c r="AV98" s="143"/>
      <c r="AW98" s="143"/>
      <c r="AX98" s="143"/>
      <c r="AY98" s="143"/>
      <c r="AZ98" s="143"/>
      <c r="BA98" s="143"/>
      <c r="BB98" s="143"/>
      <c r="BC98" s="143"/>
      <c r="BD98" s="143"/>
      <c r="BE98" s="143"/>
      <c r="BF98" s="143"/>
      <c r="BG98" s="50"/>
    </row>
    <row r="99" ht="0.75" customHeight="1">
      <c r="A99" s="124" t="s">
        <v>989</v>
      </c>
      <c r="B99" s="124"/>
      <c r="C99" s="124"/>
      <c r="D99" s="53"/>
      <c r="E99" s="91"/>
      <c r="F99" s="920"/>
      <c r="G99" s="921"/>
      <c r="H99" s="922"/>
      <c r="I99" s="923"/>
      <c r="J99" s="160"/>
      <c r="K99" s="160"/>
      <c r="L99" s="924"/>
      <c r="M99" s="536"/>
      <c r="N99" s="932"/>
      <c r="O99" s="932"/>
      <c r="P99" s="940"/>
      <c r="Q99" s="932"/>
      <c r="R99" s="932"/>
      <c r="S99" s="932"/>
      <c r="T99" s="932"/>
      <c r="U99" s="932"/>
      <c r="V99" s="932"/>
      <c r="W99" s="932"/>
      <c r="X99" s="932"/>
      <c r="Y99" s="932"/>
      <c r="Z99" s="932"/>
      <c r="AA99" s="932"/>
      <c r="AB99" s="932"/>
      <c r="AC99" s="932"/>
      <c r="AD99" s="932"/>
      <c r="AE99" s="942"/>
      <c r="AF99" s="927"/>
      <c r="AG99" s="924"/>
      <c r="AH99" s="924"/>
      <c r="AI99" s="927"/>
      <c r="AJ99" s="924"/>
      <c r="AK99" s="924"/>
      <c r="AL99" s="919"/>
      <c r="AM99" s="143"/>
      <c r="AN99" s="143"/>
      <c r="AO99" s="143"/>
      <c r="AP99" s="143"/>
      <c r="AQ99" s="143"/>
      <c r="AR99" s="143"/>
      <c r="AS99" s="143"/>
      <c r="AT99" s="143"/>
      <c r="AU99" s="143"/>
      <c r="AV99" s="143"/>
      <c r="AW99" s="143"/>
      <c r="AX99" s="143"/>
      <c r="AY99" s="143"/>
      <c r="AZ99" s="143"/>
      <c r="BA99" s="143"/>
      <c r="BB99" s="143"/>
      <c r="BC99" s="143"/>
      <c r="BD99" s="143"/>
      <c r="BE99" s="143"/>
      <c r="BF99" s="143"/>
      <c r="BG99" s="50"/>
    </row>
    <row r="100" ht="11.25" customHeight="1">
      <c r="A100" s="124" t="s">
        <v>989</v>
      </c>
      <c r="B100" s="124" t="s">
        <v>22</v>
      </c>
      <c r="C100" s="124"/>
      <c r="D100" s="53"/>
      <c r="E100" s="91"/>
      <c r="F100" s="943"/>
      <c r="G100" s="149" t="s">
        <v>684</v>
      </c>
      <c r="H100" s="921" t="s">
        <v>106</v>
      </c>
      <c r="I100" s="944" t="s">
        <v>1021</v>
      </c>
      <c r="J100" s="945" t="s">
        <v>22</v>
      </c>
      <c r="K100" s="448" t="s">
        <v>1022</v>
      </c>
      <c r="L100" s="224" t="s">
        <v>19</v>
      </c>
      <c r="M100" s="218"/>
      <c r="N100" s="946"/>
      <c r="O100" s="947" t="s">
        <v>371</v>
      </c>
      <c r="P100" s="948"/>
      <c r="Q100" s="948"/>
      <c r="R100" s="948"/>
      <c r="S100" s="948"/>
      <c r="T100" s="948"/>
      <c r="U100" s="948"/>
      <c r="V100" s="948"/>
      <c r="W100" s="948"/>
      <c r="X100" s="948"/>
      <c r="Y100" s="948"/>
      <c r="Z100" s="948"/>
      <c r="AA100" s="948"/>
      <c r="AB100" s="948"/>
      <c r="AC100" s="948"/>
      <c r="AD100" s="948"/>
      <c r="AE100" s="948"/>
      <c r="AF100" s="949">
        <v>5</v>
      </c>
      <c r="AG100" s="950" t="s">
        <v>1023</v>
      </c>
      <c r="AH100" s="950" t="s">
        <v>1024</v>
      </c>
      <c r="AI100" s="949"/>
      <c r="AJ100" s="950"/>
      <c r="AK100" s="950"/>
      <c r="AL100" s="919"/>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50"/>
    </row>
    <row r="101" ht="11.25" customHeight="1">
      <c r="A101" s="124" t="s">
        <v>989</v>
      </c>
      <c r="B101" s="124"/>
      <c r="C101" s="124"/>
      <c r="D101" s="53"/>
      <c r="E101" s="91"/>
      <c r="F101" s="943"/>
      <c r="G101" s="951"/>
      <c r="H101" s="921" t="s">
        <v>371</v>
      </c>
      <c r="I101" s="944"/>
      <c r="J101" s="945"/>
      <c r="K101" s="448"/>
      <c r="L101" s="224"/>
      <c r="M101" s="218"/>
      <c r="N101" s="952"/>
      <c r="O101" s="953">
        <v>1</v>
      </c>
      <c r="P101" s="954" t="s">
        <v>65</v>
      </c>
      <c r="Q101" s="388" t="s">
        <v>1025</v>
      </c>
      <c r="R101" s="955" t="s">
        <v>1026</v>
      </c>
      <c r="S101" s="955" t="s">
        <v>1027</v>
      </c>
      <c r="T101" s="955" t="s">
        <v>1027</v>
      </c>
      <c r="U101" s="955" t="s">
        <v>1028</v>
      </c>
      <c r="V101" s="955" t="s">
        <v>1029</v>
      </c>
      <c r="W101" s="955" t="s">
        <v>1030</v>
      </c>
      <c r="X101" s="955" t="s">
        <v>1031</v>
      </c>
      <c r="Y101" s="955" t="s">
        <v>1032</v>
      </c>
      <c r="Z101" s="956"/>
      <c r="AA101" s="957"/>
      <c r="AB101" s="957"/>
      <c r="AC101" s="958"/>
      <c r="AD101" s="958"/>
      <c r="AE101" s="959"/>
      <c r="AF101" s="949"/>
      <c r="AG101" s="950"/>
      <c r="AH101" s="950"/>
      <c r="AI101" s="949"/>
      <c r="AJ101" s="950"/>
      <c r="AK101" s="950"/>
      <c r="AL101" s="919"/>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50"/>
    </row>
    <row r="102" ht="11.25" customHeight="1">
      <c r="A102" s="124" t="s">
        <v>989</v>
      </c>
      <c r="B102" s="124"/>
      <c r="C102" s="124"/>
      <c r="D102" s="53"/>
      <c r="E102" s="91"/>
      <c r="F102" s="943"/>
      <c r="G102" s="951"/>
      <c r="H102" s="921" t="s">
        <v>371</v>
      </c>
      <c r="I102" s="944"/>
      <c r="J102" s="945"/>
      <c r="K102" s="448"/>
      <c r="L102" s="224"/>
      <c r="M102" s="218"/>
      <c r="N102" s="952"/>
      <c r="O102" s="953"/>
      <c r="P102" s="960"/>
      <c r="Q102" s="388"/>
      <c r="R102" s="458"/>
      <c r="S102" s="955"/>
      <c r="T102" s="458"/>
      <c r="U102" s="458"/>
      <c r="V102" s="458"/>
      <c r="W102" s="458"/>
      <c r="X102" s="458"/>
      <c r="Y102" s="458"/>
      <c r="Z102" s="961"/>
      <c r="AA102" s="962">
        <v>1</v>
      </c>
      <c r="AB102" s="963" t="s">
        <v>1033</v>
      </c>
      <c r="AC102" s="856">
        <v>5068.393</v>
      </c>
      <c r="AD102" s="963" t="str">
        <f>AB102</f>
        <v xml:space="preserve">      Амортизационные отчисления с выделением результатов переоценки основных средств и нематериальных активов</v>
      </c>
      <c r="AE102" s="856"/>
      <c r="AF102" s="949"/>
      <c r="AG102" s="950"/>
      <c r="AH102" s="950"/>
      <c r="AI102" s="949"/>
      <c r="AJ102" s="950"/>
      <c r="AK102" s="950"/>
      <c r="AL102" s="919"/>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50"/>
    </row>
    <row r="103" ht="11.25" customHeight="1">
      <c r="A103" s="124" t="s">
        <v>989</v>
      </c>
      <c r="B103" s="124"/>
      <c r="C103" s="124"/>
      <c r="D103" s="53"/>
      <c r="E103" s="91"/>
      <c r="F103" s="943"/>
      <c r="G103" s="951"/>
      <c r="H103" s="921" t="s">
        <v>371</v>
      </c>
      <c r="I103" s="944"/>
      <c r="J103" s="945"/>
      <c r="K103" s="448"/>
      <c r="L103" s="224"/>
      <c r="M103" s="218"/>
      <c r="N103" s="952"/>
      <c r="O103" s="953"/>
      <c r="P103" s="964"/>
      <c r="Q103" s="388"/>
      <c r="R103" s="458"/>
      <c r="S103" s="955"/>
      <c r="T103" s="458"/>
      <c r="U103" s="458"/>
      <c r="V103" s="458"/>
      <c r="W103" s="458"/>
      <c r="X103" s="458"/>
      <c r="Y103" s="458"/>
      <c r="Z103" s="956"/>
      <c r="AA103" s="957"/>
      <c r="AB103" s="172" t="s">
        <v>1034</v>
      </c>
      <c r="AC103" s="958"/>
      <c r="AD103" s="958"/>
      <c r="AE103" s="965"/>
      <c r="AF103" s="949"/>
      <c r="AG103" s="950"/>
      <c r="AH103" s="950"/>
      <c r="AI103" s="949"/>
      <c r="AJ103" s="950"/>
      <c r="AK103" s="950"/>
      <c r="AL103" s="919"/>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50"/>
    </row>
    <row r="104" ht="11.25" customHeight="1">
      <c r="A104" s="124" t="s">
        <v>989</v>
      </c>
      <c r="B104" s="124"/>
      <c r="C104" s="124"/>
      <c r="D104" s="53"/>
      <c r="E104" s="91"/>
      <c r="F104" s="943"/>
      <c r="G104" s="951"/>
      <c r="H104" s="921" t="s">
        <v>371</v>
      </c>
      <c r="I104" s="944"/>
      <c r="J104" s="945"/>
      <c r="K104" s="448"/>
      <c r="L104" s="224"/>
      <c r="M104" s="218"/>
      <c r="N104" s="956"/>
      <c r="O104" s="957"/>
      <c r="P104" s="172" t="s">
        <v>1035</v>
      </c>
      <c r="Q104" s="957"/>
      <c r="R104" s="957"/>
      <c r="S104" s="957"/>
      <c r="T104" s="957"/>
      <c r="U104" s="957"/>
      <c r="V104" s="957"/>
      <c r="W104" s="957"/>
      <c r="X104" s="957"/>
      <c r="Y104" s="957"/>
      <c r="Z104" s="957"/>
      <c r="AA104" s="957"/>
      <c r="AB104" s="957"/>
      <c r="AC104" s="957"/>
      <c r="AD104" s="957"/>
      <c r="AE104" s="966"/>
      <c r="AF104" s="949"/>
      <c r="AG104" s="950"/>
      <c r="AH104" s="950"/>
      <c r="AI104" s="949"/>
      <c r="AJ104" s="950"/>
      <c r="AK104" s="950"/>
      <c r="AL104" s="919"/>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50"/>
    </row>
    <row r="105" ht="11.25" customHeight="1">
      <c r="A105" s="124" t="s">
        <v>989</v>
      </c>
      <c r="B105" s="124" t="s">
        <v>1036</v>
      </c>
      <c r="C105" s="124"/>
      <c r="D105" s="53"/>
      <c r="E105" s="91"/>
      <c r="F105" s="943"/>
      <c r="G105" s="149" t="s">
        <v>684</v>
      </c>
      <c r="H105" s="921" t="s">
        <v>107</v>
      </c>
      <c r="I105" s="944" t="s">
        <v>1037</v>
      </c>
      <c r="J105" s="388" t="s">
        <v>1038</v>
      </c>
      <c r="K105" s="448" t="s">
        <v>1039</v>
      </c>
      <c r="L105" s="224" t="s">
        <v>19</v>
      </c>
      <c r="M105" s="218"/>
      <c r="N105" s="946"/>
      <c r="O105" s="947" t="s">
        <v>371</v>
      </c>
      <c r="P105" s="948"/>
      <c r="Q105" s="948"/>
      <c r="R105" s="948"/>
      <c r="S105" s="948"/>
      <c r="T105" s="948"/>
      <c r="U105" s="948"/>
      <c r="V105" s="948"/>
      <c r="W105" s="948"/>
      <c r="X105" s="948"/>
      <c r="Y105" s="948"/>
      <c r="Z105" s="948"/>
      <c r="AA105" s="948"/>
      <c r="AB105" s="948"/>
      <c r="AC105" s="948"/>
      <c r="AD105" s="948"/>
      <c r="AE105" s="948"/>
      <c r="AF105" s="949">
        <v>3</v>
      </c>
      <c r="AG105" s="950" t="s">
        <v>1023</v>
      </c>
      <c r="AH105" s="950" t="s">
        <v>1040</v>
      </c>
      <c r="AI105" s="949"/>
      <c r="AJ105" s="950"/>
      <c r="AK105" s="950"/>
      <c r="AL105" s="919"/>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50"/>
    </row>
    <row r="106" ht="11.25" customHeight="1">
      <c r="A106" s="124" t="s">
        <v>989</v>
      </c>
      <c r="B106" s="124"/>
      <c r="C106" s="124"/>
      <c r="D106" s="53"/>
      <c r="E106" s="91"/>
      <c r="F106" s="943"/>
      <c r="G106" s="951"/>
      <c r="H106" s="921" t="s">
        <v>106</v>
      </c>
      <c r="I106" s="944"/>
      <c r="J106" s="388"/>
      <c r="K106" s="448"/>
      <c r="L106" s="224"/>
      <c r="M106" s="218"/>
      <c r="N106" s="952"/>
      <c r="O106" s="953">
        <v>1</v>
      </c>
      <c r="P106" s="954" t="s">
        <v>65</v>
      </c>
      <c r="Q106" s="388" t="s">
        <v>1025</v>
      </c>
      <c r="R106" s="955" t="s">
        <v>1026</v>
      </c>
      <c r="S106" s="955" t="s">
        <v>1027</v>
      </c>
      <c r="T106" s="955" t="s">
        <v>1027</v>
      </c>
      <c r="U106" s="955" t="s">
        <v>1028</v>
      </c>
      <c r="V106" s="955" t="s">
        <v>1029</v>
      </c>
      <c r="W106" s="955" t="s">
        <v>1030</v>
      </c>
      <c r="X106" s="955" t="s">
        <v>1031</v>
      </c>
      <c r="Y106" s="955" t="s">
        <v>1032</v>
      </c>
      <c r="Z106" s="956"/>
      <c r="AA106" s="957"/>
      <c r="AB106" s="957"/>
      <c r="AC106" s="958"/>
      <c r="AD106" s="958"/>
      <c r="AE106" s="959"/>
      <c r="AF106" s="949"/>
      <c r="AG106" s="950"/>
      <c r="AH106" s="950"/>
      <c r="AI106" s="949"/>
      <c r="AJ106" s="950"/>
      <c r="AK106" s="950"/>
      <c r="AL106" s="919"/>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50"/>
    </row>
    <row r="107" ht="11.25" customHeight="1">
      <c r="A107" s="124" t="s">
        <v>989</v>
      </c>
      <c r="B107" s="124"/>
      <c r="C107" s="124"/>
      <c r="D107" s="53"/>
      <c r="E107" s="91"/>
      <c r="F107" s="943"/>
      <c r="G107" s="951"/>
      <c r="H107" s="921" t="s">
        <v>106</v>
      </c>
      <c r="I107" s="944"/>
      <c r="J107" s="388"/>
      <c r="K107" s="448"/>
      <c r="L107" s="224"/>
      <c r="M107" s="218"/>
      <c r="N107" s="952"/>
      <c r="O107" s="953"/>
      <c r="P107" s="960"/>
      <c r="Q107" s="388"/>
      <c r="R107" s="458"/>
      <c r="S107" s="955"/>
      <c r="T107" s="458"/>
      <c r="U107" s="458"/>
      <c r="V107" s="458"/>
      <c r="W107" s="458"/>
      <c r="X107" s="458"/>
      <c r="Y107" s="458"/>
      <c r="Z107" s="961"/>
      <c r="AA107" s="962">
        <v>1</v>
      </c>
      <c r="AB107" s="963" t="s">
        <v>1033</v>
      </c>
      <c r="AC107" s="856">
        <v>1070.5129999999999</v>
      </c>
      <c r="AD107" s="963" t="str">
        <f t="shared" ref="AD107:AD170" si="50">AB107</f>
        <v xml:space="preserve">      Амортизационные отчисления с выделением результатов переоценки основных средств и нематериальных активов</v>
      </c>
      <c r="AE107" s="856"/>
      <c r="AF107" s="949"/>
      <c r="AG107" s="950"/>
      <c r="AH107" s="950"/>
      <c r="AI107" s="949"/>
      <c r="AJ107" s="950"/>
      <c r="AK107" s="950"/>
      <c r="AL107" s="919"/>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50"/>
    </row>
    <row r="108" ht="11.25" customHeight="1">
      <c r="A108" s="124" t="s">
        <v>989</v>
      </c>
      <c r="B108" s="124"/>
      <c r="C108" s="124"/>
      <c r="D108" s="53"/>
      <c r="E108" s="91"/>
      <c r="F108" s="951"/>
      <c r="G108" s="951"/>
      <c r="H108" s="951"/>
      <c r="I108" s="951"/>
      <c r="J108" s="951"/>
      <c r="K108" s="951"/>
      <c r="L108" s="951"/>
      <c r="M108" s="951"/>
      <c r="N108" s="951"/>
      <c r="O108" s="951"/>
      <c r="P108" s="951"/>
      <c r="Q108" s="951"/>
      <c r="R108" s="951"/>
      <c r="S108" s="951"/>
      <c r="T108" s="951"/>
      <c r="U108" s="951"/>
      <c r="V108" s="951"/>
      <c r="W108" s="951"/>
      <c r="X108" s="951"/>
      <c r="Y108" s="951"/>
      <c r="Z108" s="149" t="s">
        <v>684</v>
      </c>
      <c r="AA108" s="953" t="s">
        <v>107</v>
      </c>
      <c r="AB108" s="963" t="s">
        <v>1041</v>
      </c>
      <c r="AC108" s="856">
        <v>7923.6800000000003</v>
      </c>
      <c r="AD108" s="963" t="str">
        <f t="shared" si="50"/>
        <v xml:space="preserve">  Прочие собственные средства</v>
      </c>
      <c r="AE108" s="856"/>
      <c r="AF108" s="968"/>
      <c r="AG108" s="969"/>
      <c r="AH108" s="969"/>
      <c r="AI108" s="968"/>
      <c r="AJ108" s="969"/>
      <c r="AK108" s="970"/>
      <c r="AL108" s="919"/>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50"/>
    </row>
    <row r="109" ht="11.25" customHeight="1">
      <c r="A109" s="124" t="s">
        <v>989</v>
      </c>
      <c r="B109" s="124"/>
      <c r="C109" s="124"/>
      <c r="D109" s="53"/>
      <c r="E109" s="91"/>
      <c r="F109" s="943"/>
      <c r="G109" s="951"/>
      <c r="H109" s="921" t="s">
        <v>106</v>
      </c>
      <c r="I109" s="944"/>
      <c r="J109" s="388"/>
      <c r="K109" s="448"/>
      <c r="L109" s="224"/>
      <c r="M109" s="218"/>
      <c r="N109" s="952"/>
      <c r="O109" s="953"/>
      <c r="P109" s="964"/>
      <c r="Q109" s="388"/>
      <c r="R109" s="458"/>
      <c r="S109" s="955"/>
      <c r="T109" s="458"/>
      <c r="U109" s="458"/>
      <c r="V109" s="458"/>
      <c r="W109" s="458"/>
      <c r="X109" s="458"/>
      <c r="Y109" s="458"/>
      <c r="Z109" s="956"/>
      <c r="AA109" s="957"/>
      <c r="AB109" s="172" t="s">
        <v>1034</v>
      </c>
      <c r="AC109" s="958"/>
      <c r="AD109" s="958"/>
      <c r="AE109" s="965"/>
      <c r="AF109" s="949"/>
      <c r="AG109" s="950"/>
      <c r="AH109" s="950"/>
      <c r="AI109" s="949"/>
      <c r="AJ109" s="950"/>
      <c r="AK109" s="950"/>
      <c r="AL109" s="919"/>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50"/>
    </row>
    <row r="110" ht="11.25" customHeight="1">
      <c r="A110" s="124" t="s">
        <v>989</v>
      </c>
      <c r="B110" s="124"/>
      <c r="C110" s="124"/>
      <c r="D110" s="53"/>
      <c r="E110" s="91"/>
      <c r="F110" s="943"/>
      <c r="G110" s="951"/>
      <c r="H110" s="921" t="s">
        <v>106</v>
      </c>
      <c r="I110" s="944"/>
      <c r="J110" s="388"/>
      <c r="K110" s="448"/>
      <c r="L110" s="224"/>
      <c r="M110" s="218"/>
      <c r="N110" s="956"/>
      <c r="O110" s="957"/>
      <c r="P110" s="172" t="s">
        <v>1035</v>
      </c>
      <c r="Q110" s="957"/>
      <c r="R110" s="957"/>
      <c r="S110" s="957"/>
      <c r="T110" s="957"/>
      <c r="U110" s="957"/>
      <c r="V110" s="957"/>
      <c r="W110" s="957"/>
      <c r="X110" s="957"/>
      <c r="Y110" s="957"/>
      <c r="Z110" s="957"/>
      <c r="AA110" s="957"/>
      <c r="AB110" s="957"/>
      <c r="AC110" s="957"/>
      <c r="AD110" s="957"/>
      <c r="AE110" s="966"/>
      <c r="AF110" s="949"/>
      <c r="AG110" s="950"/>
      <c r="AH110" s="950"/>
      <c r="AI110" s="949"/>
      <c r="AJ110" s="950"/>
      <c r="AK110" s="950"/>
      <c r="AL110" s="919"/>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50"/>
    </row>
    <row r="111" ht="11.25" customHeight="1">
      <c r="A111" s="124" t="s">
        <v>989</v>
      </c>
      <c r="B111" s="124" t="s">
        <v>1036</v>
      </c>
      <c r="C111" s="124"/>
      <c r="D111" s="53"/>
      <c r="E111" s="91"/>
      <c r="F111" s="943"/>
      <c r="G111" s="149" t="s">
        <v>684</v>
      </c>
      <c r="H111" s="921" t="s">
        <v>90</v>
      </c>
      <c r="I111" s="944" t="s">
        <v>1037</v>
      </c>
      <c r="J111" s="388" t="s">
        <v>1038</v>
      </c>
      <c r="K111" s="448" t="s">
        <v>1042</v>
      </c>
      <c r="L111" s="224" t="s">
        <v>19</v>
      </c>
      <c r="M111" s="218"/>
      <c r="N111" s="946"/>
      <c r="O111" s="947" t="s">
        <v>371</v>
      </c>
      <c r="P111" s="948"/>
      <c r="Q111" s="948"/>
      <c r="R111" s="948"/>
      <c r="S111" s="948"/>
      <c r="T111" s="948"/>
      <c r="U111" s="948"/>
      <c r="V111" s="948"/>
      <c r="W111" s="948"/>
      <c r="X111" s="948"/>
      <c r="Y111" s="948"/>
      <c r="Z111" s="948"/>
      <c r="AA111" s="948"/>
      <c r="AB111" s="948"/>
      <c r="AC111" s="948"/>
      <c r="AD111" s="948"/>
      <c r="AE111" s="948"/>
      <c r="AF111" s="949">
        <v>4</v>
      </c>
      <c r="AG111" s="950" t="s">
        <v>1023</v>
      </c>
      <c r="AH111" s="950" t="s">
        <v>1043</v>
      </c>
      <c r="AI111" s="949"/>
      <c r="AJ111" s="950"/>
      <c r="AK111" s="950"/>
      <c r="AL111" s="919"/>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50"/>
    </row>
    <row r="112" ht="11.25" customHeight="1">
      <c r="A112" s="124" t="s">
        <v>989</v>
      </c>
      <c r="B112" s="124"/>
      <c r="C112" s="124"/>
      <c r="D112" s="53"/>
      <c r="E112" s="91"/>
      <c r="F112" s="943"/>
      <c r="G112" s="951"/>
      <c r="H112" s="921" t="s">
        <v>107</v>
      </c>
      <c r="I112" s="944"/>
      <c r="J112" s="388"/>
      <c r="K112" s="448"/>
      <c r="L112" s="224"/>
      <c r="M112" s="218"/>
      <c r="N112" s="952"/>
      <c r="O112" s="953">
        <v>1</v>
      </c>
      <c r="P112" s="954" t="s">
        <v>65</v>
      </c>
      <c r="Q112" s="388" t="s">
        <v>1025</v>
      </c>
      <c r="R112" s="955" t="s">
        <v>1026</v>
      </c>
      <c r="S112" s="955" t="s">
        <v>1027</v>
      </c>
      <c r="T112" s="955" t="s">
        <v>1027</v>
      </c>
      <c r="U112" s="955" t="s">
        <v>1028</v>
      </c>
      <c r="V112" s="955" t="s">
        <v>1029</v>
      </c>
      <c r="W112" s="955" t="s">
        <v>1030</v>
      </c>
      <c r="X112" s="955" t="s">
        <v>1031</v>
      </c>
      <c r="Y112" s="955" t="s">
        <v>1032</v>
      </c>
      <c r="Z112" s="956"/>
      <c r="AA112" s="957"/>
      <c r="AB112" s="957"/>
      <c r="AC112" s="958"/>
      <c r="AD112" s="958"/>
      <c r="AE112" s="959"/>
      <c r="AF112" s="949"/>
      <c r="AG112" s="950"/>
      <c r="AH112" s="950"/>
      <c r="AI112" s="949"/>
      <c r="AJ112" s="950"/>
      <c r="AK112" s="950"/>
      <c r="AL112" s="919"/>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50"/>
    </row>
    <row r="113" ht="11.25" customHeight="1">
      <c r="A113" s="124" t="s">
        <v>989</v>
      </c>
      <c r="B113" s="124"/>
      <c r="C113" s="124"/>
      <c r="D113" s="53"/>
      <c r="E113" s="91"/>
      <c r="F113" s="943"/>
      <c r="G113" s="951"/>
      <c r="H113" s="921" t="s">
        <v>107</v>
      </c>
      <c r="I113" s="944"/>
      <c r="J113" s="388"/>
      <c r="K113" s="448"/>
      <c r="L113" s="224"/>
      <c r="M113" s="218"/>
      <c r="N113" s="952"/>
      <c r="O113" s="953"/>
      <c r="P113" s="960"/>
      <c r="Q113" s="388"/>
      <c r="R113" s="458"/>
      <c r="S113" s="955"/>
      <c r="T113" s="458"/>
      <c r="U113" s="458"/>
      <c r="V113" s="458"/>
      <c r="W113" s="458"/>
      <c r="X113" s="458"/>
      <c r="Y113" s="458"/>
      <c r="Z113" s="961"/>
      <c r="AA113" s="962">
        <v>1</v>
      </c>
      <c r="AB113" s="963" t="s">
        <v>1033</v>
      </c>
      <c r="AC113" s="856">
        <v>6453.0799999999999</v>
      </c>
      <c r="AD113" s="963" t="str">
        <f t="shared" si="50"/>
        <v xml:space="preserve">      Амортизационные отчисления с выделением результатов переоценки основных средств и нематериальных активов</v>
      </c>
      <c r="AE113" s="856"/>
      <c r="AF113" s="949"/>
      <c r="AG113" s="950"/>
      <c r="AH113" s="950"/>
      <c r="AI113" s="949"/>
      <c r="AJ113" s="950"/>
      <c r="AK113" s="950"/>
      <c r="AL113" s="919"/>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50"/>
    </row>
    <row r="114" ht="11.25" customHeight="1">
      <c r="A114" s="124" t="s">
        <v>989</v>
      </c>
      <c r="B114" s="124"/>
      <c r="C114" s="124"/>
      <c r="D114" s="53"/>
      <c r="E114" s="91"/>
      <c r="F114" s="943"/>
      <c r="G114" s="951"/>
      <c r="H114" s="921" t="s">
        <v>107</v>
      </c>
      <c r="I114" s="944"/>
      <c r="J114" s="388"/>
      <c r="K114" s="448"/>
      <c r="L114" s="224"/>
      <c r="M114" s="218"/>
      <c r="N114" s="952"/>
      <c r="O114" s="953"/>
      <c r="P114" s="964"/>
      <c r="Q114" s="388"/>
      <c r="R114" s="458"/>
      <c r="S114" s="955"/>
      <c r="T114" s="458"/>
      <c r="U114" s="458"/>
      <c r="V114" s="458"/>
      <c r="W114" s="458"/>
      <c r="X114" s="458"/>
      <c r="Y114" s="458"/>
      <c r="Z114" s="956"/>
      <c r="AA114" s="957"/>
      <c r="AB114" s="172" t="s">
        <v>1034</v>
      </c>
      <c r="AC114" s="958"/>
      <c r="AD114" s="958"/>
      <c r="AE114" s="965"/>
      <c r="AF114" s="949"/>
      <c r="AG114" s="950"/>
      <c r="AH114" s="950"/>
      <c r="AI114" s="949"/>
      <c r="AJ114" s="950"/>
      <c r="AK114" s="950"/>
      <c r="AL114" s="919"/>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50"/>
    </row>
    <row r="115" ht="11.25" customHeight="1">
      <c r="A115" s="124" t="s">
        <v>989</v>
      </c>
      <c r="B115" s="124"/>
      <c r="C115" s="124"/>
      <c r="D115" s="53"/>
      <c r="E115" s="91"/>
      <c r="F115" s="943"/>
      <c r="G115" s="951"/>
      <c r="H115" s="921" t="s">
        <v>107</v>
      </c>
      <c r="I115" s="944"/>
      <c r="J115" s="388"/>
      <c r="K115" s="448"/>
      <c r="L115" s="224"/>
      <c r="M115" s="218"/>
      <c r="N115" s="956"/>
      <c r="O115" s="957"/>
      <c r="P115" s="172" t="s">
        <v>1035</v>
      </c>
      <c r="Q115" s="957"/>
      <c r="R115" s="957"/>
      <c r="S115" s="957"/>
      <c r="T115" s="957"/>
      <c r="U115" s="957"/>
      <c r="V115" s="957"/>
      <c r="W115" s="957"/>
      <c r="X115" s="957"/>
      <c r="Y115" s="957"/>
      <c r="Z115" s="957"/>
      <c r="AA115" s="957"/>
      <c r="AB115" s="957"/>
      <c r="AC115" s="957"/>
      <c r="AD115" s="957"/>
      <c r="AE115" s="966"/>
      <c r="AF115" s="949"/>
      <c r="AG115" s="950"/>
      <c r="AH115" s="950"/>
      <c r="AI115" s="949"/>
      <c r="AJ115" s="950"/>
      <c r="AK115" s="950"/>
      <c r="AL115" s="919"/>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50"/>
    </row>
    <row r="116" ht="11.25" customHeight="1">
      <c r="A116" s="124" t="s">
        <v>989</v>
      </c>
      <c r="B116" s="124" t="s">
        <v>1036</v>
      </c>
      <c r="C116" s="124"/>
      <c r="D116" s="53"/>
      <c r="E116" s="91"/>
      <c r="F116" s="943"/>
      <c r="G116" s="149" t="s">
        <v>684</v>
      </c>
      <c r="H116" s="921" t="s">
        <v>91</v>
      </c>
      <c r="I116" s="944" t="s">
        <v>1037</v>
      </c>
      <c r="J116" s="388" t="s">
        <v>1038</v>
      </c>
      <c r="K116" s="448" t="s">
        <v>1044</v>
      </c>
      <c r="L116" s="224" t="s">
        <v>19</v>
      </c>
      <c r="M116" s="218"/>
      <c r="N116" s="946"/>
      <c r="O116" s="947" t="s">
        <v>371</v>
      </c>
      <c r="P116" s="948"/>
      <c r="Q116" s="948"/>
      <c r="R116" s="948"/>
      <c r="S116" s="948"/>
      <c r="T116" s="948"/>
      <c r="U116" s="948"/>
      <c r="V116" s="948"/>
      <c r="W116" s="948"/>
      <c r="X116" s="948"/>
      <c r="Y116" s="948"/>
      <c r="Z116" s="948"/>
      <c r="AA116" s="948"/>
      <c r="AB116" s="948"/>
      <c r="AC116" s="948"/>
      <c r="AD116" s="948"/>
      <c r="AE116" s="948"/>
      <c r="AF116" s="949">
        <v>5</v>
      </c>
      <c r="AG116" s="950" t="s">
        <v>1023</v>
      </c>
      <c r="AH116" s="950" t="s">
        <v>1024</v>
      </c>
      <c r="AI116" s="949"/>
      <c r="AJ116" s="950"/>
      <c r="AK116" s="950"/>
      <c r="AL116" s="919"/>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50"/>
    </row>
    <row r="117" ht="11.25" customHeight="1">
      <c r="A117" s="124" t="s">
        <v>989</v>
      </c>
      <c r="B117" s="124"/>
      <c r="C117" s="124"/>
      <c r="D117" s="53"/>
      <c r="E117" s="91"/>
      <c r="F117" s="943"/>
      <c r="G117" s="951"/>
      <c r="H117" s="921" t="s">
        <v>90</v>
      </c>
      <c r="I117" s="944"/>
      <c r="J117" s="388"/>
      <c r="K117" s="448"/>
      <c r="L117" s="224"/>
      <c r="M117" s="218"/>
      <c r="N117" s="952"/>
      <c r="O117" s="953">
        <v>1</v>
      </c>
      <c r="P117" s="954" t="s">
        <v>65</v>
      </c>
      <c r="Q117" s="388" t="s">
        <v>1025</v>
      </c>
      <c r="R117" s="955" t="s">
        <v>1026</v>
      </c>
      <c r="S117" s="955" t="s">
        <v>1027</v>
      </c>
      <c r="T117" s="955" t="s">
        <v>1027</v>
      </c>
      <c r="U117" s="955" t="s">
        <v>1028</v>
      </c>
      <c r="V117" s="955" t="s">
        <v>1029</v>
      </c>
      <c r="W117" s="955" t="s">
        <v>1030</v>
      </c>
      <c r="X117" s="955" t="s">
        <v>1031</v>
      </c>
      <c r="Y117" s="955" t="s">
        <v>1032</v>
      </c>
      <c r="Z117" s="956"/>
      <c r="AA117" s="957"/>
      <c r="AB117" s="957"/>
      <c r="AC117" s="958"/>
      <c r="AD117" s="958"/>
      <c r="AE117" s="959"/>
      <c r="AF117" s="949"/>
      <c r="AG117" s="950"/>
      <c r="AH117" s="950"/>
      <c r="AI117" s="949"/>
      <c r="AJ117" s="950"/>
      <c r="AK117" s="950"/>
      <c r="AL117" s="919"/>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50"/>
    </row>
    <row r="118" ht="11.25" customHeight="1">
      <c r="A118" s="124" t="s">
        <v>989</v>
      </c>
      <c r="B118" s="124"/>
      <c r="C118" s="124"/>
      <c r="D118" s="53"/>
      <c r="E118" s="91"/>
      <c r="F118" s="943"/>
      <c r="G118" s="951"/>
      <c r="H118" s="921" t="s">
        <v>90</v>
      </c>
      <c r="I118" s="944"/>
      <c r="J118" s="388"/>
      <c r="K118" s="448"/>
      <c r="L118" s="224"/>
      <c r="M118" s="218"/>
      <c r="N118" s="952"/>
      <c r="O118" s="953"/>
      <c r="P118" s="960"/>
      <c r="Q118" s="388"/>
      <c r="R118" s="458"/>
      <c r="S118" s="955"/>
      <c r="T118" s="458"/>
      <c r="U118" s="458"/>
      <c r="V118" s="458"/>
      <c r="W118" s="458"/>
      <c r="X118" s="458"/>
      <c r="Y118" s="458"/>
      <c r="Z118" s="961"/>
      <c r="AA118" s="962">
        <v>1</v>
      </c>
      <c r="AB118" s="963" t="s">
        <v>1033</v>
      </c>
      <c r="AC118" s="856">
        <v>20297.449000000001</v>
      </c>
      <c r="AD118" s="963" t="str">
        <f t="shared" si="50"/>
        <v xml:space="preserve">      Амортизационные отчисления с выделением результатов переоценки основных средств и нематериальных активов</v>
      </c>
      <c r="AE118" s="856"/>
      <c r="AF118" s="949"/>
      <c r="AG118" s="950"/>
      <c r="AH118" s="950"/>
      <c r="AI118" s="949"/>
      <c r="AJ118" s="950"/>
      <c r="AK118" s="950"/>
      <c r="AL118" s="919"/>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50"/>
    </row>
    <row r="119" ht="11.25" customHeight="1">
      <c r="A119" s="124" t="s">
        <v>989</v>
      </c>
      <c r="B119" s="124"/>
      <c r="C119" s="124"/>
      <c r="D119" s="53"/>
      <c r="E119" s="91"/>
      <c r="F119" s="943"/>
      <c r="G119" s="951"/>
      <c r="H119" s="921" t="s">
        <v>90</v>
      </c>
      <c r="I119" s="944"/>
      <c r="J119" s="388"/>
      <c r="K119" s="448"/>
      <c r="L119" s="224"/>
      <c r="M119" s="218"/>
      <c r="N119" s="952"/>
      <c r="O119" s="953"/>
      <c r="P119" s="964"/>
      <c r="Q119" s="388"/>
      <c r="R119" s="458"/>
      <c r="S119" s="955"/>
      <c r="T119" s="458"/>
      <c r="U119" s="458"/>
      <c r="V119" s="458"/>
      <c r="W119" s="458"/>
      <c r="X119" s="458"/>
      <c r="Y119" s="458"/>
      <c r="Z119" s="956"/>
      <c r="AA119" s="957"/>
      <c r="AB119" s="172" t="s">
        <v>1034</v>
      </c>
      <c r="AC119" s="958"/>
      <c r="AD119" s="958"/>
      <c r="AE119" s="965"/>
      <c r="AF119" s="949"/>
      <c r="AG119" s="950"/>
      <c r="AH119" s="950"/>
      <c r="AI119" s="949"/>
      <c r="AJ119" s="950"/>
      <c r="AK119" s="950"/>
      <c r="AL119" s="919"/>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50"/>
    </row>
    <row r="120" ht="11.25" customHeight="1">
      <c r="A120" s="124" t="s">
        <v>989</v>
      </c>
      <c r="B120" s="124"/>
      <c r="C120" s="124"/>
      <c r="D120" s="53"/>
      <c r="E120" s="91"/>
      <c r="F120" s="943"/>
      <c r="G120" s="951"/>
      <c r="H120" s="921" t="s">
        <v>90</v>
      </c>
      <c r="I120" s="944"/>
      <c r="J120" s="388"/>
      <c r="K120" s="448"/>
      <c r="L120" s="224"/>
      <c r="M120" s="218"/>
      <c r="N120" s="956"/>
      <c r="O120" s="957"/>
      <c r="P120" s="172" t="s">
        <v>1035</v>
      </c>
      <c r="Q120" s="957"/>
      <c r="R120" s="957"/>
      <c r="S120" s="957"/>
      <c r="T120" s="957"/>
      <c r="U120" s="957"/>
      <c r="V120" s="957"/>
      <c r="W120" s="957"/>
      <c r="X120" s="957"/>
      <c r="Y120" s="957"/>
      <c r="Z120" s="957"/>
      <c r="AA120" s="957"/>
      <c r="AB120" s="957"/>
      <c r="AC120" s="957"/>
      <c r="AD120" s="957"/>
      <c r="AE120" s="966"/>
      <c r="AF120" s="949"/>
      <c r="AG120" s="950"/>
      <c r="AH120" s="950"/>
      <c r="AI120" s="949"/>
      <c r="AJ120" s="950"/>
      <c r="AK120" s="950"/>
      <c r="AL120" s="919"/>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50"/>
    </row>
    <row r="121" ht="11.25" customHeight="1">
      <c r="A121" s="124" t="s">
        <v>989</v>
      </c>
      <c r="B121" s="124" t="s">
        <v>22</v>
      </c>
      <c r="C121" s="124"/>
      <c r="D121" s="53"/>
      <c r="E121" s="91"/>
      <c r="F121" s="943"/>
      <c r="G121" s="149" t="s">
        <v>684</v>
      </c>
      <c r="H121" s="921" t="s">
        <v>108</v>
      </c>
      <c r="I121" s="944" t="s">
        <v>1021</v>
      </c>
      <c r="J121" s="945" t="s">
        <v>22</v>
      </c>
      <c r="K121" s="448" t="s">
        <v>1052</v>
      </c>
      <c r="L121" s="224" t="s">
        <v>19</v>
      </c>
      <c r="M121" s="218"/>
      <c r="N121" s="946"/>
      <c r="O121" s="947" t="s">
        <v>371</v>
      </c>
      <c r="P121" s="948"/>
      <c r="Q121" s="948"/>
      <c r="R121" s="948"/>
      <c r="S121" s="948"/>
      <c r="T121" s="948"/>
      <c r="U121" s="948"/>
      <c r="V121" s="948"/>
      <c r="W121" s="948"/>
      <c r="X121" s="948"/>
      <c r="Y121" s="948"/>
      <c r="Z121" s="948"/>
      <c r="AA121" s="948"/>
      <c r="AB121" s="948"/>
      <c r="AC121" s="948"/>
      <c r="AD121" s="948"/>
      <c r="AE121" s="948"/>
      <c r="AF121" s="949">
        <v>5</v>
      </c>
      <c r="AG121" s="950" t="s">
        <v>1023</v>
      </c>
      <c r="AH121" s="950" t="s">
        <v>1024</v>
      </c>
      <c r="AI121" s="949"/>
      <c r="AJ121" s="950"/>
      <c r="AK121" s="950"/>
      <c r="AL121" s="919"/>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50"/>
    </row>
    <row r="122" ht="11.25" customHeight="1">
      <c r="A122" s="124" t="s">
        <v>989</v>
      </c>
      <c r="B122" s="124"/>
      <c r="C122" s="124"/>
      <c r="D122" s="53"/>
      <c r="E122" s="91"/>
      <c r="F122" s="943"/>
      <c r="G122" s="951"/>
      <c r="H122" s="921" t="s">
        <v>91</v>
      </c>
      <c r="I122" s="944"/>
      <c r="J122" s="945"/>
      <c r="K122" s="448"/>
      <c r="L122" s="224"/>
      <c r="M122" s="218"/>
      <c r="N122" s="952"/>
      <c r="O122" s="953">
        <v>1</v>
      </c>
      <c r="P122" s="954" t="s">
        <v>65</v>
      </c>
      <c r="Q122" s="388" t="s">
        <v>1025</v>
      </c>
      <c r="R122" s="955" t="s">
        <v>1026</v>
      </c>
      <c r="S122" s="955" t="s">
        <v>1027</v>
      </c>
      <c r="T122" s="955" t="s">
        <v>1027</v>
      </c>
      <c r="U122" s="955" t="s">
        <v>1028</v>
      </c>
      <c r="V122" s="955" t="s">
        <v>1029</v>
      </c>
      <c r="W122" s="955" t="s">
        <v>1030</v>
      </c>
      <c r="X122" s="955" t="s">
        <v>1031</v>
      </c>
      <c r="Y122" s="955" t="s">
        <v>1032</v>
      </c>
      <c r="Z122" s="956"/>
      <c r="AA122" s="957"/>
      <c r="AB122" s="957"/>
      <c r="AC122" s="958"/>
      <c r="AD122" s="958"/>
      <c r="AE122" s="959"/>
      <c r="AF122" s="949"/>
      <c r="AG122" s="950"/>
      <c r="AH122" s="950"/>
      <c r="AI122" s="949"/>
      <c r="AJ122" s="950"/>
      <c r="AK122" s="950"/>
      <c r="AL122" s="919"/>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50"/>
    </row>
    <row r="123" ht="11.25" customHeight="1">
      <c r="A123" s="124" t="s">
        <v>989</v>
      </c>
      <c r="B123" s="124"/>
      <c r="C123" s="124"/>
      <c r="D123" s="53"/>
      <c r="E123" s="91"/>
      <c r="F123" s="943"/>
      <c r="G123" s="951"/>
      <c r="H123" s="921" t="s">
        <v>91</v>
      </c>
      <c r="I123" s="944"/>
      <c r="J123" s="945"/>
      <c r="K123" s="448"/>
      <c r="L123" s="224"/>
      <c r="M123" s="218"/>
      <c r="N123" s="952"/>
      <c r="O123" s="953"/>
      <c r="P123" s="960"/>
      <c r="Q123" s="388"/>
      <c r="R123" s="458"/>
      <c r="S123" s="955"/>
      <c r="T123" s="458"/>
      <c r="U123" s="458"/>
      <c r="V123" s="458"/>
      <c r="W123" s="458"/>
      <c r="X123" s="458"/>
      <c r="Y123" s="458"/>
      <c r="Z123" s="961"/>
      <c r="AA123" s="962">
        <v>1</v>
      </c>
      <c r="AB123" s="963" t="s">
        <v>1033</v>
      </c>
      <c r="AC123" s="856">
        <v>7706.8230000000003</v>
      </c>
      <c r="AD123" s="963" t="str">
        <f t="shared" si="50"/>
        <v xml:space="preserve">      Амортизационные отчисления с выделением результатов переоценки основных средств и нематериальных активов</v>
      </c>
      <c r="AE123" s="856"/>
      <c r="AF123" s="949"/>
      <c r="AG123" s="950"/>
      <c r="AH123" s="950"/>
      <c r="AI123" s="949"/>
      <c r="AJ123" s="950"/>
      <c r="AK123" s="950"/>
      <c r="AL123" s="919"/>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50"/>
    </row>
    <row r="124" ht="11.25" customHeight="1">
      <c r="A124" s="124" t="s">
        <v>989</v>
      </c>
      <c r="B124" s="124"/>
      <c r="C124" s="124"/>
      <c r="D124" s="53"/>
      <c r="E124" s="91"/>
      <c r="F124" s="943"/>
      <c r="G124" s="951"/>
      <c r="H124" s="921" t="s">
        <v>91</v>
      </c>
      <c r="I124" s="944"/>
      <c r="J124" s="945"/>
      <c r="K124" s="448"/>
      <c r="L124" s="224"/>
      <c r="M124" s="218"/>
      <c r="N124" s="952"/>
      <c r="O124" s="953"/>
      <c r="P124" s="964"/>
      <c r="Q124" s="388"/>
      <c r="R124" s="458"/>
      <c r="S124" s="955"/>
      <c r="T124" s="458"/>
      <c r="U124" s="458"/>
      <c r="V124" s="458"/>
      <c r="W124" s="458"/>
      <c r="X124" s="458"/>
      <c r="Y124" s="458"/>
      <c r="Z124" s="956"/>
      <c r="AA124" s="957"/>
      <c r="AB124" s="172" t="s">
        <v>1034</v>
      </c>
      <c r="AC124" s="958"/>
      <c r="AD124" s="958"/>
      <c r="AE124" s="965"/>
      <c r="AF124" s="949"/>
      <c r="AG124" s="950"/>
      <c r="AH124" s="950"/>
      <c r="AI124" s="949"/>
      <c r="AJ124" s="950"/>
      <c r="AK124" s="950"/>
      <c r="AL124" s="919"/>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50"/>
    </row>
    <row r="125" ht="11.25" customHeight="1">
      <c r="A125" s="124" t="s">
        <v>989</v>
      </c>
      <c r="B125" s="124"/>
      <c r="C125" s="124"/>
      <c r="D125" s="53"/>
      <c r="E125" s="91"/>
      <c r="F125" s="943"/>
      <c r="G125" s="951"/>
      <c r="H125" s="921" t="s">
        <v>91</v>
      </c>
      <c r="I125" s="944"/>
      <c r="J125" s="945"/>
      <c r="K125" s="448"/>
      <c r="L125" s="224"/>
      <c r="M125" s="218"/>
      <c r="N125" s="956"/>
      <c r="O125" s="957"/>
      <c r="P125" s="172" t="s">
        <v>1035</v>
      </c>
      <c r="Q125" s="957"/>
      <c r="R125" s="957"/>
      <c r="S125" s="957"/>
      <c r="T125" s="957"/>
      <c r="U125" s="957"/>
      <c r="V125" s="957"/>
      <c r="W125" s="957"/>
      <c r="X125" s="957"/>
      <c r="Y125" s="957"/>
      <c r="Z125" s="957"/>
      <c r="AA125" s="957"/>
      <c r="AB125" s="957"/>
      <c r="AC125" s="957"/>
      <c r="AD125" s="957"/>
      <c r="AE125" s="966"/>
      <c r="AF125" s="949"/>
      <c r="AG125" s="950"/>
      <c r="AH125" s="950"/>
      <c r="AI125" s="949"/>
      <c r="AJ125" s="950"/>
      <c r="AK125" s="950"/>
      <c r="AL125" s="919"/>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50"/>
    </row>
    <row r="126" ht="11.25" customHeight="1">
      <c r="A126" s="124" t="s">
        <v>989</v>
      </c>
      <c r="B126" s="124" t="s">
        <v>22</v>
      </c>
      <c r="C126" s="124"/>
      <c r="D126" s="53"/>
      <c r="E126" s="91"/>
      <c r="F126" s="943"/>
      <c r="G126" s="149" t="s">
        <v>684</v>
      </c>
      <c r="H126" s="921" t="s">
        <v>92</v>
      </c>
      <c r="I126" s="944" t="s">
        <v>1021</v>
      </c>
      <c r="J126" s="945" t="s">
        <v>22</v>
      </c>
      <c r="K126" s="448" t="s">
        <v>1056</v>
      </c>
      <c r="L126" s="224" t="s">
        <v>19</v>
      </c>
      <c r="M126" s="218"/>
      <c r="N126" s="946"/>
      <c r="O126" s="947" t="s">
        <v>371</v>
      </c>
      <c r="P126" s="948"/>
      <c r="Q126" s="948"/>
      <c r="R126" s="948"/>
      <c r="S126" s="948"/>
      <c r="T126" s="948"/>
      <c r="U126" s="948"/>
      <c r="V126" s="948"/>
      <c r="W126" s="948"/>
      <c r="X126" s="948"/>
      <c r="Y126" s="948"/>
      <c r="Z126" s="948"/>
      <c r="AA126" s="948"/>
      <c r="AB126" s="948"/>
      <c r="AC126" s="948"/>
      <c r="AD126" s="948"/>
      <c r="AE126" s="948"/>
      <c r="AF126" s="949">
        <v>5</v>
      </c>
      <c r="AG126" s="950" t="s">
        <v>1023</v>
      </c>
      <c r="AH126" s="950" t="s">
        <v>1024</v>
      </c>
      <c r="AI126" s="949"/>
      <c r="AJ126" s="950"/>
      <c r="AK126" s="950"/>
      <c r="AL126" s="919"/>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50"/>
    </row>
    <row r="127" ht="11.25" customHeight="1">
      <c r="A127" s="124" t="s">
        <v>989</v>
      </c>
      <c r="B127" s="124"/>
      <c r="C127" s="124"/>
      <c r="D127" s="53"/>
      <c r="E127" s="91"/>
      <c r="F127" s="943"/>
      <c r="G127" s="951"/>
      <c r="H127" s="921" t="s">
        <v>108</v>
      </c>
      <c r="I127" s="944"/>
      <c r="J127" s="945"/>
      <c r="K127" s="448"/>
      <c r="L127" s="224"/>
      <c r="M127" s="218"/>
      <c r="N127" s="952"/>
      <c r="O127" s="953">
        <v>1</v>
      </c>
      <c r="P127" s="954" t="s">
        <v>65</v>
      </c>
      <c r="Q127" s="388" t="s">
        <v>1025</v>
      </c>
      <c r="R127" s="955" t="s">
        <v>1026</v>
      </c>
      <c r="S127" s="955" t="s">
        <v>1027</v>
      </c>
      <c r="T127" s="955" t="s">
        <v>1027</v>
      </c>
      <c r="U127" s="955" t="s">
        <v>1028</v>
      </c>
      <c r="V127" s="955" t="s">
        <v>1029</v>
      </c>
      <c r="W127" s="955" t="s">
        <v>1030</v>
      </c>
      <c r="X127" s="955" t="s">
        <v>1031</v>
      </c>
      <c r="Y127" s="955" t="s">
        <v>1032</v>
      </c>
      <c r="Z127" s="956"/>
      <c r="AA127" s="957"/>
      <c r="AB127" s="957"/>
      <c r="AC127" s="958"/>
      <c r="AD127" s="958"/>
      <c r="AE127" s="959"/>
      <c r="AF127" s="949"/>
      <c r="AG127" s="950"/>
      <c r="AH127" s="950"/>
      <c r="AI127" s="949"/>
      <c r="AJ127" s="950"/>
      <c r="AK127" s="950"/>
      <c r="AL127" s="919"/>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50"/>
    </row>
    <row r="128" ht="11.25" customHeight="1">
      <c r="A128" s="124" t="s">
        <v>989</v>
      </c>
      <c r="B128" s="124"/>
      <c r="C128" s="124"/>
      <c r="D128" s="53"/>
      <c r="E128" s="91"/>
      <c r="F128" s="943"/>
      <c r="G128" s="951"/>
      <c r="H128" s="921" t="s">
        <v>108</v>
      </c>
      <c r="I128" s="944"/>
      <c r="J128" s="945"/>
      <c r="K128" s="448"/>
      <c r="L128" s="224"/>
      <c r="M128" s="218"/>
      <c r="N128" s="952"/>
      <c r="O128" s="953"/>
      <c r="P128" s="960"/>
      <c r="Q128" s="388"/>
      <c r="R128" s="458"/>
      <c r="S128" s="955"/>
      <c r="T128" s="458"/>
      <c r="U128" s="458"/>
      <c r="V128" s="458"/>
      <c r="W128" s="458"/>
      <c r="X128" s="458"/>
      <c r="Y128" s="458"/>
      <c r="Z128" s="961"/>
      <c r="AA128" s="962">
        <v>1</v>
      </c>
      <c r="AB128" s="963" t="s">
        <v>1041</v>
      </c>
      <c r="AC128" s="856">
        <v>26682.143</v>
      </c>
      <c r="AD128" s="963" t="str">
        <f t="shared" si="50"/>
        <v xml:space="preserve">  Прочие собственные средства</v>
      </c>
      <c r="AE128" s="856"/>
      <c r="AF128" s="949"/>
      <c r="AG128" s="950"/>
      <c r="AH128" s="950"/>
      <c r="AI128" s="949"/>
      <c r="AJ128" s="950"/>
      <c r="AK128" s="950"/>
      <c r="AL128" s="919"/>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50"/>
    </row>
    <row r="129" ht="11.25" customHeight="1">
      <c r="A129" s="124" t="s">
        <v>989</v>
      </c>
      <c r="B129" s="124"/>
      <c r="C129" s="124"/>
      <c r="D129" s="53"/>
      <c r="E129" s="91"/>
      <c r="F129" s="943"/>
      <c r="G129" s="951"/>
      <c r="H129" s="921" t="s">
        <v>108</v>
      </c>
      <c r="I129" s="944"/>
      <c r="J129" s="945"/>
      <c r="K129" s="448"/>
      <c r="L129" s="224"/>
      <c r="M129" s="218"/>
      <c r="N129" s="952"/>
      <c r="O129" s="953"/>
      <c r="P129" s="964"/>
      <c r="Q129" s="388"/>
      <c r="R129" s="458"/>
      <c r="S129" s="955"/>
      <c r="T129" s="458"/>
      <c r="U129" s="458"/>
      <c r="V129" s="458"/>
      <c r="W129" s="458"/>
      <c r="X129" s="458"/>
      <c r="Y129" s="458"/>
      <c r="Z129" s="956"/>
      <c r="AA129" s="957"/>
      <c r="AB129" s="172" t="s">
        <v>1034</v>
      </c>
      <c r="AC129" s="958"/>
      <c r="AD129" s="958"/>
      <c r="AE129" s="965"/>
      <c r="AF129" s="949"/>
      <c r="AG129" s="950"/>
      <c r="AH129" s="950"/>
      <c r="AI129" s="949"/>
      <c r="AJ129" s="950"/>
      <c r="AK129" s="950"/>
      <c r="AL129" s="919"/>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50"/>
    </row>
    <row r="130" ht="11.25" customHeight="1">
      <c r="A130" s="124" t="s">
        <v>989</v>
      </c>
      <c r="B130" s="124"/>
      <c r="C130" s="124"/>
      <c r="D130" s="53"/>
      <c r="E130" s="91"/>
      <c r="F130" s="943"/>
      <c r="G130" s="951"/>
      <c r="H130" s="921" t="s">
        <v>108</v>
      </c>
      <c r="I130" s="944"/>
      <c r="J130" s="945"/>
      <c r="K130" s="448"/>
      <c r="L130" s="224"/>
      <c r="M130" s="218"/>
      <c r="N130" s="956"/>
      <c r="O130" s="957"/>
      <c r="P130" s="172" t="s">
        <v>1035</v>
      </c>
      <c r="Q130" s="957"/>
      <c r="R130" s="957"/>
      <c r="S130" s="957"/>
      <c r="T130" s="957"/>
      <c r="U130" s="957"/>
      <c r="V130" s="957"/>
      <c r="W130" s="957"/>
      <c r="X130" s="957"/>
      <c r="Y130" s="957"/>
      <c r="Z130" s="957"/>
      <c r="AA130" s="957"/>
      <c r="AB130" s="957"/>
      <c r="AC130" s="957"/>
      <c r="AD130" s="957"/>
      <c r="AE130" s="966"/>
      <c r="AF130" s="949"/>
      <c r="AG130" s="950"/>
      <c r="AH130" s="950"/>
      <c r="AI130" s="949"/>
      <c r="AJ130" s="950"/>
      <c r="AK130" s="950"/>
      <c r="AL130" s="919"/>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50"/>
    </row>
    <row r="131" ht="11.25" customHeight="1">
      <c r="A131" s="124" t="s">
        <v>989</v>
      </c>
      <c r="B131" s="124" t="s">
        <v>22</v>
      </c>
      <c r="C131" s="124"/>
      <c r="D131" s="53"/>
      <c r="E131" s="91"/>
      <c r="F131" s="943"/>
      <c r="G131" s="149" t="s">
        <v>684</v>
      </c>
      <c r="H131" s="921" t="s">
        <v>93</v>
      </c>
      <c r="I131" s="944" t="s">
        <v>1054</v>
      </c>
      <c r="J131" s="945" t="s">
        <v>22</v>
      </c>
      <c r="K131" s="448" t="s">
        <v>1055</v>
      </c>
      <c r="L131" s="224" t="s">
        <v>19</v>
      </c>
      <c r="M131" s="218"/>
      <c r="N131" s="946"/>
      <c r="O131" s="947" t="s">
        <v>371</v>
      </c>
      <c r="P131" s="948"/>
      <c r="Q131" s="948"/>
      <c r="R131" s="948"/>
      <c r="S131" s="948"/>
      <c r="T131" s="948"/>
      <c r="U131" s="948"/>
      <c r="V131" s="948"/>
      <c r="W131" s="948"/>
      <c r="X131" s="948"/>
      <c r="Y131" s="948"/>
      <c r="Z131" s="948"/>
      <c r="AA131" s="948"/>
      <c r="AB131" s="948"/>
      <c r="AC131" s="948"/>
      <c r="AD131" s="948"/>
      <c r="AE131" s="948"/>
      <c r="AF131" s="949">
        <v>4</v>
      </c>
      <c r="AG131" s="950" t="s">
        <v>1023</v>
      </c>
      <c r="AH131" s="950" t="s">
        <v>1024</v>
      </c>
      <c r="AI131" s="949"/>
      <c r="AJ131" s="950"/>
      <c r="AK131" s="950"/>
      <c r="AL131" s="919"/>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50"/>
    </row>
    <row r="132" ht="11.25" customHeight="1">
      <c r="A132" s="124" t="s">
        <v>989</v>
      </c>
      <c r="B132" s="124"/>
      <c r="C132" s="124"/>
      <c r="D132" s="53"/>
      <c r="E132" s="91"/>
      <c r="F132" s="943"/>
      <c r="G132" s="951"/>
      <c r="H132" s="921" t="s">
        <v>92</v>
      </c>
      <c r="I132" s="944"/>
      <c r="J132" s="945"/>
      <c r="K132" s="448"/>
      <c r="L132" s="224"/>
      <c r="M132" s="218"/>
      <c r="N132" s="952"/>
      <c r="O132" s="953">
        <v>1</v>
      </c>
      <c r="P132" s="954" t="s">
        <v>65</v>
      </c>
      <c r="Q132" s="388" t="s">
        <v>1025</v>
      </c>
      <c r="R132" s="955" t="s">
        <v>1026</v>
      </c>
      <c r="S132" s="955" t="s">
        <v>1027</v>
      </c>
      <c r="T132" s="955" t="s">
        <v>1027</v>
      </c>
      <c r="U132" s="955" t="s">
        <v>1028</v>
      </c>
      <c r="V132" s="955" t="s">
        <v>1029</v>
      </c>
      <c r="W132" s="955" t="s">
        <v>1030</v>
      </c>
      <c r="X132" s="955" t="s">
        <v>1031</v>
      </c>
      <c r="Y132" s="955" t="s">
        <v>1032</v>
      </c>
      <c r="Z132" s="956"/>
      <c r="AA132" s="957"/>
      <c r="AB132" s="957"/>
      <c r="AC132" s="958"/>
      <c r="AD132" s="958"/>
      <c r="AE132" s="959"/>
      <c r="AF132" s="949"/>
      <c r="AG132" s="950"/>
      <c r="AH132" s="950"/>
      <c r="AI132" s="949"/>
      <c r="AJ132" s="950"/>
      <c r="AK132" s="950"/>
      <c r="AL132" s="919"/>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50"/>
    </row>
    <row r="133" ht="11.25" customHeight="1">
      <c r="A133" s="124" t="s">
        <v>989</v>
      </c>
      <c r="B133" s="124"/>
      <c r="C133" s="124"/>
      <c r="D133" s="53"/>
      <c r="E133" s="91"/>
      <c r="F133" s="943"/>
      <c r="G133" s="951"/>
      <c r="H133" s="921" t="s">
        <v>92</v>
      </c>
      <c r="I133" s="944"/>
      <c r="J133" s="945"/>
      <c r="K133" s="448"/>
      <c r="L133" s="224"/>
      <c r="M133" s="218"/>
      <c r="N133" s="952"/>
      <c r="O133" s="953"/>
      <c r="P133" s="960"/>
      <c r="Q133" s="388"/>
      <c r="R133" s="458"/>
      <c r="S133" s="955"/>
      <c r="T133" s="458"/>
      <c r="U133" s="458"/>
      <c r="V133" s="458"/>
      <c r="W133" s="458"/>
      <c r="X133" s="458"/>
      <c r="Y133" s="458"/>
      <c r="Z133" s="961"/>
      <c r="AA133" s="962">
        <v>1</v>
      </c>
      <c r="AB133" s="963" t="s">
        <v>1033</v>
      </c>
      <c r="AC133" s="856">
        <v>15886.807000000001</v>
      </c>
      <c r="AD133" s="963" t="str">
        <f t="shared" si="50"/>
        <v xml:space="preserve">      Амортизационные отчисления с выделением результатов переоценки основных средств и нематериальных активов</v>
      </c>
      <c r="AE133" s="856"/>
      <c r="AF133" s="949"/>
      <c r="AG133" s="950"/>
      <c r="AH133" s="950"/>
      <c r="AI133" s="949"/>
      <c r="AJ133" s="950"/>
      <c r="AK133" s="950"/>
      <c r="AL133" s="919"/>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50"/>
    </row>
    <row r="134" ht="11.25" customHeight="1">
      <c r="A134" s="124" t="s">
        <v>989</v>
      </c>
      <c r="B134" s="124"/>
      <c r="C134" s="124"/>
      <c r="D134" s="53"/>
      <c r="E134" s="91"/>
      <c r="F134" s="943"/>
      <c r="G134" s="951"/>
      <c r="H134" s="921" t="s">
        <v>92</v>
      </c>
      <c r="I134" s="944"/>
      <c r="J134" s="945"/>
      <c r="K134" s="448"/>
      <c r="L134" s="224"/>
      <c r="M134" s="218"/>
      <c r="N134" s="952"/>
      <c r="O134" s="953"/>
      <c r="P134" s="964"/>
      <c r="Q134" s="388"/>
      <c r="R134" s="458"/>
      <c r="S134" s="955"/>
      <c r="T134" s="458"/>
      <c r="U134" s="458"/>
      <c r="V134" s="458"/>
      <c r="W134" s="458"/>
      <c r="X134" s="458"/>
      <c r="Y134" s="458"/>
      <c r="Z134" s="956"/>
      <c r="AA134" s="957"/>
      <c r="AB134" s="172" t="s">
        <v>1034</v>
      </c>
      <c r="AC134" s="958"/>
      <c r="AD134" s="958"/>
      <c r="AE134" s="965"/>
      <c r="AF134" s="949"/>
      <c r="AG134" s="950"/>
      <c r="AH134" s="950"/>
      <c r="AI134" s="949"/>
      <c r="AJ134" s="950"/>
      <c r="AK134" s="950"/>
      <c r="AL134" s="919"/>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50"/>
    </row>
    <row r="135" ht="11.25" customHeight="1">
      <c r="A135" s="124" t="s">
        <v>989</v>
      </c>
      <c r="B135" s="124"/>
      <c r="C135" s="124"/>
      <c r="D135" s="53"/>
      <c r="E135" s="91"/>
      <c r="F135" s="943"/>
      <c r="G135" s="951"/>
      <c r="H135" s="921" t="s">
        <v>92</v>
      </c>
      <c r="I135" s="944"/>
      <c r="J135" s="945"/>
      <c r="K135" s="448"/>
      <c r="L135" s="224"/>
      <c r="M135" s="218"/>
      <c r="N135" s="956"/>
      <c r="O135" s="957"/>
      <c r="P135" s="172" t="s">
        <v>1035</v>
      </c>
      <c r="Q135" s="957"/>
      <c r="R135" s="957"/>
      <c r="S135" s="957"/>
      <c r="T135" s="957"/>
      <c r="U135" s="957"/>
      <c r="V135" s="957"/>
      <c r="W135" s="957"/>
      <c r="X135" s="957"/>
      <c r="Y135" s="957"/>
      <c r="Z135" s="957"/>
      <c r="AA135" s="957"/>
      <c r="AB135" s="957"/>
      <c r="AC135" s="957"/>
      <c r="AD135" s="957"/>
      <c r="AE135" s="966"/>
      <c r="AF135" s="949"/>
      <c r="AG135" s="950"/>
      <c r="AH135" s="950"/>
      <c r="AI135" s="949"/>
      <c r="AJ135" s="950"/>
      <c r="AK135" s="950"/>
      <c r="AL135" s="919"/>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50"/>
    </row>
    <row r="136" ht="12" customHeight="1">
      <c r="A136" s="124" t="s">
        <v>989</v>
      </c>
      <c r="B136" s="124"/>
      <c r="C136" s="124"/>
      <c r="D136" s="53"/>
      <c r="E136" s="91"/>
      <c r="F136" s="971"/>
      <c r="G136" s="972"/>
      <c r="H136" s="972"/>
      <c r="I136" s="973" t="s">
        <v>1051</v>
      </c>
      <c r="J136" s="973"/>
      <c r="K136" s="973"/>
      <c r="L136" s="974"/>
      <c r="M136" s="974"/>
      <c r="N136" s="975"/>
      <c r="O136" s="975"/>
      <c r="P136" s="975"/>
      <c r="Q136" s="975"/>
      <c r="R136" s="975"/>
      <c r="S136" s="975"/>
      <c r="T136" s="975"/>
      <c r="U136" s="975"/>
      <c r="V136" s="975"/>
      <c r="W136" s="975"/>
      <c r="X136" s="975"/>
      <c r="Y136" s="975"/>
      <c r="Z136" s="975"/>
      <c r="AA136" s="975"/>
      <c r="AB136" s="975"/>
      <c r="AC136" s="975"/>
      <c r="AD136" s="975"/>
      <c r="AE136" s="975"/>
      <c r="AF136" s="975"/>
      <c r="AG136" s="974"/>
      <c r="AH136" s="974"/>
      <c r="AI136" s="975"/>
      <c r="AJ136" s="974"/>
      <c r="AK136" s="975"/>
      <c r="AL136" s="919"/>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50"/>
    </row>
    <row r="137" ht="0.75" customHeight="1">
      <c r="A137" s="124" t="s">
        <v>989</v>
      </c>
      <c r="B137" s="124"/>
      <c r="C137" s="124"/>
      <c r="D137" s="53"/>
      <c r="E137" s="91"/>
      <c r="F137" s="920">
        <v>2028</v>
      </c>
      <c r="G137" s="921"/>
      <c r="H137" s="922" t="s">
        <v>371</v>
      </c>
      <c r="I137" s="923"/>
      <c r="J137" s="160"/>
      <c r="K137" s="160"/>
      <c r="L137" s="924"/>
      <c r="M137" s="536"/>
      <c r="N137" s="925"/>
      <c r="O137" s="926"/>
      <c r="P137" s="925"/>
      <c r="Q137" s="925"/>
      <c r="R137" s="925"/>
      <c r="S137" s="925"/>
      <c r="T137" s="925"/>
      <c r="U137" s="925"/>
      <c r="V137" s="925"/>
      <c r="W137" s="925"/>
      <c r="X137" s="925"/>
      <c r="Y137" s="925"/>
      <c r="Z137" s="925"/>
      <c r="AA137" s="925"/>
      <c r="AB137" s="925"/>
      <c r="AC137" s="925"/>
      <c r="AD137" s="925"/>
      <c r="AE137" s="925"/>
      <c r="AF137" s="927"/>
      <c r="AG137" s="924"/>
      <c r="AH137" s="924"/>
      <c r="AI137" s="927"/>
      <c r="AJ137" s="924"/>
      <c r="AK137" s="924"/>
      <c r="AL137" s="919"/>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50"/>
    </row>
    <row r="138" ht="0.75" customHeight="1">
      <c r="A138" s="124" t="s">
        <v>989</v>
      </c>
      <c r="B138" s="124"/>
      <c r="C138" s="124"/>
      <c r="D138" s="53"/>
      <c r="E138" s="91"/>
      <c r="F138" s="920"/>
      <c r="G138" s="921"/>
      <c r="H138" s="922"/>
      <c r="I138" s="923"/>
      <c r="J138" s="160"/>
      <c r="K138" s="160"/>
      <c r="L138" s="924"/>
      <c r="M138" s="536"/>
      <c r="N138" s="928"/>
      <c r="O138" s="929"/>
      <c r="P138" s="930"/>
      <c r="Q138" s="160"/>
      <c r="R138" s="160"/>
      <c r="S138" s="160"/>
      <c r="T138" s="160"/>
      <c r="U138" s="160"/>
      <c r="V138" s="160"/>
      <c r="W138" s="160"/>
      <c r="X138" s="160"/>
      <c r="Y138" s="160"/>
      <c r="Z138" s="931"/>
      <c r="AA138" s="932"/>
      <c r="AB138" s="932"/>
      <c r="AC138" s="933"/>
      <c r="AD138" s="933"/>
      <c r="AE138" s="934"/>
      <c r="AF138" s="927"/>
      <c r="AG138" s="924"/>
      <c r="AH138" s="924"/>
      <c r="AI138" s="927"/>
      <c r="AJ138" s="924"/>
      <c r="AK138" s="924"/>
      <c r="AL138" s="919"/>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50"/>
    </row>
    <row r="139" ht="0.75" customHeight="1">
      <c r="A139" s="124" t="s">
        <v>989</v>
      </c>
      <c r="B139" s="124"/>
      <c r="C139" s="124"/>
      <c r="D139" s="53"/>
      <c r="E139" s="91"/>
      <c r="F139" s="920"/>
      <c r="G139" s="921"/>
      <c r="H139" s="922"/>
      <c r="I139" s="923"/>
      <c r="J139" s="160"/>
      <c r="K139" s="160"/>
      <c r="L139" s="924"/>
      <c r="M139" s="536"/>
      <c r="N139" s="928"/>
      <c r="O139" s="929"/>
      <c r="P139" s="935"/>
      <c r="Q139" s="160"/>
      <c r="R139" s="160"/>
      <c r="S139" s="160"/>
      <c r="T139" s="160"/>
      <c r="U139" s="160"/>
      <c r="V139" s="160"/>
      <c r="W139" s="160"/>
      <c r="X139" s="160"/>
      <c r="Y139" s="160"/>
      <c r="Z139" s="936"/>
      <c r="AA139" s="929"/>
      <c r="AB139" s="937"/>
      <c r="AC139" s="938"/>
      <c r="AD139" s="937"/>
      <c r="AE139" s="938"/>
      <c r="AF139" s="927"/>
      <c r="AG139" s="924"/>
      <c r="AH139" s="924"/>
      <c r="AI139" s="927"/>
      <c r="AJ139" s="924"/>
      <c r="AK139" s="924"/>
      <c r="AL139" s="919"/>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50"/>
    </row>
    <row r="140" ht="0.75" customHeight="1">
      <c r="A140" s="124" t="s">
        <v>989</v>
      </c>
      <c r="B140" s="124"/>
      <c r="C140" s="124"/>
      <c r="D140" s="53"/>
      <c r="E140" s="91"/>
      <c r="F140" s="920"/>
      <c r="G140" s="921"/>
      <c r="H140" s="922"/>
      <c r="I140" s="923"/>
      <c r="J140" s="160"/>
      <c r="K140" s="160"/>
      <c r="L140" s="924"/>
      <c r="M140" s="536"/>
      <c r="N140" s="928"/>
      <c r="O140" s="929"/>
      <c r="P140" s="939"/>
      <c r="Q140" s="160"/>
      <c r="R140" s="160"/>
      <c r="S140" s="160"/>
      <c r="T140" s="160"/>
      <c r="U140" s="160"/>
      <c r="V140" s="160"/>
      <c r="W140" s="160"/>
      <c r="X140" s="160"/>
      <c r="Y140" s="160"/>
      <c r="Z140" s="931"/>
      <c r="AA140" s="932"/>
      <c r="AB140" s="940"/>
      <c r="AC140" s="933"/>
      <c r="AD140" s="933"/>
      <c r="AE140" s="941"/>
      <c r="AF140" s="927"/>
      <c r="AG140" s="924"/>
      <c r="AH140" s="924"/>
      <c r="AI140" s="927"/>
      <c r="AJ140" s="924"/>
      <c r="AK140" s="924"/>
      <c r="AL140" s="919"/>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50"/>
    </row>
    <row r="141" ht="0.75" customHeight="1">
      <c r="A141" s="124" t="s">
        <v>989</v>
      </c>
      <c r="B141" s="124"/>
      <c r="C141" s="124"/>
      <c r="D141" s="53"/>
      <c r="E141" s="91"/>
      <c r="F141" s="920"/>
      <c r="G141" s="921"/>
      <c r="H141" s="922"/>
      <c r="I141" s="923"/>
      <c r="J141" s="160"/>
      <c r="K141" s="160"/>
      <c r="L141" s="924"/>
      <c r="M141" s="536"/>
      <c r="N141" s="932"/>
      <c r="O141" s="932"/>
      <c r="P141" s="940"/>
      <c r="Q141" s="932"/>
      <c r="R141" s="932"/>
      <c r="S141" s="932"/>
      <c r="T141" s="932"/>
      <c r="U141" s="932"/>
      <c r="V141" s="932"/>
      <c r="W141" s="932"/>
      <c r="X141" s="932"/>
      <c r="Y141" s="932"/>
      <c r="Z141" s="932"/>
      <c r="AA141" s="932"/>
      <c r="AB141" s="932"/>
      <c r="AC141" s="932"/>
      <c r="AD141" s="932"/>
      <c r="AE141" s="942"/>
      <c r="AF141" s="927"/>
      <c r="AG141" s="924"/>
      <c r="AH141" s="924"/>
      <c r="AI141" s="927"/>
      <c r="AJ141" s="924"/>
      <c r="AK141" s="924"/>
      <c r="AL141" s="919"/>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50"/>
    </row>
    <row r="142" ht="11.25" customHeight="1">
      <c r="A142" s="124" t="s">
        <v>989</v>
      </c>
      <c r="B142" s="124" t="s">
        <v>22</v>
      </c>
      <c r="C142" s="124"/>
      <c r="D142" s="53"/>
      <c r="E142" s="91"/>
      <c r="F142" s="943"/>
      <c r="G142" s="149" t="s">
        <v>684</v>
      </c>
      <c r="H142" s="921" t="s">
        <v>106</v>
      </c>
      <c r="I142" s="944" t="s">
        <v>1021</v>
      </c>
      <c r="J142" s="945" t="s">
        <v>22</v>
      </c>
      <c r="K142" s="448" t="s">
        <v>1022</v>
      </c>
      <c r="L142" s="224" t="s">
        <v>19</v>
      </c>
      <c r="M142" s="218"/>
      <c r="N142" s="946"/>
      <c r="O142" s="947" t="s">
        <v>371</v>
      </c>
      <c r="P142" s="948"/>
      <c r="Q142" s="948"/>
      <c r="R142" s="948"/>
      <c r="S142" s="948"/>
      <c r="T142" s="948"/>
      <c r="U142" s="948"/>
      <c r="V142" s="948"/>
      <c r="W142" s="948"/>
      <c r="X142" s="948"/>
      <c r="Y142" s="948"/>
      <c r="Z142" s="948"/>
      <c r="AA142" s="948"/>
      <c r="AB142" s="948"/>
      <c r="AC142" s="948"/>
      <c r="AD142" s="948"/>
      <c r="AE142" s="948"/>
      <c r="AF142" s="949">
        <v>5</v>
      </c>
      <c r="AG142" s="950" t="s">
        <v>1023</v>
      </c>
      <c r="AH142" s="950" t="s">
        <v>1024</v>
      </c>
      <c r="AI142" s="949"/>
      <c r="AJ142" s="950"/>
      <c r="AK142" s="950"/>
      <c r="AL142" s="919"/>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50"/>
    </row>
    <row r="143" ht="11.25" customHeight="1">
      <c r="A143" s="124" t="s">
        <v>989</v>
      </c>
      <c r="B143" s="124"/>
      <c r="C143" s="124"/>
      <c r="D143" s="53"/>
      <c r="E143" s="91"/>
      <c r="F143" s="943"/>
      <c r="G143" s="951"/>
      <c r="H143" s="921" t="s">
        <v>371</v>
      </c>
      <c r="I143" s="944"/>
      <c r="J143" s="945"/>
      <c r="K143" s="448"/>
      <c r="L143" s="224"/>
      <c r="M143" s="218"/>
      <c r="N143" s="952"/>
      <c r="O143" s="953">
        <v>1</v>
      </c>
      <c r="P143" s="954" t="s">
        <v>65</v>
      </c>
      <c r="Q143" s="388" t="s">
        <v>1025</v>
      </c>
      <c r="R143" s="955" t="s">
        <v>1026</v>
      </c>
      <c r="S143" s="955" t="s">
        <v>1027</v>
      </c>
      <c r="T143" s="955" t="s">
        <v>1027</v>
      </c>
      <c r="U143" s="955" t="s">
        <v>1028</v>
      </c>
      <c r="V143" s="955" t="s">
        <v>1029</v>
      </c>
      <c r="W143" s="955" t="s">
        <v>1030</v>
      </c>
      <c r="X143" s="955" t="s">
        <v>1031</v>
      </c>
      <c r="Y143" s="955" t="s">
        <v>1032</v>
      </c>
      <c r="Z143" s="956"/>
      <c r="AA143" s="957"/>
      <c r="AB143" s="957"/>
      <c r="AC143" s="958"/>
      <c r="AD143" s="958"/>
      <c r="AE143" s="959"/>
      <c r="AF143" s="949"/>
      <c r="AG143" s="950"/>
      <c r="AH143" s="950"/>
      <c r="AI143" s="949"/>
      <c r="AJ143" s="950"/>
      <c r="AK143" s="950"/>
      <c r="AL143" s="919"/>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50"/>
    </row>
    <row r="144" ht="11.25" customHeight="1">
      <c r="A144" s="124" t="s">
        <v>989</v>
      </c>
      <c r="B144" s="124"/>
      <c r="C144" s="124"/>
      <c r="D144" s="53"/>
      <c r="E144" s="91"/>
      <c r="F144" s="943"/>
      <c r="G144" s="951"/>
      <c r="H144" s="921" t="s">
        <v>371</v>
      </c>
      <c r="I144" s="944"/>
      <c r="J144" s="945"/>
      <c r="K144" s="448"/>
      <c r="L144" s="224"/>
      <c r="M144" s="218"/>
      <c r="N144" s="952"/>
      <c r="O144" s="953"/>
      <c r="P144" s="960"/>
      <c r="Q144" s="388"/>
      <c r="R144" s="458"/>
      <c r="S144" s="955"/>
      <c r="T144" s="458"/>
      <c r="U144" s="458"/>
      <c r="V144" s="458"/>
      <c r="W144" s="458"/>
      <c r="X144" s="458"/>
      <c r="Y144" s="458"/>
      <c r="Z144" s="961"/>
      <c r="AA144" s="962">
        <v>1</v>
      </c>
      <c r="AB144" s="963" t="s">
        <v>1033</v>
      </c>
      <c r="AC144" s="856">
        <v>1561.999</v>
      </c>
      <c r="AD144" s="963" t="str">
        <f t="shared" si="50"/>
        <v xml:space="preserve">      Амортизационные отчисления с выделением результатов переоценки основных средств и нематериальных активов</v>
      </c>
      <c r="AE144" s="856"/>
      <c r="AF144" s="949"/>
      <c r="AG144" s="950"/>
      <c r="AH144" s="950"/>
      <c r="AI144" s="949"/>
      <c r="AJ144" s="950"/>
      <c r="AK144" s="950"/>
      <c r="AL144" s="919"/>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50"/>
    </row>
    <row r="145" ht="11.25" customHeight="1">
      <c r="A145" s="124" t="s">
        <v>989</v>
      </c>
      <c r="B145" s="124"/>
      <c r="C145" s="124"/>
      <c r="D145" s="53"/>
      <c r="E145" s="91"/>
      <c r="F145" s="943"/>
      <c r="G145" s="951"/>
      <c r="H145" s="921" t="s">
        <v>371</v>
      </c>
      <c r="I145" s="944"/>
      <c r="J145" s="945"/>
      <c r="K145" s="448"/>
      <c r="L145" s="224"/>
      <c r="M145" s="218"/>
      <c r="N145" s="952"/>
      <c r="O145" s="953"/>
      <c r="P145" s="964"/>
      <c r="Q145" s="388"/>
      <c r="R145" s="458"/>
      <c r="S145" s="955"/>
      <c r="T145" s="458"/>
      <c r="U145" s="458"/>
      <c r="V145" s="458"/>
      <c r="W145" s="458"/>
      <c r="X145" s="458"/>
      <c r="Y145" s="458"/>
      <c r="Z145" s="956"/>
      <c r="AA145" s="957"/>
      <c r="AB145" s="172" t="s">
        <v>1034</v>
      </c>
      <c r="AC145" s="958"/>
      <c r="AD145" s="958"/>
      <c r="AE145" s="965"/>
      <c r="AF145" s="949"/>
      <c r="AG145" s="950"/>
      <c r="AH145" s="950"/>
      <c r="AI145" s="949"/>
      <c r="AJ145" s="950"/>
      <c r="AK145" s="950"/>
      <c r="AL145" s="919"/>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50"/>
    </row>
    <row r="146" ht="11.25" customHeight="1">
      <c r="A146" s="124" t="s">
        <v>989</v>
      </c>
      <c r="B146" s="124"/>
      <c r="C146" s="124"/>
      <c r="D146" s="53"/>
      <c r="E146" s="91"/>
      <c r="F146" s="943"/>
      <c r="G146" s="951"/>
      <c r="H146" s="921" t="s">
        <v>371</v>
      </c>
      <c r="I146" s="944"/>
      <c r="J146" s="945"/>
      <c r="K146" s="448"/>
      <c r="L146" s="224"/>
      <c r="M146" s="218"/>
      <c r="N146" s="956"/>
      <c r="O146" s="957"/>
      <c r="P146" s="172" t="s">
        <v>1035</v>
      </c>
      <c r="Q146" s="957"/>
      <c r="R146" s="957"/>
      <c r="S146" s="957"/>
      <c r="T146" s="957"/>
      <c r="U146" s="957"/>
      <c r="V146" s="957"/>
      <c r="W146" s="957"/>
      <c r="X146" s="957"/>
      <c r="Y146" s="957"/>
      <c r="Z146" s="957"/>
      <c r="AA146" s="957"/>
      <c r="AB146" s="957"/>
      <c r="AC146" s="957"/>
      <c r="AD146" s="957"/>
      <c r="AE146" s="966"/>
      <c r="AF146" s="949"/>
      <c r="AG146" s="950"/>
      <c r="AH146" s="950"/>
      <c r="AI146" s="949"/>
      <c r="AJ146" s="950"/>
      <c r="AK146" s="950"/>
      <c r="AL146" s="919"/>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50"/>
    </row>
    <row r="147" ht="11.25" customHeight="1">
      <c r="A147" s="124" t="s">
        <v>989</v>
      </c>
      <c r="B147" s="124" t="s">
        <v>1036</v>
      </c>
      <c r="C147" s="124"/>
      <c r="D147" s="53"/>
      <c r="E147" s="91"/>
      <c r="F147" s="943"/>
      <c r="G147" s="149" t="s">
        <v>684</v>
      </c>
      <c r="H147" s="921" t="s">
        <v>107</v>
      </c>
      <c r="I147" s="944" t="s">
        <v>1037</v>
      </c>
      <c r="J147" s="388" t="s">
        <v>1038</v>
      </c>
      <c r="K147" s="448" t="s">
        <v>1039</v>
      </c>
      <c r="L147" s="224" t="s">
        <v>19</v>
      </c>
      <c r="M147" s="218"/>
      <c r="N147" s="946"/>
      <c r="O147" s="947" t="s">
        <v>371</v>
      </c>
      <c r="P147" s="948"/>
      <c r="Q147" s="948"/>
      <c r="R147" s="948"/>
      <c r="S147" s="948"/>
      <c r="T147" s="948"/>
      <c r="U147" s="948"/>
      <c r="V147" s="948"/>
      <c r="W147" s="948"/>
      <c r="X147" s="948"/>
      <c r="Y147" s="948"/>
      <c r="Z147" s="948"/>
      <c r="AA147" s="948"/>
      <c r="AB147" s="948"/>
      <c r="AC147" s="948"/>
      <c r="AD147" s="948"/>
      <c r="AE147" s="948"/>
      <c r="AF147" s="949">
        <v>3</v>
      </c>
      <c r="AG147" s="950" t="s">
        <v>1023</v>
      </c>
      <c r="AH147" s="950" t="s">
        <v>1040</v>
      </c>
      <c r="AI147" s="949"/>
      <c r="AJ147" s="950"/>
      <c r="AK147" s="950"/>
      <c r="AL147" s="919"/>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50"/>
    </row>
    <row r="148" ht="11.25" customHeight="1">
      <c r="A148" s="124" t="s">
        <v>989</v>
      </c>
      <c r="B148" s="124"/>
      <c r="C148" s="124"/>
      <c r="D148" s="53"/>
      <c r="E148" s="91"/>
      <c r="F148" s="943"/>
      <c r="G148" s="951"/>
      <c r="H148" s="921" t="s">
        <v>106</v>
      </c>
      <c r="I148" s="944"/>
      <c r="J148" s="388"/>
      <c r="K148" s="448"/>
      <c r="L148" s="224"/>
      <c r="M148" s="218"/>
      <c r="N148" s="952"/>
      <c r="O148" s="953">
        <v>1</v>
      </c>
      <c r="P148" s="954" t="s">
        <v>65</v>
      </c>
      <c r="Q148" s="388" t="s">
        <v>1025</v>
      </c>
      <c r="R148" s="955" t="s">
        <v>1026</v>
      </c>
      <c r="S148" s="955" t="s">
        <v>1027</v>
      </c>
      <c r="T148" s="955" t="s">
        <v>1027</v>
      </c>
      <c r="U148" s="955" t="s">
        <v>1028</v>
      </c>
      <c r="V148" s="955" t="s">
        <v>1029</v>
      </c>
      <c r="W148" s="955" t="s">
        <v>1030</v>
      </c>
      <c r="X148" s="955" t="s">
        <v>1031</v>
      </c>
      <c r="Y148" s="955" t="s">
        <v>1032</v>
      </c>
      <c r="Z148" s="956"/>
      <c r="AA148" s="957"/>
      <c r="AB148" s="957"/>
      <c r="AC148" s="958"/>
      <c r="AD148" s="958"/>
      <c r="AE148" s="959"/>
      <c r="AF148" s="949"/>
      <c r="AG148" s="950"/>
      <c r="AH148" s="950"/>
      <c r="AI148" s="949"/>
      <c r="AJ148" s="950"/>
      <c r="AK148" s="950"/>
      <c r="AL148" s="919"/>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50"/>
    </row>
    <row r="149" ht="11.25" customHeight="1">
      <c r="A149" s="124" t="s">
        <v>989</v>
      </c>
      <c r="B149" s="124"/>
      <c r="C149" s="124"/>
      <c r="D149" s="53"/>
      <c r="E149" s="91"/>
      <c r="F149" s="943"/>
      <c r="G149" s="951"/>
      <c r="H149" s="921" t="s">
        <v>106</v>
      </c>
      <c r="I149" s="944"/>
      <c r="J149" s="388"/>
      <c r="K149" s="448"/>
      <c r="L149" s="224"/>
      <c r="M149" s="218"/>
      <c r="N149" s="952"/>
      <c r="O149" s="953"/>
      <c r="P149" s="960"/>
      <c r="Q149" s="388"/>
      <c r="R149" s="458"/>
      <c r="S149" s="955"/>
      <c r="T149" s="458"/>
      <c r="U149" s="458"/>
      <c r="V149" s="458"/>
      <c r="W149" s="458"/>
      <c r="X149" s="458"/>
      <c r="Y149" s="458"/>
      <c r="Z149" s="961"/>
      <c r="AA149" s="962">
        <v>1</v>
      </c>
      <c r="AB149" s="963" t="s">
        <v>1033</v>
      </c>
      <c r="AC149" s="856">
        <v>712.74099999999999</v>
      </c>
      <c r="AD149" s="963" t="str">
        <f t="shared" si="50"/>
        <v xml:space="preserve">      Амортизационные отчисления с выделением результатов переоценки основных средств и нематериальных активов</v>
      </c>
      <c r="AE149" s="856"/>
      <c r="AF149" s="949"/>
      <c r="AG149" s="950"/>
      <c r="AH149" s="950"/>
      <c r="AI149" s="949"/>
      <c r="AJ149" s="950"/>
      <c r="AK149" s="950"/>
      <c r="AL149" s="919"/>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50"/>
    </row>
    <row r="150" ht="11.25" customHeight="1">
      <c r="A150" s="124" t="s">
        <v>989</v>
      </c>
      <c r="B150" s="124"/>
      <c r="C150" s="124"/>
      <c r="D150" s="53"/>
      <c r="E150" s="91"/>
      <c r="F150" s="951"/>
      <c r="G150" s="951"/>
      <c r="H150" s="951"/>
      <c r="I150" s="951"/>
      <c r="J150" s="951"/>
      <c r="K150" s="951"/>
      <c r="L150" s="951"/>
      <c r="M150" s="951"/>
      <c r="N150" s="951"/>
      <c r="O150" s="951"/>
      <c r="P150" s="951"/>
      <c r="Q150" s="951"/>
      <c r="R150" s="951"/>
      <c r="S150" s="951"/>
      <c r="T150" s="951"/>
      <c r="U150" s="951"/>
      <c r="V150" s="951"/>
      <c r="W150" s="951"/>
      <c r="X150" s="951"/>
      <c r="Y150" s="951"/>
      <c r="Z150" s="149" t="s">
        <v>684</v>
      </c>
      <c r="AA150" s="953" t="s">
        <v>107</v>
      </c>
      <c r="AB150" s="963" t="s">
        <v>1041</v>
      </c>
      <c r="AC150" s="856">
        <v>7327.6850000000004</v>
      </c>
      <c r="AD150" s="963" t="str">
        <f t="shared" si="50"/>
        <v xml:space="preserve">  Прочие собственные средства</v>
      </c>
      <c r="AE150" s="856"/>
      <c r="AF150" s="968"/>
      <c r="AG150" s="969"/>
      <c r="AH150" s="969"/>
      <c r="AI150" s="968"/>
      <c r="AJ150" s="969"/>
      <c r="AK150" s="970"/>
      <c r="AL150" s="919"/>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50"/>
    </row>
    <row r="151" ht="11.25" customHeight="1">
      <c r="A151" s="124" t="s">
        <v>989</v>
      </c>
      <c r="B151" s="124"/>
      <c r="C151" s="124"/>
      <c r="D151" s="53"/>
      <c r="E151" s="91"/>
      <c r="F151" s="943"/>
      <c r="G151" s="951"/>
      <c r="H151" s="921" t="s">
        <v>106</v>
      </c>
      <c r="I151" s="944"/>
      <c r="J151" s="388"/>
      <c r="K151" s="448"/>
      <c r="L151" s="224"/>
      <c r="M151" s="218"/>
      <c r="N151" s="952"/>
      <c r="O151" s="953"/>
      <c r="P151" s="964"/>
      <c r="Q151" s="388"/>
      <c r="R151" s="458"/>
      <c r="S151" s="955"/>
      <c r="T151" s="458"/>
      <c r="U151" s="458"/>
      <c r="V151" s="458"/>
      <c r="W151" s="458"/>
      <c r="X151" s="458"/>
      <c r="Y151" s="458"/>
      <c r="Z151" s="956"/>
      <c r="AA151" s="957"/>
      <c r="AB151" s="172" t="s">
        <v>1034</v>
      </c>
      <c r="AC151" s="958"/>
      <c r="AD151" s="958"/>
      <c r="AE151" s="965"/>
      <c r="AF151" s="949"/>
      <c r="AG151" s="950"/>
      <c r="AH151" s="950"/>
      <c r="AI151" s="949"/>
      <c r="AJ151" s="950"/>
      <c r="AK151" s="950"/>
      <c r="AL151" s="919"/>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50"/>
    </row>
    <row r="152" ht="11.25" customHeight="1">
      <c r="A152" s="124" t="s">
        <v>989</v>
      </c>
      <c r="B152" s="124"/>
      <c r="C152" s="124"/>
      <c r="D152" s="53"/>
      <c r="E152" s="91"/>
      <c r="F152" s="943"/>
      <c r="G152" s="951"/>
      <c r="H152" s="921" t="s">
        <v>106</v>
      </c>
      <c r="I152" s="944"/>
      <c r="J152" s="388"/>
      <c r="K152" s="448"/>
      <c r="L152" s="224"/>
      <c r="M152" s="218"/>
      <c r="N152" s="956"/>
      <c r="O152" s="957"/>
      <c r="P152" s="172" t="s">
        <v>1035</v>
      </c>
      <c r="Q152" s="957"/>
      <c r="R152" s="957"/>
      <c r="S152" s="957"/>
      <c r="T152" s="957"/>
      <c r="U152" s="957"/>
      <c r="V152" s="957"/>
      <c r="W152" s="957"/>
      <c r="X152" s="957"/>
      <c r="Y152" s="957"/>
      <c r="Z152" s="957"/>
      <c r="AA152" s="957"/>
      <c r="AB152" s="957"/>
      <c r="AC152" s="957"/>
      <c r="AD152" s="957"/>
      <c r="AE152" s="966"/>
      <c r="AF152" s="949"/>
      <c r="AG152" s="950"/>
      <c r="AH152" s="950"/>
      <c r="AI152" s="949"/>
      <c r="AJ152" s="950"/>
      <c r="AK152" s="950"/>
      <c r="AL152" s="919"/>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50"/>
    </row>
    <row r="153" ht="11.25" customHeight="1">
      <c r="A153" s="124" t="s">
        <v>989</v>
      </c>
      <c r="B153" s="124" t="s">
        <v>1036</v>
      </c>
      <c r="C153" s="124"/>
      <c r="D153" s="53"/>
      <c r="E153" s="91"/>
      <c r="F153" s="943"/>
      <c r="G153" s="149" t="s">
        <v>684</v>
      </c>
      <c r="H153" s="921" t="s">
        <v>90</v>
      </c>
      <c r="I153" s="944" t="s">
        <v>1037</v>
      </c>
      <c r="J153" s="388" t="s">
        <v>1038</v>
      </c>
      <c r="K153" s="448" t="s">
        <v>1042</v>
      </c>
      <c r="L153" s="224" t="s">
        <v>19</v>
      </c>
      <c r="M153" s="218"/>
      <c r="N153" s="946"/>
      <c r="O153" s="947" t="s">
        <v>371</v>
      </c>
      <c r="P153" s="948"/>
      <c r="Q153" s="948"/>
      <c r="R153" s="948"/>
      <c r="S153" s="948"/>
      <c r="T153" s="948"/>
      <c r="U153" s="948"/>
      <c r="V153" s="948"/>
      <c r="W153" s="948"/>
      <c r="X153" s="948"/>
      <c r="Y153" s="948"/>
      <c r="Z153" s="948"/>
      <c r="AA153" s="948"/>
      <c r="AB153" s="948"/>
      <c r="AC153" s="948"/>
      <c r="AD153" s="948"/>
      <c r="AE153" s="948"/>
      <c r="AF153" s="949">
        <v>4</v>
      </c>
      <c r="AG153" s="950" t="s">
        <v>1023</v>
      </c>
      <c r="AH153" s="950" t="s">
        <v>1043</v>
      </c>
      <c r="AI153" s="949"/>
      <c r="AJ153" s="950"/>
      <c r="AK153" s="950"/>
      <c r="AL153" s="919"/>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50"/>
    </row>
    <row r="154" ht="11.25" customHeight="1">
      <c r="A154" s="124" t="s">
        <v>989</v>
      </c>
      <c r="B154" s="124"/>
      <c r="C154" s="124"/>
      <c r="D154" s="53"/>
      <c r="E154" s="91"/>
      <c r="F154" s="943"/>
      <c r="G154" s="951"/>
      <c r="H154" s="921" t="s">
        <v>107</v>
      </c>
      <c r="I154" s="944"/>
      <c r="J154" s="388"/>
      <c r="K154" s="448"/>
      <c r="L154" s="224"/>
      <c r="M154" s="218"/>
      <c r="N154" s="952"/>
      <c r="O154" s="953">
        <v>1</v>
      </c>
      <c r="P154" s="954" t="s">
        <v>65</v>
      </c>
      <c r="Q154" s="388" t="s">
        <v>1025</v>
      </c>
      <c r="R154" s="955" t="s">
        <v>1026</v>
      </c>
      <c r="S154" s="955" t="s">
        <v>1027</v>
      </c>
      <c r="T154" s="955" t="s">
        <v>1027</v>
      </c>
      <c r="U154" s="955" t="s">
        <v>1028</v>
      </c>
      <c r="V154" s="955" t="s">
        <v>1029</v>
      </c>
      <c r="W154" s="955" t="s">
        <v>1030</v>
      </c>
      <c r="X154" s="955" t="s">
        <v>1031</v>
      </c>
      <c r="Y154" s="955" t="s">
        <v>1032</v>
      </c>
      <c r="Z154" s="956"/>
      <c r="AA154" s="957"/>
      <c r="AB154" s="957"/>
      <c r="AC154" s="958"/>
      <c r="AD154" s="958"/>
      <c r="AE154" s="959"/>
      <c r="AF154" s="949"/>
      <c r="AG154" s="950"/>
      <c r="AH154" s="950"/>
      <c r="AI154" s="949"/>
      <c r="AJ154" s="950"/>
      <c r="AK154" s="950"/>
      <c r="AL154" s="919"/>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50"/>
    </row>
    <row r="155" ht="11.25" customHeight="1">
      <c r="A155" s="124" t="s">
        <v>989</v>
      </c>
      <c r="B155" s="124"/>
      <c r="C155" s="124"/>
      <c r="D155" s="53"/>
      <c r="E155" s="91"/>
      <c r="F155" s="943"/>
      <c r="G155" s="951"/>
      <c r="H155" s="921" t="s">
        <v>107</v>
      </c>
      <c r="I155" s="944"/>
      <c r="J155" s="388"/>
      <c r="K155" s="448"/>
      <c r="L155" s="224"/>
      <c r="M155" s="218"/>
      <c r="N155" s="952"/>
      <c r="O155" s="953"/>
      <c r="P155" s="960"/>
      <c r="Q155" s="388"/>
      <c r="R155" s="458"/>
      <c r="S155" s="955"/>
      <c r="T155" s="458"/>
      <c r="U155" s="458"/>
      <c r="V155" s="458"/>
      <c r="W155" s="458"/>
      <c r="X155" s="458"/>
      <c r="Y155" s="458"/>
      <c r="Z155" s="961"/>
      <c r="AA155" s="962">
        <v>1</v>
      </c>
      <c r="AB155" s="963" t="s">
        <v>1033</v>
      </c>
      <c r="AC155" s="856">
        <v>21101.567999999999</v>
      </c>
      <c r="AD155" s="963" t="str">
        <f t="shared" si="50"/>
        <v xml:space="preserve">      Амортизационные отчисления с выделением результатов переоценки основных средств и нематериальных активов</v>
      </c>
      <c r="AE155" s="856"/>
      <c r="AF155" s="949"/>
      <c r="AG155" s="950"/>
      <c r="AH155" s="950"/>
      <c r="AI155" s="949"/>
      <c r="AJ155" s="950"/>
      <c r="AK155" s="950"/>
      <c r="AL155" s="919"/>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50"/>
    </row>
    <row r="156" ht="11.25" customHeight="1">
      <c r="A156" s="124" t="s">
        <v>989</v>
      </c>
      <c r="B156" s="124"/>
      <c r="C156" s="124"/>
      <c r="D156" s="53"/>
      <c r="E156" s="91"/>
      <c r="F156" s="943"/>
      <c r="G156" s="951"/>
      <c r="H156" s="921" t="s">
        <v>107</v>
      </c>
      <c r="I156" s="944"/>
      <c r="J156" s="388"/>
      <c r="K156" s="448"/>
      <c r="L156" s="224"/>
      <c r="M156" s="218"/>
      <c r="N156" s="952"/>
      <c r="O156" s="953"/>
      <c r="P156" s="964"/>
      <c r="Q156" s="388"/>
      <c r="R156" s="458"/>
      <c r="S156" s="955"/>
      <c r="T156" s="458"/>
      <c r="U156" s="458"/>
      <c r="V156" s="458"/>
      <c r="W156" s="458"/>
      <c r="X156" s="458"/>
      <c r="Y156" s="458"/>
      <c r="Z156" s="956"/>
      <c r="AA156" s="957"/>
      <c r="AB156" s="172" t="s">
        <v>1034</v>
      </c>
      <c r="AC156" s="958"/>
      <c r="AD156" s="958"/>
      <c r="AE156" s="965"/>
      <c r="AF156" s="949"/>
      <c r="AG156" s="950"/>
      <c r="AH156" s="950"/>
      <c r="AI156" s="949"/>
      <c r="AJ156" s="950"/>
      <c r="AK156" s="950"/>
      <c r="AL156" s="919"/>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50"/>
    </row>
    <row r="157" ht="11.25" customHeight="1">
      <c r="A157" s="124" t="s">
        <v>989</v>
      </c>
      <c r="B157" s="124"/>
      <c r="C157" s="124"/>
      <c r="D157" s="53"/>
      <c r="E157" s="91"/>
      <c r="F157" s="943"/>
      <c r="G157" s="951"/>
      <c r="H157" s="921" t="s">
        <v>107</v>
      </c>
      <c r="I157" s="944"/>
      <c r="J157" s="388"/>
      <c r="K157" s="448"/>
      <c r="L157" s="224"/>
      <c r="M157" s="218"/>
      <c r="N157" s="956"/>
      <c r="O157" s="957"/>
      <c r="P157" s="172" t="s">
        <v>1035</v>
      </c>
      <c r="Q157" s="957"/>
      <c r="R157" s="957"/>
      <c r="S157" s="957"/>
      <c r="T157" s="957"/>
      <c r="U157" s="957"/>
      <c r="V157" s="957"/>
      <c r="W157" s="957"/>
      <c r="X157" s="957"/>
      <c r="Y157" s="957"/>
      <c r="Z157" s="957"/>
      <c r="AA157" s="957"/>
      <c r="AB157" s="957"/>
      <c r="AC157" s="957"/>
      <c r="AD157" s="957"/>
      <c r="AE157" s="966"/>
      <c r="AF157" s="949"/>
      <c r="AG157" s="950"/>
      <c r="AH157" s="950"/>
      <c r="AI157" s="949"/>
      <c r="AJ157" s="950"/>
      <c r="AK157" s="950"/>
      <c r="AL157" s="919"/>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50"/>
    </row>
    <row r="158" ht="11.25" customHeight="1">
      <c r="A158" s="124" t="s">
        <v>989</v>
      </c>
      <c r="B158" s="124" t="s">
        <v>1036</v>
      </c>
      <c r="C158" s="124"/>
      <c r="D158" s="53"/>
      <c r="E158" s="91"/>
      <c r="F158" s="943"/>
      <c r="G158" s="149" t="s">
        <v>684</v>
      </c>
      <c r="H158" s="921" t="s">
        <v>91</v>
      </c>
      <c r="I158" s="944" t="s">
        <v>1037</v>
      </c>
      <c r="J158" s="388" t="s">
        <v>1038</v>
      </c>
      <c r="K158" s="448" t="s">
        <v>1044</v>
      </c>
      <c r="L158" s="224" t="s">
        <v>19</v>
      </c>
      <c r="M158" s="218"/>
      <c r="N158" s="946"/>
      <c r="O158" s="947" t="s">
        <v>371</v>
      </c>
      <c r="P158" s="948"/>
      <c r="Q158" s="948"/>
      <c r="R158" s="948"/>
      <c r="S158" s="948"/>
      <c r="T158" s="948"/>
      <c r="U158" s="948"/>
      <c r="V158" s="948"/>
      <c r="W158" s="948"/>
      <c r="X158" s="948"/>
      <c r="Y158" s="948"/>
      <c r="Z158" s="948"/>
      <c r="AA158" s="948"/>
      <c r="AB158" s="948"/>
      <c r="AC158" s="948"/>
      <c r="AD158" s="948"/>
      <c r="AE158" s="948"/>
      <c r="AF158" s="949">
        <v>5</v>
      </c>
      <c r="AG158" s="950" t="s">
        <v>1023</v>
      </c>
      <c r="AH158" s="950" t="s">
        <v>1024</v>
      </c>
      <c r="AI158" s="949"/>
      <c r="AJ158" s="950"/>
      <c r="AK158" s="950"/>
      <c r="AL158" s="919"/>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50"/>
    </row>
    <row r="159" ht="11.25" customHeight="1">
      <c r="A159" s="124" t="s">
        <v>989</v>
      </c>
      <c r="B159" s="124"/>
      <c r="C159" s="124"/>
      <c r="D159" s="53"/>
      <c r="E159" s="91"/>
      <c r="F159" s="943"/>
      <c r="G159" s="951"/>
      <c r="H159" s="921" t="s">
        <v>90</v>
      </c>
      <c r="I159" s="944"/>
      <c r="J159" s="388"/>
      <c r="K159" s="448"/>
      <c r="L159" s="224"/>
      <c r="M159" s="218"/>
      <c r="N159" s="952"/>
      <c r="O159" s="953">
        <v>1</v>
      </c>
      <c r="P159" s="954" t="s">
        <v>65</v>
      </c>
      <c r="Q159" s="388" t="s">
        <v>1025</v>
      </c>
      <c r="R159" s="955" t="s">
        <v>1026</v>
      </c>
      <c r="S159" s="955" t="s">
        <v>1027</v>
      </c>
      <c r="T159" s="955" t="s">
        <v>1027</v>
      </c>
      <c r="U159" s="955" t="s">
        <v>1028</v>
      </c>
      <c r="V159" s="955" t="s">
        <v>1029</v>
      </c>
      <c r="W159" s="955" t="s">
        <v>1030</v>
      </c>
      <c r="X159" s="955" t="s">
        <v>1031</v>
      </c>
      <c r="Y159" s="955" t="s">
        <v>1032</v>
      </c>
      <c r="Z159" s="956"/>
      <c r="AA159" s="957"/>
      <c r="AB159" s="957"/>
      <c r="AC159" s="958"/>
      <c r="AD159" s="958"/>
      <c r="AE159" s="959"/>
      <c r="AF159" s="949"/>
      <c r="AG159" s="950"/>
      <c r="AH159" s="950"/>
      <c r="AI159" s="949"/>
      <c r="AJ159" s="950"/>
      <c r="AK159" s="950"/>
      <c r="AL159" s="919"/>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50"/>
    </row>
    <row r="160" ht="11.25" customHeight="1">
      <c r="A160" s="124" t="s">
        <v>989</v>
      </c>
      <c r="B160" s="124"/>
      <c r="C160" s="124"/>
      <c r="D160" s="53"/>
      <c r="E160" s="91"/>
      <c r="F160" s="943"/>
      <c r="G160" s="951"/>
      <c r="H160" s="921" t="s">
        <v>90</v>
      </c>
      <c r="I160" s="944"/>
      <c r="J160" s="388"/>
      <c r="K160" s="448"/>
      <c r="L160" s="224"/>
      <c r="M160" s="218"/>
      <c r="N160" s="952"/>
      <c r="O160" s="953"/>
      <c r="P160" s="960"/>
      <c r="Q160" s="388"/>
      <c r="R160" s="458"/>
      <c r="S160" s="955"/>
      <c r="T160" s="458"/>
      <c r="U160" s="458"/>
      <c r="V160" s="458"/>
      <c r="W160" s="458"/>
      <c r="X160" s="458"/>
      <c r="Y160" s="458"/>
      <c r="Z160" s="961"/>
      <c r="AA160" s="962">
        <v>1</v>
      </c>
      <c r="AB160" s="963" t="s">
        <v>1033</v>
      </c>
      <c r="AC160" s="856">
        <v>26287.281999999999</v>
      </c>
      <c r="AD160" s="963" t="str">
        <f t="shared" si="50"/>
        <v xml:space="preserve">      Амортизационные отчисления с выделением результатов переоценки основных средств и нематериальных активов</v>
      </c>
      <c r="AE160" s="856"/>
      <c r="AF160" s="949"/>
      <c r="AG160" s="950"/>
      <c r="AH160" s="950"/>
      <c r="AI160" s="949"/>
      <c r="AJ160" s="950"/>
      <c r="AK160" s="950"/>
      <c r="AL160" s="919"/>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50"/>
    </row>
    <row r="161" ht="11.25" customHeight="1">
      <c r="A161" s="124" t="s">
        <v>989</v>
      </c>
      <c r="B161" s="124"/>
      <c r="C161" s="124"/>
      <c r="D161" s="53"/>
      <c r="E161" s="91"/>
      <c r="F161" s="943"/>
      <c r="G161" s="951"/>
      <c r="H161" s="921" t="s">
        <v>90</v>
      </c>
      <c r="I161" s="944"/>
      <c r="J161" s="388"/>
      <c r="K161" s="448"/>
      <c r="L161" s="224"/>
      <c r="M161" s="218"/>
      <c r="N161" s="952"/>
      <c r="O161" s="953"/>
      <c r="P161" s="964"/>
      <c r="Q161" s="388"/>
      <c r="R161" s="458"/>
      <c r="S161" s="955"/>
      <c r="T161" s="458"/>
      <c r="U161" s="458"/>
      <c r="V161" s="458"/>
      <c r="W161" s="458"/>
      <c r="X161" s="458"/>
      <c r="Y161" s="458"/>
      <c r="Z161" s="956"/>
      <c r="AA161" s="957"/>
      <c r="AB161" s="172" t="s">
        <v>1034</v>
      </c>
      <c r="AC161" s="958"/>
      <c r="AD161" s="958"/>
      <c r="AE161" s="965"/>
      <c r="AF161" s="949"/>
      <c r="AG161" s="950"/>
      <c r="AH161" s="950"/>
      <c r="AI161" s="949"/>
      <c r="AJ161" s="950"/>
      <c r="AK161" s="950"/>
      <c r="AL161" s="919"/>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50"/>
    </row>
    <row r="162" ht="11.25" customHeight="1">
      <c r="A162" s="124" t="s">
        <v>989</v>
      </c>
      <c r="B162" s="124"/>
      <c r="C162" s="124"/>
      <c r="D162" s="53"/>
      <c r="E162" s="91"/>
      <c r="F162" s="943"/>
      <c r="G162" s="951"/>
      <c r="H162" s="921" t="s">
        <v>90</v>
      </c>
      <c r="I162" s="944"/>
      <c r="J162" s="388"/>
      <c r="K162" s="448"/>
      <c r="L162" s="224"/>
      <c r="M162" s="218"/>
      <c r="N162" s="956"/>
      <c r="O162" s="957"/>
      <c r="P162" s="172" t="s">
        <v>1035</v>
      </c>
      <c r="Q162" s="957"/>
      <c r="R162" s="957"/>
      <c r="S162" s="957"/>
      <c r="T162" s="957"/>
      <c r="U162" s="957"/>
      <c r="V162" s="957"/>
      <c r="W162" s="957"/>
      <c r="X162" s="957"/>
      <c r="Y162" s="957"/>
      <c r="Z162" s="957"/>
      <c r="AA162" s="957"/>
      <c r="AB162" s="957"/>
      <c r="AC162" s="957"/>
      <c r="AD162" s="957"/>
      <c r="AE162" s="966"/>
      <c r="AF162" s="949"/>
      <c r="AG162" s="950"/>
      <c r="AH162" s="950"/>
      <c r="AI162" s="949"/>
      <c r="AJ162" s="950"/>
      <c r="AK162" s="950"/>
      <c r="AL162" s="919"/>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50"/>
    </row>
    <row r="163" ht="11.25" customHeight="1">
      <c r="A163" s="124" t="s">
        <v>989</v>
      </c>
      <c r="B163" s="124" t="s">
        <v>22</v>
      </c>
      <c r="C163" s="124"/>
      <c r="D163" s="53"/>
      <c r="E163" s="91"/>
      <c r="F163" s="943"/>
      <c r="G163" s="149" t="s">
        <v>684</v>
      </c>
      <c r="H163" s="921" t="s">
        <v>108</v>
      </c>
      <c r="I163" s="944" t="s">
        <v>1021</v>
      </c>
      <c r="J163" s="945" t="s">
        <v>22</v>
      </c>
      <c r="K163" s="448" t="s">
        <v>1052</v>
      </c>
      <c r="L163" s="224" t="s">
        <v>19</v>
      </c>
      <c r="M163" s="218"/>
      <c r="N163" s="946"/>
      <c r="O163" s="947" t="s">
        <v>371</v>
      </c>
      <c r="P163" s="948"/>
      <c r="Q163" s="948"/>
      <c r="R163" s="948"/>
      <c r="S163" s="948"/>
      <c r="T163" s="948"/>
      <c r="U163" s="948"/>
      <c r="V163" s="948"/>
      <c r="W163" s="948"/>
      <c r="X163" s="948"/>
      <c r="Y163" s="948"/>
      <c r="Z163" s="948"/>
      <c r="AA163" s="948"/>
      <c r="AB163" s="948"/>
      <c r="AC163" s="948"/>
      <c r="AD163" s="948"/>
      <c r="AE163" s="948"/>
      <c r="AF163" s="949">
        <v>5</v>
      </c>
      <c r="AG163" s="950" t="s">
        <v>1023</v>
      </c>
      <c r="AH163" s="950" t="s">
        <v>1024</v>
      </c>
      <c r="AI163" s="949"/>
      <c r="AJ163" s="950"/>
      <c r="AK163" s="950"/>
      <c r="AL163" s="919"/>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50"/>
    </row>
    <row r="164" ht="11.25" customHeight="1">
      <c r="A164" s="124" t="s">
        <v>989</v>
      </c>
      <c r="B164" s="124"/>
      <c r="C164" s="124"/>
      <c r="D164" s="53"/>
      <c r="E164" s="91"/>
      <c r="F164" s="943"/>
      <c r="G164" s="951"/>
      <c r="H164" s="921" t="s">
        <v>91</v>
      </c>
      <c r="I164" s="944"/>
      <c r="J164" s="945"/>
      <c r="K164" s="448"/>
      <c r="L164" s="224"/>
      <c r="M164" s="218"/>
      <c r="N164" s="952"/>
      <c r="O164" s="953">
        <v>1</v>
      </c>
      <c r="P164" s="954" t="s">
        <v>65</v>
      </c>
      <c r="Q164" s="388" t="s">
        <v>1025</v>
      </c>
      <c r="R164" s="955" t="s">
        <v>1026</v>
      </c>
      <c r="S164" s="955" t="s">
        <v>1027</v>
      </c>
      <c r="T164" s="955" t="s">
        <v>1027</v>
      </c>
      <c r="U164" s="955" t="s">
        <v>1028</v>
      </c>
      <c r="V164" s="955" t="s">
        <v>1029</v>
      </c>
      <c r="W164" s="955" t="s">
        <v>1030</v>
      </c>
      <c r="X164" s="955" t="s">
        <v>1031</v>
      </c>
      <c r="Y164" s="955" t="s">
        <v>1032</v>
      </c>
      <c r="Z164" s="956"/>
      <c r="AA164" s="957"/>
      <c r="AB164" s="957"/>
      <c r="AC164" s="958"/>
      <c r="AD164" s="958"/>
      <c r="AE164" s="959"/>
      <c r="AF164" s="949"/>
      <c r="AG164" s="950"/>
      <c r="AH164" s="950"/>
      <c r="AI164" s="949"/>
      <c r="AJ164" s="950"/>
      <c r="AK164" s="950"/>
      <c r="AL164" s="919"/>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50"/>
    </row>
    <row r="165" ht="11.25" customHeight="1">
      <c r="A165" s="124" t="s">
        <v>989</v>
      </c>
      <c r="B165" s="124"/>
      <c r="C165" s="124"/>
      <c r="D165" s="53"/>
      <c r="E165" s="91"/>
      <c r="F165" s="943"/>
      <c r="G165" s="951"/>
      <c r="H165" s="921" t="s">
        <v>91</v>
      </c>
      <c r="I165" s="944"/>
      <c r="J165" s="945"/>
      <c r="K165" s="448"/>
      <c r="L165" s="224"/>
      <c r="M165" s="218"/>
      <c r="N165" s="952"/>
      <c r="O165" s="953"/>
      <c r="P165" s="960"/>
      <c r="Q165" s="388"/>
      <c r="R165" s="458"/>
      <c r="S165" s="955"/>
      <c r="T165" s="458"/>
      <c r="U165" s="458"/>
      <c r="V165" s="458"/>
      <c r="W165" s="458"/>
      <c r="X165" s="458"/>
      <c r="Y165" s="458"/>
      <c r="Z165" s="961"/>
      <c r="AA165" s="962">
        <v>1</v>
      </c>
      <c r="AB165" s="963" t="s">
        <v>1033</v>
      </c>
      <c r="AC165" s="856">
        <v>6819.4750000000004</v>
      </c>
      <c r="AD165" s="963" t="str">
        <f t="shared" si="50"/>
        <v xml:space="preserve">      Амортизационные отчисления с выделением результатов переоценки основных средств и нематериальных активов</v>
      </c>
      <c r="AE165" s="856"/>
      <c r="AF165" s="949"/>
      <c r="AG165" s="950"/>
      <c r="AH165" s="950"/>
      <c r="AI165" s="949"/>
      <c r="AJ165" s="950"/>
      <c r="AK165" s="950"/>
      <c r="AL165" s="919"/>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50"/>
    </row>
    <row r="166" ht="11.25" customHeight="1">
      <c r="A166" s="124" t="s">
        <v>989</v>
      </c>
      <c r="B166" s="124"/>
      <c r="C166" s="124"/>
      <c r="D166" s="53"/>
      <c r="E166" s="91"/>
      <c r="F166" s="943"/>
      <c r="G166" s="951"/>
      <c r="H166" s="921" t="s">
        <v>91</v>
      </c>
      <c r="I166" s="944"/>
      <c r="J166" s="945"/>
      <c r="K166" s="448"/>
      <c r="L166" s="224"/>
      <c r="M166" s="218"/>
      <c r="N166" s="952"/>
      <c r="O166" s="953"/>
      <c r="P166" s="964"/>
      <c r="Q166" s="388"/>
      <c r="R166" s="458"/>
      <c r="S166" s="955"/>
      <c r="T166" s="458"/>
      <c r="U166" s="458"/>
      <c r="V166" s="458"/>
      <c r="W166" s="458"/>
      <c r="X166" s="458"/>
      <c r="Y166" s="458"/>
      <c r="Z166" s="956"/>
      <c r="AA166" s="957"/>
      <c r="AB166" s="172" t="s">
        <v>1034</v>
      </c>
      <c r="AC166" s="958"/>
      <c r="AD166" s="958"/>
      <c r="AE166" s="965"/>
      <c r="AF166" s="949"/>
      <c r="AG166" s="950"/>
      <c r="AH166" s="950"/>
      <c r="AI166" s="949"/>
      <c r="AJ166" s="950"/>
      <c r="AK166" s="950"/>
      <c r="AL166" s="919"/>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50"/>
    </row>
    <row r="167" ht="11.25" customHeight="1">
      <c r="A167" s="124" t="s">
        <v>989</v>
      </c>
      <c r="B167" s="124"/>
      <c r="C167" s="124"/>
      <c r="D167" s="53"/>
      <c r="E167" s="91"/>
      <c r="F167" s="943"/>
      <c r="G167" s="951"/>
      <c r="H167" s="921" t="s">
        <v>91</v>
      </c>
      <c r="I167" s="944"/>
      <c r="J167" s="945"/>
      <c r="K167" s="448"/>
      <c r="L167" s="224"/>
      <c r="M167" s="218"/>
      <c r="N167" s="956"/>
      <c r="O167" s="957"/>
      <c r="P167" s="172" t="s">
        <v>1035</v>
      </c>
      <c r="Q167" s="957"/>
      <c r="R167" s="957"/>
      <c r="S167" s="957"/>
      <c r="T167" s="957"/>
      <c r="U167" s="957"/>
      <c r="V167" s="957"/>
      <c r="W167" s="957"/>
      <c r="X167" s="957"/>
      <c r="Y167" s="957"/>
      <c r="Z167" s="957"/>
      <c r="AA167" s="957"/>
      <c r="AB167" s="957"/>
      <c r="AC167" s="957"/>
      <c r="AD167" s="957"/>
      <c r="AE167" s="966"/>
      <c r="AF167" s="949"/>
      <c r="AG167" s="950"/>
      <c r="AH167" s="950"/>
      <c r="AI167" s="949"/>
      <c r="AJ167" s="950"/>
      <c r="AK167" s="950"/>
      <c r="AL167" s="919"/>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50"/>
    </row>
    <row r="168" ht="12" customHeight="1">
      <c r="A168" s="124" t="s">
        <v>989</v>
      </c>
      <c r="B168" s="124"/>
      <c r="C168" s="124"/>
      <c r="D168" s="53"/>
      <c r="E168" s="91"/>
      <c r="F168" s="971"/>
      <c r="G168" s="972"/>
      <c r="H168" s="972"/>
      <c r="I168" s="973" t="s">
        <v>1051</v>
      </c>
      <c r="J168" s="973"/>
      <c r="K168" s="973"/>
      <c r="L168" s="974"/>
      <c r="M168" s="974"/>
      <c r="N168" s="975"/>
      <c r="O168" s="975"/>
      <c r="P168" s="975"/>
      <c r="Q168" s="975"/>
      <c r="R168" s="975"/>
      <c r="S168" s="975"/>
      <c r="T168" s="975"/>
      <c r="U168" s="975"/>
      <c r="V168" s="975"/>
      <c r="W168" s="975"/>
      <c r="X168" s="975"/>
      <c r="Y168" s="975"/>
      <c r="Z168" s="975"/>
      <c r="AA168" s="975"/>
      <c r="AB168" s="975"/>
      <c r="AC168" s="975"/>
      <c r="AD168" s="975"/>
      <c r="AE168" s="975"/>
      <c r="AF168" s="975"/>
      <c r="AG168" s="974"/>
      <c r="AH168" s="974"/>
      <c r="AI168" s="975"/>
      <c r="AJ168" s="974"/>
      <c r="AK168" s="975"/>
      <c r="AL168" s="919"/>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50"/>
    </row>
    <row r="169" ht="0.75" customHeight="1">
      <c r="A169" s="124" t="s">
        <v>989</v>
      </c>
      <c r="B169" s="124"/>
      <c r="C169" s="124"/>
      <c r="D169" s="53"/>
      <c r="E169" s="91"/>
      <c r="F169" s="920">
        <v>2029</v>
      </c>
      <c r="G169" s="921"/>
      <c r="H169" s="922" t="s">
        <v>371</v>
      </c>
      <c r="I169" s="923"/>
      <c r="J169" s="160"/>
      <c r="K169" s="160"/>
      <c r="L169" s="924"/>
      <c r="M169" s="536"/>
      <c r="N169" s="925"/>
      <c r="O169" s="926"/>
      <c r="P169" s="925"/>
      <c r="Q169" s="925"/>
      <c r="R169" s="925"/>
      <c r="S169" s="925"/>
      <c r="T169" s="925"/>
      <c r="U169" s="925"/>
      <c r="V169" s="925"/>
      <c r="W169" s="925"/>
      <c r="X169" s="925"/>
      <c r="Y169" s="925"/>
      <c r="Z169" s="925"/>
      <c r="AA169" s="925"/>
      <c r="AB169" s="925"/>
      <c r="AC169" s="925"/>
      <c r="AD169" s="925"/>
      <c r="AE169" s="925"/>
      <c r="AF169" s="927"/>
      <c r="AG169" s="924"/>
      <c r="AH169" s="924"/>
      <c r="AI169" s="927"/>
      <c r="AJ169" s="924"/>
      <c r="AK169" s="924"/>
      <c r="AL169" s="919"/>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50"/>
    </row>
    <row r="170" ht="0.75" customHeight="1">
      <c r="A170" s="124" t="s">
        <v>989</v>
      </c>
      <c r="B170" s="124"/>
      <c r="C170" s="124"/>
      <c r="D170" s="53"/>
      <c r="E170" s="91"/>
      <c r="F170" s="920"/>
      <c r="G170" s="921"/>
      <c r="H170" s="922"/>
      <c r="I170" s="923"/>
      <c r="J170" s="160"/>
      <c r="K170" s="160"/>
      <c r="L170" s="924"/>
      <c r="M170" s="536"/>
      <c r="N170" s="928"/>
      <c r="O170" s="929"/>
      <c r="P170" s="930"/>
      <c r="Q170" s="160"/>
      <c r="R170" s="160"/>
      <c r="S170" s="160"/>
      <c r="T170" s="160"/>
      <c r="U170" s="160"/>
      <c r="V170" s="160"/>
      <c r="W170" s="160"/>
      <c r="X170" s="160"/>
      <c r="Y170" s="160"/>
      <c r="Z170" s="931"/>
      <c r="AA170" s="932"/>
      <c r="AB170" s="932"/>
      <c r="AC170" s="933"/>
      <c r="AD170" s="933"/>
      <c r="AE170" s="934"/>
      <c r="AF170" s="927"/>
      <c r="AG170" s="924"/>
      <c r="AH170" s="924"/>
      <c r="AI170" s="927"/>
      <c r="AJ170" s="924"/>
      <c r="AK170" s="924"/>
      <c r="AL170" s="919"/>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50"/>
    </row>
    <row r="171" ht="0.75" customHeight="1">
      <c r="A171" s="124" t="s">
        <v>989</v>
      </c>
      <c r="B171" s="124"/>
      <c r="C171" s="124"/>
      <c r="D171" s="53"/>
      <c r="E171" s="91"/>
      <c r="F171" s="920"/>
      <c r="G171" s="921"/>
      <c r="H171" s="922"/>
      <c r="I171" s="923"/>
      <c r="J171" s="160"/>
      <c r="K171" s="160"/>
      <c r="L171" s="924"/>
      <c r="M171" s="536"/>
      <c r="N171" s="928"/>
      <c r="O171" s="929"/>
      <c r="P171" s="935"/>
      <c r="Q171" s="160"/>
      <c r="R171" s="160"/>
      <c r="S171" s="160"/>
      <c r="T171" s="160"/>
      <c r="U171" s="160"/>
      <c r="V171" s="160"/>
      <c r="W171" s="160"/>
      <c r="X171" s="160"/>
      <c r="Y171" s="160"/>
      <c r="Z171" s="936"/>
      <c r="AA171" s="929"/>
      <c r="AB171" s="937"/>
      <c r="AC171" s="938"/>
      <c r="AD171" s="937"/>
      <c r="AE171" s="938"/>
      <c r="AF171" s="927"/>
      <c r="AG171" s="924"/>
      <c r="AH171" s="924"/>
      <c r="AI171" s="927"/>
      <c r="AJ171" s="924"/>
      <c r="AK171" s="924"/>
      <c r="AL171" s="919"/>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50"/>
    </row>
    <row r="172" ht="0.75" customHeight="1">
      <c r="A172" s="124" t="s">
        <v>989</v>
      </c>
      <c r="B172" s="124"/>
      <c r="C172" s="124"/>
      <c r="D172" s="53"/>
      <c r="E172" s="91"/>
      <c r="F172" s="920"/>
      <c r="G172" s="921"/>
      <c r="H172" s="922"/>
      <c r="I172" s="923"/>
      <c r="J172" s="160"/>
      <c r="K172" s="160"/>
      <c r="L172" s="924"/>
      <c r="M172" s="536"/>
      <c r="N172" s="928"/>
      <c r="O172" s="929"/>
      <c r="P172" s="939"/>
      <c r="Q172" s="160"/>
      <c r="R172" s="160"/>
      <c r="S172" s="160"/>
      <c r="T172" s="160"/>
      <c r="U172" s="160"/>
      <c r="V172" s="160"/>
      <c r="W172" s="160"/>
      <c r="X172" s="160"/>
      <c r="Y172" s="160"/>
      <c r="Z172" s="931"/>
      <c r="AA172" s="932"/>
      <c r="AB172" s="940"/>
      <c r="AC172" s="933"/>
      <c r="AD172" s="933"/>
      <c r="AE172" s="941"/>
      <c r="AF172" s="927"/>
      <c r="AG172" s="924"/>
      <c r="AH172" s="924"/>
      <c r="AI172" s="927"/>
      <c r="AJ172" s="924"/>
      <c r="AK172" s="924"/>
      <c r="AL172" s="919"/>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50"/>
    </row>
    <row r="173" ht="0.75" customHeight="1">
      <c r="A173" s="124" t="s">
        <v>989</v>
      </c>
      <c r="B173" s="124"/>
      <c r="C173" s="124"/>
      <c r="D173" s="53"/>
      <c r="E173" s="91"/>
      <c r="F173" s="920"/>
      <c r="G173" s="921"/>
      <c r="H173" s="922"/>
      <c r="I173" s="923"/>
      <c r="J173" s="160"/>
      <c r="K173" s="160"/>
      <c r="L173" s="924"/>
      <c r="M173" s="536"/>
      <c r="N173" s="932"/>
      <c r="O173" s="932"/>
      <c r="P173" s="940"/>
      <c r="Q173" s="932"/>
      <c r="R173" s="932"/>
      <c r="S173" s="932"/>
      <c r="T173" s="932"/>
      <c r="U173" s="932"/>
      <c r="V173" s="932"/>
      <c r="W173" s="932"/>
      <c r="X173" s="932"/>
      <c r="Y173" s="932"/>
      <c r="Z173" s="932"/>
      <c r="AA173" s="932"/>
      <c r="AB173" s="932"/>
      <c r="AC173" s="932"/>
      <c r="AD173" s="932"/>
      <c r="AE173" s="942"/>
      <c r="AF173" s="927"/>
      <c r="AG173" s="924"/>
      <c r="AH173" s="924"/>
      <c r="AI173" s="927"/>
      <c r="AJ173" s="924"/>
      <c r="AK173" s="924"/>
      <c r="AL173" s="919"/>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50"/>
    </row>
    <row r="174" ht="11.25" customHeight="1">
      <c r="A174" s="124" t="s">
        <v>989</v>
      </c>
      <c r="B174" s="124" t="s">
        <v>22</v>
      </c>
      <c r="C174" s="124"/>
      <c r="D174" s="53"/>
      <c r="E174" s="91"/>
      <c r="F174" s="943"/>
      <c r="G174" s="149" t="s">
        <v>684</v>
      </c>
      <c r="H174" s="921" t="s">
        <v>106</v>
      </c>
      <c r="I174" s="944" t="s">
        <v>1021</v>
      </c>
      <c r="J174" s="945" t="s">
        <v>22</v>
      </c>
      <c r="K174" s="448" t="s">
        <v>1022</v>
      </c>
      <c r="L174" s="224" t="s">
        <v>19</v>
      </c>
      <c r="M174" s="218"/>
      <c r="N174" s="946"/>
      <c r="O174" s="947" t="s">
        <v>371</v>
      </c>
      <c r="P174" s="948"/>
      <c r="Q174" s="948"/>
      <c r="R174" s="948"/>
      <c r="S174" s="948"/>
      <c r="T174" s="948"/>
      <c r="U174" s="948"/>
      <c r="V174" s="948"/>
      <c r="W174" s="948"/>
      <c r="X174" s="948"/>
      <c r="Y174" s="948"/>
      <c r="Z174" s="948"/>
      <c r="AA174" s="948"/>
      <c r="AB174" s="948"/>
      <c r="AC174" s="948"/>
      <c r="AD174" s="948"/>
      <c r="AE174" s="948"/>
      <c r="AF174" s="949">
        <v>5</v>
      </c>
      <c r="AG174" s="950" t="s">
        <v>1023</v>
      </c>
      <c r="AH174" s="950" t="s">
        <v>1024</v>
      </c>
      <c r="AI174" s="949"/>
      <c r="AJ174" s="950"/>
      <c r="AK174" s="950"/>
      <c r="AL174" s="919"/>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50"/>
    </row>
    <row r="175" ht="11.25" customHeight="1">
      <c r="A175" s="124" t="s">
        <v>989</v>
      </c>
      <c r="B175" s="124"/>
      <c r="C175" s="124"/>
      <c r="D175" s="53"/>
      <c r="E175" s="91"/>
      <c r="F175" s="943"/>
      <c r="G175" s="951"/>
      <c r="H175" s="921" t="s">
        <v>371</v>
      </c>
      <c r="I175" s="944"/>
      <c r="J175" s="945"/>
      <c r="K175" s="448"/>
      <c r="L175" s="224"/>
      <c r="M175" s="218"/>
      <c r="N175" s="952"/>
      <c r="O175" s="953">
        <v>1</v>
      </c>
      <c r="P175" s="954" t="s">
        <v>65</v>
      </c>
      <c r="Q175" s="388" t="s">
        <v>1025</v>
      </c>
      <c r="R175" s="955" t="s">
        <v>1026</v>
      </c>
      <c r="S175" s="955" t="s">
        <v>1027</v>
      </c>
      <c r="T175" s="955" t="s">
        <v>1027</v>
      </c>
      <c r="U175" s="955" t="s">
        <v>1028</v>
      </c>
      <c r="V175" s="955" t="s">
        <v>1029</v>
      </c>
      <c r="W175" s="955" t="s">
        <v>1030</v>
      </c>
      <c r="X175" s="955" t="s">
        <v>1031</v>
      </c>
      <c r="Y175" s="955" t="s">
        <v>1032</v>
      </c>
      <c r="Z175" s="956"/>
      <c r="AA175" s="957"/>
      <c r="AB175" s="957"/>
      <c r="AC175" s="958"/>
      <c r="AD175" s="958"/>
      <c r="AE175" s="959"/>
      <c r="AF175" s="949"/>
      <c r="AG175" s="950"/>
      <c r="AH175" s="950"/>
      <c r="AI175" s="949"/>
      <c r="AJ175" s="950"/>
      <c r="AK175" s="950"/>
      <c r="AL175" s="919"/>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50"/>
    </row>
    <row r="176" ht="11.25" customHeight="1">
      <c r="A176" s="124" t="s">
        <v>989</v>
      </c>
      <c r="B176" s="124"/>
      <c r="C176" s="124"/>
      <c r="D176" s="53"/>
      <c r="E176" s="91"/>
      <c r="F176" s="943"/>
      <c r="G176" s="951"/>
      <c r="H176" s="921" t="s">
        <v>371</v>
      </c>
      <c r="I176" s="944"/>
      <c r="J176" s="945"/>
      <c r="K176" s="448"/>
      <c r="L176" s="224"/>
      <c r="M176" s="218"/>
      <c r="N176" s="952"/>
      <c r="O176" s="953"/>
      <c r="P176" s="960"/>
      <c r="Q176" s="388"/>
      <c r="R176" s="458"/>
      <c r="S176" s="955"/>
      <c r="T176" s="458"/>
      <c r="U176" s="458"/>
      <c r="V176" s="458"/>
      <c r="W176" s="458"/>
      <c r="X176" s="458"/>
      <c r="Y176" s="458"/>
      <c r="Z176" s="961"/>
      <c r="AA176" s="962">
        <v>1</v>
      </c>
      <c r="AB176" s="963" t="s">
        <v>1033</v>
      </c>
      <c r="AC176" s="856">
        <v>19202.871999999999</v>
      </c>
      <c r="AD176" s="963" t="str">
        <f t="shared" ref="AD171:AD222" si="51">AB176</f>
        <v xml:space="preserve">      Амортизационные отчисления с выделением результатов переоценки основных средств и нематериальных активов</v>
      </c>
      <c r="AE176" s="856"/>
      <c r="AF176" s="949"/>
      <c r="AG176" s="950"/>
      <c r="AH176" s="950"/>
      <c r="AI176" s="949"/>
      <c r="AJ176" s="950"/>
      <c r="AK176" s="950"/>
      <c r="AL176" s="919"/>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50"/>
    </row>
    <row r="177" ht="11.25" customHeight="1">
      <c r="A177" s="124" t="s">
        <v>989</v>
      </c>
      <c r="B177" s="124"/>
      <c r="C177" s="124"/>
      <c r="D177" s="53"/>
      <c r="E177" s="91"/>
      <c r="F177" s="943"/>
      <c r="G177" s="951"/>
      <c r="H177" s="921" t="s">
        <v>371</v>
      </c>
      <c r="I177" s="944"/>
      <c r="J177" s="945"/>
      <c r="K177" s="448"/>
      <c r="L177" s="224"/>
      <c r="M177" s="218"/>
      <c r="N177" s="952"/>
      <c r="O177" s="953"/>
      <c r="P177" s="964"/>
      <c r="Q177" s="388"/>
      <c r="R177" s="458"/>
      <c r="S177" s="955"/>
      <c r="T177" s="458"/>
      <c r="U177" s="458"/>
      <c r="V177" s="458"/>
      <c r="W177" s="458"/>
      <c r="X177" s="458"/>
      <c r="Y177" s="458"/>
      <c r="Z177" s="956"/>
      <c r="AA177" s="957"/>
      <c r="AB177" s="172" t="s">
        <v>1034</v>
      </c>
      <c r="AC177" s="958"/>
      <c r="AD177" s="958"/>
      <c r="AE177" s="965"/>
      <c r="AF177" s="949"/>
      <c r="AG177" s="950"/>
      <c r="AH177" s="950"/>
      <c r="AI177" s="949"/>
      <c r="AJ177" s="950"/>
      <c r="AK177" s="950"/>
      <c r="AL177" s="919"/>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50"/>
    </row>
    <row r="178" ht="11.25" customHeight="1">
      <c r="A178" s="124" t="s">
        <v>989</v>
      </c>
      <c r="B178" s="124"/>
      <c r="C178" s="124"/>
      <c r="D178" s="53"/>
      <c r="E178" s="91"/>
      <c r="F178" s="943"/>
      <c r="G178" s="951"/>
      <c r="H178" s="921" t="s">
        <v>371</v>
      </c>
      <c r="I178" s="944"/>
      <c r="J178" s="945"/>
      <c r="K178" s="448"/>
      <c r="L178" s="224"/>
      <c r="M178" s="218"/>
      <c r="N178" s="956"/>
      <c r="O178" s="957"/>
      <c r="P178" s="172" t="s">
        <v>1035</v>
      </c>
      <c r="Q178" s="957"/>
      <c r="R178" s="957"/>
      <c r="S178" s="957"/>
      <c r="T178" s="957"/>
      <c r="U178" s="957"/>
      <c r="V178" s="957"/>
      <c r="W178" s="957"/>
      <c r="X178" s="957"/>
      <c r="Y178" s="957"/>
      <c r="Z178" s="957"/>
      <c r="AA178" s="957"/>
      <c r="AB178" s="957"/>
      <c r="AC178" s="957"/>
      <c r="AD178" s="957"/>
      <c r="AE178" s="966"/>
      <c r="AF178" s="949"/>
      <c r="AG178" s="950"/>
      <c r="AH178" s="950"/>
      <c r="AI178" s="949"/>
      <c r="AJ178" s="950"/>
      <c r="AK178" s="950"/>
      <c r="AL178" s="919"/>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50"/>
    </row>
    <row r="179" ht="11.25" customHeight="1">
      <c r="A179" s="124" t="s">
        <v>989</v>
      </c>
      <c r="B179" s="124" t="s">
        <v>1036</v>
      </c>
      <c r="C179" s="124"/>
      <c r="D179" s="53"/>
      <c r="E179" s="91"/>
      <c r="F179" s="943"/>
      <c r="G179" s="149" t="s">
        <v>684</v>
      </c>
      <c r="H179" s="921" t="s">
        <v>107</v>
      </c>
      <c r="I179" s="944" t="s">
        <v>1037</v>
      </c>
      <c r="J179" s="388" t="s">
        <v>1038</v>
      </c>
      <c r="K179" s="448" t="s">
        <v>1042</v>
      </c>
      <c r="L179" s="224" t="s">
        <v>19</v>
      </c>
      <c r="M179" s="218"/>
      <c r="N179" s="946"/>
      <c r="O179" s="947" t="s">
        <v>371</v>
      </c>
      <c r="P179" s="948"/>
      <c r="Q179" s="948"/>
      <c r="R179" s="948"/>
      <c r="S179" s="948"/>
      <c r="T179" s="948"/>
      <c r="U179" s="948"/>
      <c r="V179" s="948"/>
      <c r="W179" s="948"/>
      <c r="X179" s="948"/>
      <c r="Y179" s="948"/>
      <c r="Z179" s="948"/>
      <c r="AA179" s="948"/>
      <c r="AB179" s="948"/>
      <c r="AC179" s="948"/>
      <c r="AD179" s="948"/>
      <c r="AE179" s="948"/>
      <c r="AF179" s="949">
        <v>4</v>
      </c>
      <c r="AG179" s="950" t="s">
        <v>1023</v>
      </c>
      <c r="AH179" s="950" t="s">
        <v>1043</v>
      </c>
      <c r="AI179" s="949"/>
      <c r="AJ179" s="950"/>
      <c r="AK179" s="950"/>
      <c r="AL179" s="919"/>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50"/>
    </row>
    <row r="180" ht="11.25" customHeight="1">
      <c r="A180" s="124" t="s">
        <v>989</v>
      </c>
      <c r="B180" s="124"/>
      <c r="C180" s="124"/>
      <c r="D180" s="53"/>
      <c r="E180" s="91"/>
      <c r="F180" s="943"/>
      <c r="G180" s="951"/>
      <c r="H180" s="921" t="s">
        <v>106</v>
      </c>
      <c r="I180" s="944"/>
      <c r="J180" s="388"/>
      <c r="K180" s="448"/>
      <c r="L180" s="224"/>
      <c r="M180" s="218"/>
      <c r="N180" s="952"/>
      <c r="O180" s="953">
        <v>1</v>
      </c>
      <c r="P180" s="954" t="s">
        <v>65</v>
      </c>
      <c r="Q180" s="388" t="s">
        <v>1025</v>
      </c>
      <c r="R180" s="955" t="s">
        <v>1026</v>
      </c>
      <c r="S180" s="955" t="s">
        <v>1027</v>
      </c>
      <c r="T180" s="955" t="s">
        <v>1027</v>
      </c>
      <c r="U180" s="955" t="s">
        <v>1028</v>
      </c>
      <c r="V180" s="955" t="s">
        <v>1029</v>
      </c>
      <c r="W180" s="955" t="s">
        <v>1030</v>
      </c>
      <c r="X180" s="955" t="s">
        <v>1031</v>
      </c>
      <c r="Y180" s="955" t="s">
        <v>1032</v>
      </c>
      <c r="Z180" s="956"/>
      <c r="AA180" s="957"/>
      <c r="AB180" s="957"/>
      <c r="AC180" s="958"/>
      <c r="AD180" s="958"/>
      <c r="AE180" s="959"/>
      <c r="AF180" s="949"/>
      <c r="AG180" s="950"/>
      <c r="AH180" s="950"/>
      <c r="AI180" s="949"/>
      <c r="AJ180" s="950"/>
      <c r="AK180" s="950"/>
      <c r="AL180" s="919"/>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50"/>
    </row>
    <row r="181" ht="11.25" customHeight="1">
      <c r="A181" s="124" t="s">
        <v>989</v>
      </c>
      <c r="B181" s="124"/>
      <c r="C181" s="124"/>
      <c r="D181" s="53"/>
      <c r="E181" s="91"/>
      <c r="F181" s="943"/>
      <c r="G181" s="951"/>
      <c r="H181" s="921" t="s">
        <v>106</v>
      </c>
      <c r="I181" s="944"/>
      <c r="J181" s="388"/>
      <c r="K181" s="448"/>
      <c r="L181" s="224"/>
      <c r="M181" s="218"/>
      <c r="N181" s="952"/>
      <c r="O181" s="953"/>
      <c r="P181" s="960"/>
      <c r="Q181" s="388"/>
      <c r="R181" s="458"/>
      <c r="S181" s="955"/>
      <c r="T181" s="458"/>
      <c r="U181" s="458"/>
      <c r="V181" s="458"/>
      <c r="W181" s="458"/>
      <c r="X181" s="458"/>
      <c r="Y181" s="458"/>
      <c r="Z181" s="961"/>
      <c r="AA181" s="962">
        <v>1</v>
      </c>
      <c r="AB181" s="963" t="s">
        <v>1033</v>
      </c>
      <c r="AC181" s="856">
        <v>144.624</v>
      </c>
      <c r="AD181" s="963" t="str">
        <f t="shared" si="51"/>
        <v xml:space="preserve">      Амортизационные отчисления с выделением результатов переоценки основных средств и нематериальных активов</v>
      </c>
      <c r="AE181" s="856"/>
      <c r="AF181" s="949"/>
      <c r="AG181" s="950"/>
      <c r="AH181" s="950"/>
      <c r="AI181" s="949"/>
      <c r="AJ181" s="950"/>
      <c r="AK181" s="950"/>
      <c r="AL181" s="919"/>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50"/>
    </row>
    <row r="182" ht="11.25" customHeight="1">
      <c r="A182" s="124" t="s">
        <v>989</v>
      </c>
      <c r="B182" s="124"/>
      <c r="C182" s="124"/>
      <c r="D182" s="53"/>
      <c r="E182" s="91"/>
      <c r="F182" s="943"/>
      <c r="G182" s="951"/>
      <c r="H182" s="921" t="s">
        <v>106</v>
      </c>
      <c r="I182" s="944"/>
      <c r="J182" s="388"/>
      <c r="K182" s="448"/>
      <c r="L182" s="224"/>
      <c r="M182" s="218"/>
      <c r="N182" s="952"/>
      <c r="O182" s="953"/>
      <c r="P182" s="964"/>
      <c r="Q182" s="388"/>
      <c r="R182" s="458"/>
      <c r="S182" s="955"/>
      <c r="T182" s="458"/>
      <c r="U182" s="458"/>
      <c r="V182" s="458"/>
      <c r="W182" s="458"/>
      <c r="X182" s="458"/>
      <c r="Y182" s="458"/>
      <c r="Z182" s="956"/>
      <c r="AA182" s="957"/>
      <c r="AB182" s="172" t="s">
        <v>1034</v>
      </c>
      <c r="AC182" s="958"/>
      <c r="AD182" s="958"/>
      <c r="AE182" s="965"/>
      <c r="AF182" s="949"/>
      <c r="AG182" s="950"/>
      <c r="AH182" s="950"/>
      <c r="AI182" s="949"/>
      <c r="AJ182" s="950"/>
      <c r="AK182" s="950"/>
      <c r="AL182" s="919"/>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50"/>
    </row>
    <row r="183" ht="11.25" customHeight="1">
      <c r="A183" s="124" t="s">
        <v>989</v>
      </c>
      <c r="B183" s="124"/>
      <c r="C183" s="124"/>
      <c r="D183" s="53"/>
      <c r="E183" s="91"/>
      <c r="F183" s="943"/>
      <c r="G183" s="951"/>
      <c r="H183" s="921" t="s">
        <v>106</v>
      </c>
      <c r="I183" s="944"/>
      <c r="J183" s="388"/>
      <c r="K183" s="448"/>
      <c r="L183" s="224"/>
      <c r="M183" s="218"/>
      <c r="N183" s="956"/>
      <c r="O183" s="957"/>
      <c r="P183" s="172" t="s">
        <v>1035</v>
      </c>
      <c r="Q183" s="957"/>
      <c r="R183" s="957"/>
      <c r="S183" s="957"/>
      <c r="T183" s="957"/>
      <c r="U183" s="957"/>
      <c r="V183" s="957"/>
      <c r="W183" s="957"/>
      <c r="X183" s="957"/>
      <c r="Y183" s="957"/>
      <c r="Z183" s="957"/>
      <c r="AA183" s="957"/>
      <c r="AB183" s="957"/>
      <c r="AC183" s="957"/>
      <c r="AD183" s="957"/>
      <c r="AE183" s="966"/>
      <c r="AF183" s="949"/>
      <c r="AG183" s="950"/>
      <c r="AH183" s="950"/>
      <c r="AI183" s="949"/>
      <c r="AJ183" s="950"/>
      <c r="AK183" s="950"/>
      <c r="AL183" s="919"/>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50"/>
    </row>
    <row r="184" ht="11.25" customHeight="1">
      <c r="A184" s="124" t="s">
        <v>989</v>
      </c>
      <c r="B184" s="124" t="s">
        <v>1036</v>
      </c>
      <c r="C184" s="124"/>
      <c r="D184" s="53"/>
      <c r="E184" s="91"/>
      <c r="F184" s="943"/>
      <c r="G184" s="149" t="s">
        <v>684</v>
      </c>
      <c r="H184" s="921" t="s">
        <v>90</v>
      </c>
      <c r="I184" s="944" t="s">
        <v>1037</v>
      </c>
      <c r="J184" s="388" t="s">
        <v>1038</v>
      </c>
      <c r="K184" s="448" t="s">
        <v>1044</v>
      </c>
      <c r="L184" s="224" t="s">
        <v>19</v>
      </c>
      <c r="M184" s="218"/>
      <c r="N184" s="946"/>
      <c r="O184" s="947" t="s">
        <v>371</v>
      </c>
      <c r="P184" s="948"/>
      <c r="Q184" s="948"/>
      <c r="R184" s="948"/>
      <c r="S184" s="948"/>
      <c r="T184" s="948"/>
      <c r="U184" s="948"/>
      <c r="V184" s="948"/>
      <c r="W184" s="948"/>
      <c r="X184" s="948"/>
      <c r="Y184" s="948"/>
      <c r="Z184" s="948"/>
      <c r="AA184" s="948"/>
      <c r="AB184" s="948"/>
      <c r="AC184" s="948"/>
      <c r="AD184" s="948"/>
      <c r="AE184" s="948"/>
      <c r="AF184" s="949">
        <v>5</v>
      </c>
      <c r="AG184" s="950" t="s">
        <v>1023</v>
      </c>
      <c r="AH184" s="950" t="s">
        <v>1024</v>
      </c>
      <c r="AI184" s="949"/>
      <c r="AJ184" s="950"/>
      <c r="AK184" s="950"/>
      <c r="AL184" s="919"/>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50"/>
    </row>
    <row r="185" ht="11.25" customHeight="1">
      <c r="A185" s="124" t="s">
        <v>989</v>
      </c>
      <c r="B185" s="124"/>
      <c r="C185" s="124"/>
      <c r="D185" s="53"/>
      <c r="E185" s="91"/>
      <c r="F185" s="943"/>
      <c r="G185" s="951"/>
      <c r="H185" s="921" t="s">
        <v>107</v>
      </c>
      <c r="I185" s="944"/>
      <c r="J185" s="388"/>
      <c r="K185" s="448"/>
      <c r="L185" s="224"/>
      <c r="M185" s="218"/>
      <c r="N185" s="952"/>
      <c r="O185" s="953">
        <v>1</v>
      </c>
      <c r="P185" s="954" t="s">
        <v>65</v>
      </c>
      <c r="Q185" s="388" t="s">
        <v>1025</v>
      </c>
      <c r="R185" s="955" t="s">
        <v>1026</v>
      </c>
      <c r="S185" s="955" t="s">
        <v>1027</v>
      </c>
      <c r="T185" s="955" t="s">
        <v>1027</v>
      </c>
      <c r="U185" s="955" t="s">
        <v>1028</v>
      </c>
      <c r="V185" s="955" t="s">
        <v>1029</v>
      </c>
      <c r="W185" s="955" t="s">
        <v>1030</v>
      </c>
      <c r="X185" s="955" t="s">
        <v>1031</v>
      </c>
      <c r="Y185" s="955" t="s">
        <v>1032</v>
      </c>
      <c r="Z185" s="956"/>
      <c r="AA185" s="957"/>
      <c r="AB185" s="957"/>
      <c r="AC185" s="958"/>
      <c r="AD185" s="958"/>
      <c r="AE185" s="959"/>
      <c r="AF185" s="949"/>
      <c r="AG185" s="950"/>
      <c r="AH185" s="950"/>
      <c r="AI185" s="949"/>
      <c r="AJ185" s="950"/>
      <c r="AK185" s="950"/>
      <c r="AL185" s="919"/>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50"/>
    </row>
    <row r="186" ht="11.25" customHeight="1">
      <c r="A186" s="124" t="s">
        <v>989</v>
      </c>
      <c r="B186" s="124"/>
      <c r="C186" s="124"/>
      <c r="D186" s="53"/>
      <c r="E186" s="91"/>
      <c r="F186" s="943"/>
      <c r="G186" s="951"/>
      <c r="H186" s="921" t="s">
        <v>107</v>
      </c>
      <c r="I186" s="944"/>
      <c r="J186" s="388"/>
      <c r="K186" s="448"/>
      <c r="L186" s="224"/>
      <c r="M186" s="218"/>
      <c r="N186" s="952"/>
      <c r="O186" s="953"/>
      <c r="P186" s="960"/>
      <c r="Q186" s="388"/>
      <c r="R186" s="458"/>
      <c r="S186" s="955"/>
      <c r="T186" s="458"/>
      <c r="U186" s="458"/>
      <c r="V186" s="458"/>
      <c r="W186" s="458"/>
      <c r="X186" s="458"/>
      <c r="Y186" s="458"/>
      <c r="Z186" s="961"/>
      <c r="AA186" s="962">
        <v>1</v>
      </c>
      <c r="AB186" s="963" t="s">
        <v>1033</v>
      </c>
      <c r="AC186" s="856">
        <v>32333.032999999999</v>
      </c>
      <c r="AD186" s="963" t="str">
        <f t="shared" si="51"/>
        <v xml:space="preserve">      Амортизационные отчисления с выделением результатов переоценки основных средств и нематериальных активов</v>
      </c>
      <c r="AE186" s="856"/>
      <c r="AF186" s="949"/>
      <c r="AG186" s="950"/>
      <c r="AH186" s="950"/>
      <c r="AI186" s="949"/>
      <c r="AJ186" s="950"/>
      <c r="AK186" s="950"/>
      <c r="AL186" s="919"/>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50"/>
    </row>
    <row r="187" ht="11.25" customHeight="1">
      <c r="A187" s="124" t="s">
        <v>989</v>
      </c>
      <c r="B187" s="124"/>
      <c r="C187" s="124"/>
      <c r="D187" s="53"/>
      <c r="E187" s="91"/>
      <c r="F187" s="943"/>
      <c r="G187" s="951"/>
      <c r="H187" s="921" t="s">
        <v>107</v>
      </c>
      <c r="I187" s="944"/>
      <c r="J187" s="388"/>
      <c r="K187" s="448"/>
      <c r="L187" s="224"/>
      <c r="M187" s="218"/>
      <c r="N187" s="952"/>
      <c r="O187" s="953"/>
      <c r="P187" s="964"/>
      <c r="Q187" s="388"/>
      <c r="R187" s="458"/>
      <c r="S187" s="955"/>
      <c r="T187" s="458"/>
      <c r="U187" s="458"/>
      <c r="V187" s="458"/>
      <c r="W187" s="458"/>
      <c r="X187" s="458"/>
      <c r="Y187" s="458"/>
      <c r="Z187" s="956"/>
      <c r="AA187" s="957"/>
      <c r="AB187" s="172" t="s">
        <v>1034</v>
      </c>
      <c r="AC187" s="958"/>
      <c r="AD187" s="958"/>
      <c r="AE187" s="965"/>
      <c r="AF187" s="949"/>
      <c r="AG187" s="950"/>
      <c r="AH187" s="950"/>
      <c r="AI187" s="949"/>
      <c r="AJ187" s="950"/>
      <c r="AK187" s="950"/>
      <c r="AL187" s="919"/>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50"/>
    </row>
    <row r="188" ht="11.25" customHeight="1">
      <c r="A188" s="124" t="s">
        <v>989</v>
      </c>
      <c r="B188" s="124"/>
      <c r="C188" s="124"/>
      <c r="D188" s="53"/>
      <c r="E188" s="91"/>
      <c r="F188" s="943"/>
      <c r="G188" s="951"/>
      <c r="H188" s="921" t="s">
        <v>107</v>
      </c>
      <c r="I188" s="944"/>
      <c r="J188" s="388"/>
      <c r="K188" s="448"/>
      <c r="L188" s="224"/>
      <c r="M188" s="218"/>
      <c r="N188" s="956"/>
      <c r="O188" s="957"/>
      <c r="P188" s="172" t="s">
        <v>1035</v>
      </c>
      <c r="Q188" s="957"/>
      <c r="R188" s="957"/>
      <c r="S188" s="957"/>
      <c r="T188" s="957"/>
      <c r="U188" s="957"/>
      <c r="V188" s="957"/>
      <c r="W188" s="957"/>
      <c r="X188" s="957"/>
      <c r="Y188" s="957"/>
      <c r="Z188" s="957"/>
      <c r="AA188" s="957"/>
      <c r="AB188" s="957"/>
      <c r="AC188" s="957"/>
      <c r="AD188" s="957"/>
      <c r="AE188" s="966"/>
      <c r="AF188" s="949"/>
      <c r="AG188" s="950"/>
      <c r="AH188" s="950"/>
      <c r="AI188" s="949"/>
      <c r="AJ188" s="950"/>
      <c r="AK188" s="950"/>
      <c r="AL188" s="919"/>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50"/>
    </row>
    <row r="189" ht="11.25" customHeight="1">
      <c r="A189" s="124" t="s">
        <v>989</v>
      </c>
      <c r="B189" s="124" t="s">
        <v>22</v>
      </c>
      <c r="C189" s="124"/>
      <c r="D189" s="53"/>
      <c r="E189" s="91"/>
      <c r="F189" s="943"/>
      <c r="G189" s="149" t="s">
        <v>684</v>
      </c>
      <c r="H189" s="921" t="s">
        <v>91</v>
      </c>
      <c r="I189" s="944" t="s">
        <v>1021</v>
      </c>
      <c r="J189" s="945" t="s">
        <v>22</v>
      </c>
      <c r="K189" s="448" t="s">
        <v>1052</v>
      </c>
      <c r="L189" s="224" t="s">
        <v>19</v>
      </c>
      <c r="M189" s="218"/>
      <c r="N189" s="946"/>
      <c r="O189" s="947" t="s">
        <v>371</v>
      </c>
      <c r="P189" s="948"/>
      <c r="Q189" s="948"/>
      <c r="R189" s="948"/>
      <c r="S189" s="948"/>
      <c r="T189" s="948"/>
      <c r="U189" s="948"/>
      <c r="V189" s="948"/>
      <c r="W189" s="948"/>
      <c r="X189" s="948"/>
      <c r="Y189" s="948"/>
      <c r="Z189" s="948"/>
      <c r="AA189" s="948"/>
      <c r="AB189" s="948"/>
      <c r="AC189" s="948"/>
      <c r="AD189" s="948"/>
      <c r="AE189" s="948"/>
      <c r="AF189" s="949">
        <v>5</v>
      </c>
      <c r="AG189" s="950" t="s">
        <v>1023</v>
      </c>
      <c r="AH189" s="950" t="s">
        <v>1024</v>
      </c>
      <c r="AI189" s="949"/>
      <c r="AJ189" s="950"/>
      <c r="AK189" s="950"/>
      <c r="AL189" s="919"/>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50"/>
    </row>
    <row r="190" ht="11.25" customHeight="1">
      <c r="A190" s="124" t="s">
        <v>989</v>
      </c>
      <c r="B190" s="124"/>
      <c r="C190" s="124"/>
      <c r="D190" s="53"/>
      <c r="E190" s="91"/>
      <c r="F190" s="943"/>
      <c r="G190" s="951"/>
      <c r="H190" s="921" t="s">
        <v>90</v>
      </c>
      <c r="I190" s="944"/>
      <c r="J190" s="945"/>
      <c r="K190" s="448"/>
      <c r="L190" s="224"/>
      <c r="M190" s="218"/>
      <c r="N190" s="952"/>
      <c r="O190" s="953">
        <v>1</v>
      </c>
      <c r="P190" s="954" t="s">
        <v>65</v>
      </c>
      <c r="Q190" s="388" t="s">
        <v>1025</v>
      </c>
      <c r="R190" s="955" t="s">
        <v>1026</v>
      </c>
      <c r="S190" s="955" t="s">
        <v>1027</v>
      </c>
      <c r="T190" s="955" t="s">
        <v>1027</v>
      </c>
      <c r="U190" s="955" t="s">
        <v>1028</v>
      </c>
      <c r="V190" s="955" t="s">
        <v>1029</v>
      </c>
      <c r="W190" s="955" t="s">
        <v>1030</v>
      </c>
      <c r="X190" s="955" t="s">
        <v>1031</v>
      </c>
      <c r="Y190" s="955" t="s">
        <v>1032</v>
      </c>
      <c r="Z190" s="956"/>
      <c r="AA190" s="957"/>
      <c r="AB190" s="957"/>
      <c r="AC190" s="958"/>
      <c r="AD190" s="958"/>
      <c r="AE190" s="959"/>
      <c r="AF190" s="949"/>
      <c r="AG190" s="950"/>
      <c r="AH190" s="950"/>
      <c r="AI190" s="949"/>
      <c r="AJ190" s="950"/>
      <c r="AK190" s="950"/>
      <c r="AL190" s="919"/>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50"/>
    </row>
    <row r="191" ht="11.25" customHeight="1">
      <c r="A191" s="124" t="s">
        <v>989</v>
      </c>
      <c r="B191" s="124"/>
      <c r="C191" s="124"/>
      <c r="D191" s="53"/>
      <c r="E191" s="91"/>
      <c r="F191" s="943"/>
      <c r="G191" s="951"/>
      <c r="H191" s="921" t="s">
        <v>90</v>
      </c>
      <c r="I191" s="944"/>
      <c r="J191" s="945"/>
      <c r="K191" s="448"/>
      <c r="L191" s="224"/>
      <c r="M191" s="218"/>
      <c r="N191" s="952"/>
      <c r="O191" s="953"/>
      <c r="P191" s="960"/>
      <c r="Q191" s="388"/>
      <c r="R191" s="458"/>
      <c r="S191" s="955"/>
      <c r="T191" s="458"/>
      <c r="U191" s="458"/>
      <c r="V191" s="458"/>
      <c r="W191" s="458"/>
      <c r="X191" s="458"/>
      <c r="Y191" s="458"/>
      <c r="Z191" s="961"/>
      <c r="AA191" s="962">
        <v>1</v>
      </c>
      <c r="AB191" s="963" t="s">
        <v>1033</v>
      </c>
      <c r="AC191" s="856">
        <v>4802.5349999999999</v>
      </c>
      <c r="AD191" s="963" t="str">
        <f t="shared" si="51"/>
        <v xml:space="preserve">      Амортизационные отчисления с выделением результатов переоценки основных средств и нематериальных активов</v>
      </c>
      <c r="AE191" s="856"/>
      <c r="AF191" s="949"/>
      <c r="AG191" s="950"/>
      <c r="AH191" s="950"/>
      <c r="AI191" s="949"/>
      <c r="AJ191" s="950"/>
      <c r="AK191" s="950"/>
      <c r="AL191" s="919"/>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50"/>
    </row>
    <row r="192" ht="11.25" customHeight="1">
      <c r="A192" s="124" t="s">
        <v>989</v>
      </c>
      <c r="B192" s="124"/>
      <c r="C192" s="124"/>
      <c r="D192" s="53"/>
      <c r="E192" s="91"/>
      <c r="F192" s="943"/>
      <c r="G192" s="951"/>
      <c r="H192" s="921" t="s">
        <v>90</v>
      </c>
      <c r="I192" s="944"/>
      <c r="J192" s="945"/>
      <c r="K192" s="448"/>
      <c r="L192" s="224"/>
      <c r="M192" s="218"/>
      <c r="N192" s="952"/>
      <c r="O192" s="953"/>
      <c r="P192" s="964"/>
      <c r="Q192" s="388"/>
      <c r="R192" s="458"/>
      <c r="S192" s="955"/>
      <c r="T192" s="458"/>
      <c r="U192" s="458"/>
      <c r="V192" s="458"/>
      <c r="W192" s="458"/>
      <c r="X192" s="458"/>
      <c r="Y192" s="458"/>
      <c r="Z192" s="956"/>
      <c r="AA192" s="957"/>
      <c r="AB192" s="172" t="s">
        <v>1034</v>
      </c>
      <c r="AC192" s="958"/>
      <c r="AD192" s="958"/>
      <c r="AE192" s="965"/>
      <c r="AF192" s="949"/>
      <c r="AG192" s="950"/>
      <c r="AH192" s="950"/>
      <c r="AI192" s="949"/>
      <c r="AJ192" s="950"/>
      <c r="AK192" s="950"/>
      <c r="AL192" s="919"/>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50"/>
    </row>
    <row r="193" ht="11.25" customHeight="1">
      <c r="A193" s="124" t="s">
        <v>989</v>
      </c>
      <c r="B193" s="124"/>
      <c r="C193" s="124"/>
      <c r="D193" s="53"/>
      <c r="E193" s="91"/>
      <c r="F193" s="943"/>
      <c r="G193" s="951"/>
      <c r="H193" s="921" t="s">
        <v>90</v>
      </c>
      <c r="I193" s="944"/>
      <c r="J193" s="945"/>
      <c r="K193" s="448"/>
      <c r="L193" s="224"/>
      <c r="M193" s="218"/>
      <c r="N193" s="956"/>
      <c r="O193" s="957"/>
      <c r="P193" s="172" t="s">
        <v>1035</v>
      </c>
      <c r="Q193" s="957"/>
      <c r="R193" s="957"/>
      <c r="S193" s="957"/>
      <c r="T193" s="957"/>
      <c r="U193" s="957"/>
      <c r="V193" s="957"/>
      <c r="W193" s="957"/>
      <c r="X193" s="957"/>
      <c r="Y193" s="957"/>
      <c r="Z193" s="957"/>
      <c r="AA193" s="957"/>
      <c r="AB193" s="957"/>
      <c r="AC193" s="957"/>
      <c r="AD193" s="957"/>
      <c r="AE193" s="966"/>
      <c r="AF193" s="949"/>
      <c r="AG193" s="950"/>
      <c r="AH193" s="950"/>
      <c r="AI193" s="949"/>
      <c r="AJ193" s="950"/>
      <c r="AK193" s="950"/>
      <c r="AL193" s="919"/>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50"/>
    </row>
    <row r="194" ht="12" customHeight="1">
      <c r="A194" s="124" t="s">
        <v>989</v>
      </c>
      <c r="B194" s="124"/>
      <c r="C194" s="124"/>
      <c r="D194" s="53"/>
      <c r="E194" s="91"/>
      <c r="F194" s="971"/>
      <c r="G194" s="972"/>
      <c r="H194" s="972"/>
      <c r="I194" s="973" t="s">
        <v>1051</v>
      </c>
      <c r="J194" s="973"/>
      <c r="K194" s="973"/>
      <c r="L194" s="974"/>
      <c r="M194" s="974"/>
      <c r="N194" s="975"/>
      <c r="O194" s="975"/>
      <c r="P194" s="975"/>
      <c r="Q194" s="975"/>
      <c r="R194" s="975"/>
      <c r="S194" s="975"/>
      <c r="T194" s="975"/>
      <c r="U194" s="975"/>
      <c r="V194" s="975"/>
      <c r="W194" s="975"/>
      <c r="X194" s="975"/>
      <c r="Y194" s="975"/>
      <c r="Z194" s="975"/>
      <c r="AA194" s="975"/>
      <c r="AB194" s="975"/>
      <c r="AC194" s="975"/>
      <c r="AD194" s="975"/>
      <c r="AE194" s="975"/>
      <c r="AF194" s="975"/>
      <c r="AG194" s="974"/>
      <c r="AH194" s="974"/>
      <c r="AI194" s="975"/>
      <c r="AJ194" s="974"/>
      <c r="AK194" s="975"/>
      <c r="AL194" s="919"/>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50"/>
    </row>
    <row r="195" ht="0.75" customHeight="1">
      <c r="A195" s="124" t="s">
        <v>989</v>
      </c>
      <c r="B195" s="124"/>
      <c r="C195" s="124"/>
      <c r="D195" s="53"/>
      <c r="E195" s="91"/>
      <c r="F195" s="920">
        <v>2030</v>
      </c>
      <c r="G195" s="921"/>
      <c r="H195" s="922" t="s">
        <v>371</v>
      </c>
      <c r="I195" s="923"/>
      <c r="J195" s="160"/>
      <c r="K195" s="160"/>
      <c r="L195" s="924"/>
      <c r="M195" s="536"/>
      <c r="N195" s="925"/>
      <c r="O195" s="926"/>
      <c r="P195" s="925"/>
      <c r="Q195" s="925"/>
      <c r="R195" s="925"/>
      <c r="S195" s="925"/>
      <c r="T195" s="925"/>
      <c r="U195" s="925"/>
      <c r="V195" s="925"/>
      <c r="W195" s="925"/>
      <c r="X195" s="925"/>
      <c r="Y195" s="925"/>
      <c r="Z195" s="925"/>
      <c r="AA195" s="925"/>
      <c r="AB195" s="925"/>
      <c r="AC195" s="925"/>
      <c r="AD195" s="925"/>
      <c r="AE195" s="925"/>
      <c r="AF195" s="927"/>
      <c r="AG195" s="924"/>
      <c r="AH195" s="924"/>
      <c r="AI195" s="927"/>
      <c r="AJ195" s="924"/>
      <c r="AK195" s="924"/>
      <c r="AL195" s="919"/>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50"/>
    </row>
    <row r="196" ht="0.75" customHeight="1">
      <c r="A196" s="124" t="s">
        <v>989</v>
      </c>
      <c r="B196" s="124"/>
      <c r="C196" s="124"/>
      <c r="D196" s="53"/>
      <c r="E196" s="91"/>
      <c r="F196" s="920"/>
      <c r="G196" s="921"/>
      <c r="H196" s="922"/>
      <c r="I196" s="923"/>
      <c r="J196" s="160"/>
      <c r="K196" s="160"/>
      <c r="L196" s="924"/>
      <c r="M196" s="536"/>
      <c r="N196" s="928"/>
      <c r="O196" s="929"/>
      <c r="P196" s="930"/>
      <c r="Q196" s="160"/>
      <c r="R196" s="160"/>
      <c r="S196" s="160"/>
      <c r="T196" s="160"/>
      <c r="U196" s="160"/>
      <c r="V196" s="160"/>
      <c r="W196" s="160"/>
      <c r="X196" s="160"/>
      <c r="Y196" s="160"/>
      <c r="Z196" s="931"/>
      <c r="AA196" s="932"/>
      <c r="AB196" s="932"/>
      <c r="AC196" s="933"/>
      <c r="AD196" s="933"/>
      <c r="AE196" s="934"/>
      <c r="AF196" s="927"/>
      <c r="AG196" s="924"/>
      <c r="AH196" s="924"/>
      <c r="AI196" s="927"/>
      <c r="AJ196" s="924"/>
      <c r="AK196" s="924"/>
      <c r="AL196" s="919"/>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50"/>
    </row>
    <row r="197" ht="0.75" customHeight="1">
      <c r="A197" s="124" t="s">
        <v>989</v>
      </c>
      <c r="B197" s="124"/>
      <c r="C197" s="124"/>
      <c r="D197" s="53"/>
      <c r="E197" s="91"/>
      <c r="F197" s="920"/>
      <c r="G197" s="921"/>
      <c r="H197" s="922"/>
      <c r="I197" s="923"/>
      <c r="J197" s="160"/>
      <c r="K197" s="160"/>
      <c r="L197" s="924"/>
      <c r="M197" s="536"/>
      <c r="N197" s="928"/>
      <c r="O197" s="929"/>
      <c r="P197" s="935"/>
      <c r="Q197" s="160"/>
      <c r="R197" s="160"/>
      <c r="S197" s="160"/>
      <c r="T197" s="160"/>
      <c r="U197" s="160"/>
      <c r="V197" s="160"/>
      <c r="W197" s="160"/>
      <c r="X197" s="160"/>
      <c r="Y197" s="160"/>
      <c r="Z197" s="936"/>
      <c r="AA197" s="929"/>
      <c r="AB197" s="937"/>
      <c r="AC197" s="938"/>
      <c r="AD197" s="937"/>
      <c r="AE197" s="938"/>
      <c r="AF197" s="927"/>
      <c r="AG197" s="924"/>
      <c r="AH197" s="924"/>
      <c r="AI197" s="927"/>
      <c r="AJ197" s="924"/>
      <c r="AK197" s="924"/>
      <c r="AL197" s="919"/>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50"/>
    </row>
    <row r="198" ht="0.75" customHeight="1">
      <c r="A198" s="124" t="s">
        <v>989</v>
      </c>
      <c r="B198" s="124"/>
      <c r="C198" s="124"/>
      <c r="D198" s="53"/>
      <c r="E198" s="91"/>
      <c r="F198" s="920"/>
      <c r="G198" s="921"/>
      <c r="H198" s="922"/>
      <c r="I198" s="923"/>
      <c r="J198" s="160"/>
      <c r="K198" s="160"/>
      <c r="L198" s="924"/>
      <c r="M198" s="536"/>
      <c r="N198" s="928"/>
      <c r="O198" s="929"/>
      <c r="P198" s="939"/>
      <c r="Q198" s="160"/>
      <c r="R198" s="160"/>
      <c r="S198" s="160"/>
      <c r="T198" s="160"/>
      <c r="U198" s="160"/>
      <c r="V198" s="160"/>
      <c r="W198" s="160"/>
      <c r="X198" s="160"/>
      <c r="Y198" s="160"/>
      <c r="Z198" s="931"/>
      <c r="AA198" s="932"/>
      <c r="AB198" s="940"/>
      <c r="AC198" s="933"/>
      <c r="AD198" s="933"/>
      <c r="AE198" s="941"/>
      <c r="AF198" s="927"/>
      <c r="AG198" s="924"/>
      <c r="AH198" s="924"/>
      <c r="AI198" s="927"/>
      <c r="AJ198" s="924"/>
      <c r="AK198" s="924"/>
      <c r="AL198" s="919"/>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50"/>
    </row>
    <row r="199" ht="0.75" customHeight="1">
      <c r="A199" s="124" t="s">
        <v>989</v>
      </c>
      <c r="B199" s="124"/>
      <c r="C199" s="124"/>
      <c r="D199" s="53"/>
      <c r="E199" s="91"/>
      <c r="F199" s="920"/>
      <c r="G199" s="921"/>
      <c r="H199" s="922"/>
      <c r="I199" s="923"/>
      <c r="J199" s="160"/>
      <c r="K199" s="160"/>
      <c r="L199" s="924"/>
      <c r="M199" s="536"/>
      <c r="N199" s="932"/>
      <c r="O199" s="932"/>
      <c r="P199" s="940"/>
      <c r="Q199" s="932"/>
      <c r="R199" s="932"/>
      <c r="S199" s="932"/>
      <c r="T199" s="932"/>
      <c r="U199" s="932"/>
      <c r="V199" s="932"/>
      <c r="W199" s="932"/>
      <c r="X199" s="932"/>
      <c r="Y199" s="932"/>
      <c r="Z199" s="932"/>
      <c r="AA199" s="932"/>
      <c r="AB199" s="932"/>
      <c r="AC199" s="932"/>
      <c r="AD199" s="932"/>
      <c r="AE199" s="942"/>
      <c r="AF199" s="927"/>
      <c r="AG199" s="924"/>
      <c r="AH199" s="924"/>
      <c r="AI199" s="927"/>
      <c r="AJ199" s="924"/>
      <c r="AK199" s="924"/>
      <c r="AL199" s="919"/>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50"/>
    </row>
    <row r="200" ht="11.25" customHeight="1">
      <c r="A200" s="124" t="s">
        <v>989</v>
      </c>
      <c r="B200" s="124" t="s">
        <v>22</v>
      </c>
      <c r="C200" s="124"/>
      <c r="D200" s="53"/>
      <c r="E200" s="91"/>
      <c r="F200" s="943"/>
      <c r="G200" s="149" t="s">
        <v>684</v>
      </c>
      <c r="H200" s="921" t="s">
        <v>106</v>
      </c>
      <c r="I200" s="944" t="s">
        <v>1021</v>
      </c>
      <c r="J200" s="945" t="s">
        <v>22</v>
      </c>
      <c r="K200" s="448" t="s">
        <v>1022</v>
      </c>
      <c r="L200" s="224" t="s">
        <v>19</v>
      </c>
      <c r="M200" s="218"/>
      <c r="N200" s="946"/>
      <c r="O200" s="947" t="s">
        <v>371</v>
      </c>
      <c r="P200" s="948"/>
      <c r="Q200" s="948"/>
      <c r="R200" s="948"/>
      <c r="S200" s="948"/>
      <c r="T200" s="948"/>
      <c r="U200" s="948"/>
      <c r="V200" s="948"/>
      <c r="W200" s="948"/>
      <c r="X200" s="948"/>
      <c r="Y200" s="948"/>
      <c r="Z200" s="948"/>
      <c r="AA200" s="948"/>
      <c r="AB200" s="948"/>
      <c r="AC200" s="948"/>
      <c r="AD200" s="948"/>
      <c r="AE200" s="948"/>
      <c r="AF200" s="949">
        <v>5</v>
      </c>
      <c r="AG200" s="950" t="s">
        <v>1023</v>
      </c>
      <c r="AH200" s="950" t="s">
        <v>1024</v>
      </c>
      <c r="AI200" s="949"/>
      <c r="AJ200" s="950"/>
      <c r="AK200" s="950"/>
      <c r="AL200" s="919"/>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50"/>
    </row>
    <row r="201" ht="11.25" customHeight="1">
      <c r="A201" s="124" t="s">
        <v>989</v>
      </c>
      <c r="B201" s="124"/>
      <c r="C201" s="124"/>
      <c r="D201" s="53"/>
      <c r="E201" s="91"/>
      <c r="F201" s="943"/>
      <c r="G201" s="951"/>
      <c r="H201" s="921" t="s">
        <v>371</v>
      </c>
      <c r="I201" s="944"/>
      <c r="J201" s="945"/>
      <c r="K201" s="448"/>
      <c r="L201" s="224"/>
      <c r="M201" s="218"/>
      <c r="N201" s="952"/>
      <c r="O201" s="953">
        <v>1</v>
      </c>
      <c r="P201" s="954" t="s">
        <v>65</v>
      </c>
      <c r="Q201" s="388" t="s">
        <v>1025</v>
      </c>
      <c r="R201" s="955" t="s">
        <v>1026</v>
      </c>
      <c r="S201" s="955" t="s">
        <v>1027</v>
      </c>
      <c r="T201" s="955" t="s">
        <v>1027</v>
      </c>
      <c r="U201" s="955" t="s">
        <v>1028</v>
      </c>
      <c r="V201" s="955" t="s">
        <v>1029</v>
      </c>
      <c r="W201" s="955" t="s">
        <v>1030</v>
      </c>
      <c r="X201" s="955" t="s">
        <v>1031</v>
      </c>
      <c r="Y201" s="955" t="s">
        <v>1032</v>
      </c>
      <c r="Z201" s="956"/>
      <c r="AA201" s="957"/>
      <c r="AB201" s="957"/>
      <c r="AC201" s="958"/>
      <c r="AD201" s="958"/>
      <c r="AE201" s="959"/>
      <c r="AF201" s="949"/>
      <c r="AG201" s="950"/>
      <c r="AH201" s="950"/>
      <c r="AI201" s="949"/>
      <c r="AJ201" s="950"/>
      <c r="AK201" s="950"/>
      <c r="AL201" s="919"/>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50"/>
    </row>
    <row r="202" ht="11.25" customHeight="1">
      <c r="A202" s="124" t="s">
        <v>989</v>
      </c>
      <c r="B202" s="124"/>
      <c r="C202" s="124"/>
      <c r="D202" s="53"/>
      <c r="E202" s="91"/>
      <c r="F202" s="943"/>
      <c r="G202" s="951"/>
      <c r="H202" s="921" t="s">
        <v>371</v>
      </c>
      <c r="I202" s="944"/>
      <c r="J202" s="945"/>
      <c r="K202" s="448"/>
      <c r="L202" s="224"/>
      <c r="M202" s="218"/>
      <c r="N202" s="952"/>
      <c r="O202" s="953"/>
      <c r="P202" s="960"/>
      <c r="Q202" s="388"/>
      <c r="R202" s="458"/>
      <c r="S202" s="955"/>
      <c r="T202" s="458"/>
      <c r="U202" s="458"/>
      <c r="V202" s="458"/>
      <c r="W202" s="458"/>
      <c r="X202" s="458"/>
      <c r="Y202" s="458"/>
      <c r="Z202" s="961"/>
      <c r="AA202" s="962">
        <v>1</v>
      </c>
      <c r="AB202" s="963" t="s">
        <v>1033</v>
      </c>
      <c r="AC202" s="856">
        <v>33357.264000000003</v>
      </c>
      <c r="AD202" s="963" t="str">
        <f t="shared" si="51"/>
        <v xml:space="preserve">      Амортизационные отчисления с выделением результатов переоценки основных средств и нематериальных активов</v>
      </c>
      <c r="AE202" s="856"/>
      <c r="AF202" s="949"/>
      <c r="AG202" s="950"/>
      <c r="AH202" s="950"/>
      <c r="AI202" s="949"/>
      <c r="AJ202" s="950"/>
      <c r="AK202" s="950"/>
      <c r="AL202" s="919"/>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50"/>
    </row>
    <row r="203" ht="11.25" customHeight="1">
      <c r="A203" s="124" t="s">
        <v>989</v>
      </c>
      <c r="B203" s="124"/>
      <c r="C203" s="124"/>
      <c r="D203" s="53"/>
      <c r="E203" s="91"/>
      <c r="F203" s="943"/>
      <c r="G203" s="951"/>
      <c r="H203" s="921" t="s">
        <v>371</v>
      </c>
      <c r="I203" s="944"/>
      <c r="J203" s="945"/>
      <c r="K203" s="448"/>
      <c r="L203" s="224"/>
      <c r="M203" s="218"/>
      <c r="N203" s="952"/>
      <c r="O203" s="953"/>
      <c r="P203" s="964"/>
      <c r="Q203" s="388"/>
      <c r="R203" s="458"/>
      <c r="S203" s="955"/>
      <c r="T203" s="458"/>
      <c r="U203" s="458"/>
      <c r="V203" s="458"/>
      <c r="W203" s="458"/>
      <c r="X203" s="458"/>
      <c r="Y203" s="458"/>
      <c r="Z203" s="956"/>
      <c r="AA203" s="957"/>
      <c r="AB203" s="172" t="s">
        <v>1034</v>
      </c>
      <c r="AC203" s="958"/>
      <c r="AD203" s="958"/>
      <c r="AE203" s="965"/>
      <c r="AF203" s="949"/>
      <c r="AG203" s="950"/>
      <c r="AH203" s="950"/>
      <c r="AI203" s="949"/>
      <c r="AJ203" s="950"/>
      <c r="AK203" s="950"/>
      <c r="AL203" s="919"/>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50"/>
    </row>
    <row r="204" ht="11.25" customHeight="1">
      <c r="A204" s="124" t="s">
        <v>989</v>
      </c>
      <c r="B204" s="124"/>
      <c r="C204" s="124"/>
      <c r="D204" s="53"/>
      <c r="E204" s="91"/>
      <c r="F204" s="943"/>
      <c r="G204" s="951"/>
      <c r="H204" s="921" t="s">
        <v>371</v>
      </c>
      <c r="I204" s="944"/>
      <c r="J204" s="945"/>
      <c r="K204" s="448"/>
      <c r="L204" s="224"/>
      <c r="M204" s="218"/>
      <c r="N204" s="956"/>
      <c r="O204" s="957"/>
      <c r="P204" s="172" t="s">
        <v>1035</v>
      </c>
      <c r="Q204" s="957"/>
      <c r="R204" s="957"/>
      <c r="S204" s="957"/>
      <c r="T204" s="957"/>
      <c r="U204" s="957"/>
      <c r="V204" s="957"/>
      <c r="W204" s="957"/>
      <c r="X204" s="957"/>
      <c r="Y204" s="957"/>
      <c r="Z204" s="957"/>
      <c r="AA204" s="957"/>
      <c r="AB204" s="957"/>
      <c r="AC204" s="957"/>
      <c r="AD204" s="957"/>
      <c r="AE204" s="966"/>
      <c r="AF204" s="949"/>
      <c r="AG204" s="950"/>
      <c r="AH204" s="950"/>
      <c r="AI204" s="949"/>
      <c r="AJ204" s="950"/>
      <c r="AK204" s="950"/>
      <c r="AL204" s="919"/>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50"/>
    </row>
    <row r="205" ht="11.25" customHeight="1">
      <c r="A205" s="124" t="s">
        <v>989</v>
      </c>
      <c r="B205" s="124" t="s">
        <v>1036</v>
      </c>
      <c r="C205" s="124"/>
      <c r="D205" s="53"/>
      <c r="E205" s="91"/>
      <c r="F205" s="943"/>
      <c r="G205" s="149" t="s">
        <v>684</v>
      </c>
      <c r="H205" s="921" t="s">
        <v>107</v>
      </c>
      <c r="I205" s="944" t="s">
        <v>1037</v>
      </c>
      <c r="J205" s="388" t="s">
        <v>1038</v>
      </c>
      <c r="K205" s="448" t="s">
        <v>1044</v>
      </c>
      <c r="L205" s="224" t="s">
        <v>19</v>
      </c>
      <c r="M205" s="218"/>
      <c r="N205" s="946"/>
      <c r="O205" s="947" t="s">
        <v>371</v>
      </c>
      <c r="P205" s="948"/>
      <c r="Q205" s="948"/>
      <c r="R205" s="948"/>
      <c r="S205" s="948"/>
      <c r="T205" s="948"/>
      <c r="U205" s="948"/>
      <c r="V205" s="948"/>
      <c r="W205" s="948"/>
      <c r="X205" s="948"/>
      <c r="Y205" s="948"/>
      <c r="Z205" s="948"/>
      <c r="AA205" s="948"/>
      <c r="AB205" s="948"/>
      <c r="AC205" s="948"/>
      <c r="AD205" s="948"/>
      <c r="AE205" s="948"/>
      <c r="AF205" s="949">
        <v>5</v>
      </c>
      <c r="AG205" s="950" t="s">
        <v>1023</v>
      </c>
      <c r="AH205" s="950" t="s">
        <v>1024</v>
      </c>
      <c r="AI205" s="949"/>
      <c r="AJ205" s="950"/>
      <c r="AK205" s="950"/>
      <c r="AL205" s="919"/>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50"/>
    </row>
    <row r="206" ht="11.25" customHeight="1">
      <c r="A206" s="124" t="s">
        <v>989</v>
      </c>
      <c r="B206" s="124"/>
      <c r="C206" s="124"/>
      <c r="D206" s="53"/>
      <c r="E206" s="91"/>
      <c r="F206" s="943"/>
      <c r="G206" s="951"/>
      <c r="H206" s="921" t="s">
        <v>106</v>
      </c>
      <c r="I206" s="944"/>
      <c r="J206" s="388"/>
      <c r="K206" s="448"/>
      <c r="L206" s="224"/>
      <c r="M206" s="218"/>
      <c r="N206" s="952"/>
      <c r="O206" s="953">
        <v>1</v>
      </c>
      <c r="P206" s="954" t="s">
        <v>65</v>
      </c>
      <c r="Q206" s="388" t="s">
        <v>1025</v>
      </c>
      <c r="R206" s="955" t="s">
        <v>1026</v>
      </c>
      <c r="S206" s="955" t="s">
        <v>1027</v>
      </c>
      <c r="T206" s="955" t="s">
        <v>1027</v>
      </c>
      <c r="U206" s="955" t="s">
        <v>1028</v>
      </c>
      <c r="V206" s="955" t="s">
        <v>1029</v>
      </c>
      <c r="W206" s="955" t="s">
        <v>1030</v>
      </c>
      <c r="X206" s="955" t="s">
        <v>1031</v>
      </c>
      <c r="Y206" s="955" t="s">
        <v>1032</v>
      </c>
      <c r="Z206" s="956"/>
      <c r="AA206" s="957"/>
      <c r="AB206" s="957"/>
      <c r="AC206" s="958"/>
      <c r="AD206" s="958"/>
      <c r="AE206" s="959"/>
      <c r="AF206" s="949"/>
      <c r="AG206" s="950"/>
      <c r="AH206" s="950"/>
      <c r="AI206" s="949"/>
      <c r="AJ206" s="950"/>
      <c r="AK206" s="950"/>
      <c r="AL206" s="919"/>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50"/>
    </row>
    <row r="207" ht="11.25" customHeight="1">
      <c r="A207" s="124" t="s">
        <v>989</v>
      </c>
      <c r="B207" s="124"/>
      <c r="C207" s="124"/>
      <c r="D207" s="53"/>
      <c r="E207" s="91"/>
      <c r="F207" s="943"/>
      <c r="G207" s="951"/>
      <c r="H207" s="921" t="s">
        <v>106</v>
      </c>
      <c r="I207" s="944"/>
      <c r="J207" s="388"/>
      <c r="K207" s="448"/>
      <c r="L207" s="224"/>
      <c r="M207" s="218"/>
      <c r="N207" s="952"/>
      <c r="O207" s="953"/>
      <c r="P207" s="960"/>
      <c r="Q207" s="388"/>
      <c r="R207" s="458"/>
      <c r="S207" s="955"/>
      <c r="T207" s="458"/>
      <c r="U207" s="458"/>
      <c r="V207" s="458"/>
      <c r="W207" s="458"/>
      <c r="X207" s="458"/>
      <c r="Y207" s="458"/>
      <c r="Z207" s="961"/>
      <c r="AA207" s="962">
        <v>1</v>
      </c>
      <c r="AB207" s="963" t="s">
        <v>1033</v>
      </c>
      <c r="AC207" s="856">
        <v>17227.044999999998</v>
      </c>
      <c r="AD207" s="963" t="str">
        <f t="shared" si="51"/>
        <v xml:space="preserve">      Амортизационные отчисления с выделением результатов переоценки основных средств и нематериальных активов</v>
      </c>
      <c r="AE207" s="856"/>
      <c r="AF207" s="949"/>
      <c r="AG207" s="950"/>
      <c r="AH207" s="950"/>
      <c r="AI207" s="949"/>
      <c r="AJ207" s="950"/>
      <c r="AK207" s="950"/>
      <c r="AL207" s="919"/>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50"/>
    </row>
    <row r="208" ht="11.25" customHeight="1">
      <c r="A208" s="124" t="s">
        <v>989</v>
      </c>
      <c r="B208" s="124"/>
      <c r="C208" s="124"/>
      <c r="D208" s="53"/>
      <c r="E208" s="91"/>
      <c r="F208" s="943"/>
      <c r="G208" s="951"/>
      <c r="H208" s="921" t="s">
        <v>106</v>
      </c>
      <c r="I208" s="944"/>
      <c r="J208" s="388"/>
      <c r="K208" s="448"/>
      <c r="L208" s="224"/>
      <c r="M208" s="218"/>
      <c r="N208" s="952"/>
      <c r="O208" s="953"/>
      <c r="P208" s="964"/>
      <c r="Q208" s="388"/>
      <c r="R208" s="458"/>
      <c r="S208" s="955"/>
      <c r="T208" s="458"/>
      <c r="U208" s="458"/>
      <c r="V208" s="458"/>
      <c r="W208" s="458"/>
      <c r="X208" s="458"/>
      <c r="Y208" s="458"/>
      <c r="Z208" s="956"/>
      <c r="AA208" s="957"/>
      <c r="AB208" s="172" t="s">
        <v>1034</v>
      </c>
      <c r="AC208" s="958"/>
      <c r="AD208" s="958"/>
      <c r="AE208" s="965"/>
      <c r="AF208" s="949"/>
      <c r="AG208" s="950"/>
      <c r="AH208" s="950"/>
      <c r="AI208" s="949"/>
      <c r="AJ208" s="950"/>
      <c r="AK208" s="950"/>
      <c r="AL208" s="919"/>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50"/>
    </row>
    <row r="209" ht="11.25" customHeight="1">
      <c r="A209" s="124" t="s">
        <v>989</v>
      </c>
      <c r="B209" s="124"/>
      <c r="C209" s="124"/>
      <c r="D209" s="53"/>
      <c r="E209" s="91"/>
      <c r="F209" s="943"/>
      <c r="G209" s="951"/>
      <c r="H209" s="921" t="s">
        <v>106</v>
      </c>
      <c r="I209" s="944"/>
      <c r="J209" s="388"/>
      <c r="K209" s="448"/>
      <c r="L209" s="224"/>
      <c r="M209" s="218"/>
      <c r="N209" s="956"/>
      <c r="O209" s="957"/>
      <c r="P209" s="172" t="s">
        <v>1035</v>
      </c>
      <c r="Q209" s="957"/>
      <c r="R209" s="957"/>
      <c r="S209" s="957"/>
      <c r="T209" s="957"/>
      <c r="U209" s="957"/>
      <c r="V209" s="957"/>
      <c r="W209" s="957"/>
      <c r="X209" s="957"/>
      <c r="Y209" s="957"/>
      <c r="Z209" s="957"/>
      <c r="AA209" s="957"/>
      <c r="AB209" s="957"/>
      <c r="AC209" s="957"/>
      <c r="AD209" s="957"/>
      <c r="AE209" s="966"/>
      <c r="AF209" s="949"/>
      <c r="AG209" s="950"/>
      <c r="AH209" s="950"/>
      <c r="AI209" s="949"/>
      <c r="AJ209" s="950"/>
      <c r="AK209" s="950"/>
      <c r="AL209" s="919"/>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50"/>
    </row>
    <row r="210" ht="11.25" customHeight="1">
      <c r="A210" s="124" t="s">
        <v>989</v>
      </c>
      <c r="B210" s="124" t="s">
        <v>1036</v>
      </c>
      <c r="C210" s="124"/>
      <c r="D210" s="53"/>
      <c r="E210" s="91"/>
      <c r="F210" s="943"/>
      <c r="G210" s="149" t="s">
        <v>684</v>
      </c>
      <c r="H210" s="921" t="s">
        <v>90</v>
      </c>
      <c r="I210" s="944" t="s">
        <v>1037</v>
      </c>
      <c r="J210" s="388" t="s">
        <v>1038</v>
      </c>
      <c r="K210" s="448" t="s">
        <v>1057</v>
      </c>
      <c r="L210" s="224" t="s">
        <v>19</v>
      </c>
      <c r="M210" s="218"/>
      <c r="N210" s="946"/>
      <c r="O210" s="947" t="s">
        <v>371</v>
      </c>
      <c r="P210" s="948"/>
      <c r="Q210" s="948"/>
      <c r="R210" s="948"/>
      <c r="S210" s="948"/>
      <c r="T210" s="948"/>
      <c r="U210" s="948"/>
      <c r="V210" s="948"/>
      <c r="W210" s="948"/>
      <c r="X210" s="948"/>
      <c r="Y210" s="948"/>
      <c r="Z210" s="948"/>
      <c r="AA210" s="948"/>
      <c r="AB210" s="948"/>
      <c r="AC210" s="948"/>
      <c r="AD210" s="948"/>
      <c r="AE210" s="948"/>
      <c r="AF210" s="949">
        <v>1</v>
      </c>
      <c r="AG210" s="950" t="s">
        <v>1023</v>
      </c>
      <c r="AH210" s="950" t="s">
        <v>1024</v>
      </c>
      <c r="AI210" s="949"/>
      <c r="AJ210" s="950"/>
      <c r="AK210" s="950"/>
      <c r="AL210" s="919"/>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50"/>
    </row>
    <row r="211" ht="11.25" customHeight="1">
      <c r="A211" s="124" t="s">
        <v>989</v>
      </c>
      <c r="B211" s="124"/>
      <c r="C211" s="124"/>
      <c r="D211" s="53"/>
      <c r="E211" s="91"/>
      <c r="F211" s="943"/>
      <c r="G211" s="951"/>
      <c r="H211" s="921" t="s">
        <v>107</v>
      </c>
      <c r="I211" s="944"/>
      <c r="J211" s="388"/>
      <c r="K211" s="448"/>
      <c r="L211" s="224"/>
      <c r="M211" s="218"/>
      <c r="N211" s="952"/>
      <c r="O211" s="953">
        <v>1</v>
      </c>
      <c r="P211" s="954" t="s">
        <v>65</v>
      </c>
      <c r="Q211" s="388" t="s">
        <v>1025</v>
      </c>
      <c r="R211" s="955" t="s">
        <v>1026</v>
      </c>
      <c r="S211" s="955" t="s">
        <v>1027</v>
      </c>
      <c r="T211" s="955" t="s">
        <v>1027</v>
      </c>
      <c r="U211" s="955" t="s">
        <v>1028</v>
      </c>
      <c r="V211" s="955" t="s">
        <v>1029</v>
      </c>
      <c r="W211" s="955" t="s">
        <v>1030</v>
      </c>
      <c r="X211" s="955" t="s">
        <v>1031</v>
      </c>
      <c r="Y211" s="955" t="s">
        <v>1032</v>
      </c>
      <c r="Z211" s="956"/>
      <c r="AA211" s="957"/>
      <c r="AB211" s="957"/>
      <c r="AC211" s="958"/>
      <c r="AD211" s="958"/>
      <c r="AE211" s="959"/>
      <c r="AF211" s="949"/>
      <c r="AG211" s="950"/>
      <c r="AH211" s="950"/>
      <c r="AI211" s="949"/>
      <c r="AJ211" s="950"/>
      <c r="AK211" s="950"/>
      <c r="AL211" s="919"/>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50"/>
    </row>
    <row r="212" ht="11.25" customHeight="1">
      <c r="A212" s="124" t="s">
        <v>989</v>
      </c>
      <c r="B212" s="124"/>
      <c r="C212" s="124"/>
      <c r="D212" s="53"/>
      <c r="E212" s="91"/>
      <c r="F212" s="943"/>
      <c r="G212" s="951"/>
      <c r="H212" s="921" t="s">
        <v>107</v>
      </c>
      <c r="I212" s="944"/>
      <c r="J212" s="388"/>
      <c r="K212" s="448"/>
      <c r="L212" s="224"/>
      <c r="M212" s="218"/>
      <c r="N212" s="952"/>
      <c r="O212" s="953"/>
      <c r="P212" s="960"/>
      <c r="Q212" s="388"/>
      <c r="R212" s="458"/>
      <c r="S212" s="955"/>
      <c r="T212" s="458"/>
      <c r="U212" s="458"/>
      <c r="V212" s="458"/>
      <c r="W212" s="458"/>
      <c r="X212" s="458"/>
      <c r="Y212" s="458"/>
      <c r="Z212" s="961"/>
      <c r="AA212" s="962">
        <v>1</v>
      </c>
      <c r="AB212" s="963" t="s">
        <v>1033</v>
      </c>
      <c r="AC212" s="856">
        <v>3461.9899999999998</v>
      </c>
      <c r="AD212" s="963" t="str">
        <f t="shared" si="51"/>
        <v xml:space="preserve">      Амортизационные отчисления с выделением результатов переоценки основных средств и нематериальных активов</v>
      </c>
      <c r="AE212" s="856"/>
      <c r="AF212" s="949"/>
      <c r="AG212" s="950"/>
      <c r="AH212" s="950"/>
      <c r="AI212" s="949"/>
      <c r="AJ212" s="950"/>
      <c r="AK212" s="950"/>
      <c r="AL212" s="919"/>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50"/>
    </row>
    <row r="213" ht="11.25" customHeight="1">
      <c r="A213" s="124" t="s">
        <v>989</v>
      </c>
      <c r="B213" s="124"/>
      <c r="C213" s="124"/>
      <c r="D213" s="53"/>
      <c r="E213" s="91"/>
      <c r="F213" s="943"/>
      <c r="G213" s="951"/>
      <c r="H213" s="921" t="s">
        <v>107</v>
      </c>
      <c r="I213" s="944"/>
      <c r="J213" s="388"/>
      <c r="K213" s="448"/>
      <c r="L213" s="224"/>
      <c r="M213" s="218"/>
      <c r="N213" s="952"/>
      <c r="O213" s="953"/>
      <c r="P213" s="964"/>
      <c r="Q213" s="388"/>
      <c r="R213" s="458"/>
      <c r="S213" s="955"/>
      <c r="T213" s="458"/>
      <c r="U213" s="458"/>
      <c r="V213" s="458"/>
      <c r="W213" s="458"/>
      <c r="X213" s="458"/>
      <c r="Y213" s="458"/>
      <c r="Z213" s="956"/>
      <c r="AA213" s="957"/>
      <c r="AB213" s="172" t="s">
        <v>1034</v>
      </c>
      <c r="AC213" s="958"/>
      <c r="AD213" s="958"/>
      <c r="AE213" s="965"/>
      <c r="AF213" s="949"/>
      <c r="AG213" s="950"/>
      <c r="AH213" s="950"/>
      <c r="AI213" s="949"/>
      <c r="AJ213" s="950"/>
      <c r="AK213" s="950"/>
      <c r="AL213" s="919"/>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50"/>
    </row>
    <row r="214" ht="11.25" customHeight="1">
      <c r="A214" s="124" t="s">
        <v>989</v>
      </c>
      <c r="B214" s="124"/>
      <c r="C214" s="124"/>
      <c r="D214" s="53"/>
      <c r="E214" s="91"/>
      <c r="F214" s="943"/>
      <c r="G214" s="951"/>
      <c r="H214" s="921" t="s">
        <v>107</v>
      </c>
      <c r="I214" s="944"/>
      <c r="J214" s="388"/>
      <c r="K214" s="448"/>
      <c r="L214" s="224"/>
      <c r="M214" s="218"/>
      <c r="N214" s="956"/>
      <c r="O214" s="957"/>
      <c r="P214" s="172" t="s">
        <v>1035</v>
      </c>
      <c r="Q214" s="957"/>
      <c r="R214" s="957"/>
      <c r="S214" s="957"/>
      <c r="T214" s="957"/>
      <c r="U214" s="957"/>
      <c r="V214" s="957"/>
      <c r="W214" s="957"/>
      <c r="X214" s="957"/>
      <c r="Y214" s="957"/>
      <c r="Z214" s="957"/>
      <c r="AA214" s="957"/>
      <c r="AB214" s="957"/>
      <c r="AC214" s="957"/>
      <c r="AD214" s="957"/>
      <c r="AE214" s="966"/>
      <c r="AF214" s="949"/>
      <c r="AG214" s="950"/>
      <c r="AH214" s="950"/>
      <c r="AI214" s="949"/>
      <c r="AJ214" s="950"/>
      <c r="AK214" s="950"/>
      <c r="AL214" s="919"/>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50"/>
    </row>
    <row r="215" ht="11.25" customHeight="1">
      <c r="A215" s="124" t="s">
        <v>989</v>
      </c>
      <c r="B215" s="124" t="s">
        <v>22</v>
      </c>
      <c r="C215" s="124"/>
      <c r="D215" s="53"/>
      <c r="E215" s="91"/>
      <c r="F215" s="943"/>
      <c r="G215" s="149" t="s">
        <v>684</v>
      </c>
      <c r="H215" s="921" t="s">
        <v>91</v>
      </c>
      <c r="I215" s="944" t="s">
        <v>1021</v>
      </c>
      <c r="J215" s="945" t="s">
        <v>22</v>
      </c>
      <c r="K215" s="448" t="s">
        <v>1052</v>
      </c>
      <c r="L215" s="224" t="s">
        <v>19</v>
      </c>
      <c r="M215" s="218"/>
      <c r="N215" s="946"/>
      <c r="O215" s="947" t="s">
        <v>371</v>
      </c>
      <c r="P215" s="948"/>
      <c r="Q215" s="948"/>
      <c r="R215" s="948"/>
      <c r="S215" s="948"/>
      <c r="T215" s="948"/>
      <c r="U215" s="948"/>
      <c r="V215" s="948"/>
      <c r="W215" s="948"/>
      <c r="X215" s="948"/>
      <c r="Y215" s="948"/>
      <c r="Z215" s="948"/>
      <c r="AA215" s="948"/>
      <c r="AB215" s="948"/>
      <c r="AC215" s="948"/>
      <c r="AD215" s="948"/>
      <c r="AE215" s="948"/>
      <c r="AF215" s="949">
        <v>5</v>
      </c>
      <c r="AG215" s="950" t="s">
        <v>1023</v>
      </c>
      <c r="AH215" s="950" t="s">
        <v>1024</v>
      </c>
      <c r="AI215" s="949"/>
      <c r="AJ215" s="950"/>
      <c r="AK215" s="950"/>
      <c r="AL215" s="919"/>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50"/>
    </row>
    <row r="216" ht="11.25" customHeight="1">
      <c r="A216" s="124" t="s">
        <v>989</v>
      </c>
      <c r="B216" s="124"/>
      <c r="C216" s="124"/>
      <c r="D216" s="53"/>
      <c r="E216" s="91"/>
      <c r="F216" s="943"/>
      <c r="G216" s="951"/>
      <c r="H216" s="921" t="s">
        <v>90</v>
      </c>
      <c r="I216" s="944"/>
      <c r="J216" s="945"/>
      <c r="K216" s="448"/>
      <c r="L216" s="224"/>
      <c r="M216" s="218"/>
      <c r="N216" s="952"/>
      <c r="O216" s="953">
        <v>1</v>
      </c>
      <c r="P216" s="954" t="s">
        <v>65</v>
      </c>
      <c r="Q216" s="388" t="s">
        <v>1025</v>
      </c>
      <c r="R216" s="955" t="s">
        <v>1026</v>
      </c>
      <c r="S216" s="955" t="s">
        <v>1027</v>
      </c>
      <c r="T216" s="955" t="s">
        <v>1027</v>
      </c>
      <c r="U216" s="955" t="s">
        <v>1028</v>
      </c>
      <c r="V216" s="955" t="s">
        <v>1029</v>
      </c>
      <c r="W216" s="955" t="s">
        <v>1030</v>
      </c>
      <c r="X216" s="955" t="s">
        <v>1031</v>
      </c>
      <c r="Y216" s="955" t="s">
        <v>1032</v>
      </c>
      <c r="Z216" s="956"/>
      <c r="AA216" s="957"/>
      <c r="AB216" s="957"/>
      <c r="AC216" s="958"/>
      <c r="AD216" s="958"/>
      <c r="AE216" s="959"/>
      <c r="AF216" s="949"/>
      <c r="AG216" s="950"/>
      <c r="AH216" s="950"/>
      <c r="AI216" s="949"/>
      <c r="AJ216" s="950"/>
      <c r="AK216" s="950"/>
      <c r="AL216" s="919"/>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50"/>
    </row>
    <row r="217" ht="11.25" customHeight="1">
      <c r="A217" s="124" t="s">
        <v>989</v>
      </c>
      <c r="B217" s="124"/>
      <c r="C217" s="124"/>
      <c r="D217" s="53"/>
      <c r="E217" s="91"/>
      <c r="F217" s="943"/>
      <c r="G217" s="951"/>
      <c r="H217" s="921" t="s">
        <v>90</v>
      </c>
      <c r="I217" s="944"/>
      <c r="J217" s="945"/>
      <c r="K217" s="448"/>
      <c r="L217" s="224"/>
      <c r="M217" s="218"/>
      <c r="N217" s="952"/>
      <c r="O217" s="953"/>
      <c r="P217" s="960"/>
      <c r="Q217" s="388"/>
      <c r="R217" s="458"/>
      <c r="S217" s="955"/>
      <c r="T217" s="458"/>
      <c r="U217" s="458"/>
      <c r="V217" s="458"/>
      <c r="W217" s="458"/>
      <c r="X217" s="458"/>
      <c r="Y217" s="458"/>
      <c r="Z217" s="961"/>
      <c r="AA217" s="962">
        <v>1</v>
      </c>
      <c r="AB217" s="963" t="s">
        <v>1033</v>
      </c>
      <c r="AC217" s="856">
        <v>2436.7660000000001</v>
      </c>
      <c r="AD217" s="963" t="str">
        <f t="shared" si="51"/>
        <v xml:space="preserve">      Амортизационные отчисления с выделением результатов переоценки основных средств и нематериальных активов</v>
      </c>
      <c r="AE217" s="856"/>
      <c r="AF217" s="949"/>
      <c r="AG217" s="950"/>
      <c r="AH217" s="950"/>
      <c r="AI217" s="949"/>
      <c r="AJ217" s="950"/>
      <c r="AK217" s="950"/>
      <c r="AL217" s="919"/>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50"/>
    </row>
    <row r="218" ht="11.25" customHeight="1">
      <c r="A218" s="124" t="s">
        <v>989</v>
      </c>
      <c r="B218" s="124"/>
      <c r="C218" s="124"/>
      <c r="D218" s="53"/>
      <c r="E218" s="91"/>
      <c r="F218" s="943"/>
      <c r="G218" s="951"/>
      <c r="H218" s="921" t="s">
        <v>90</v>
      </c>
      <c r="I218" s="944"/>
      <c r="J218" s="945"/>
      <c r="K218" s="448"/>
      <c r="L218" s="224"/>
      <c r="M218" s="218"/>
      <c r="N218" s="952"/>
      <c r="O218" s="953"/>
      <c r="P218" s="964"/>
      <c r="Q218" s="388"/>
      <c r="R218" s="458"/>
      <c r="S218" s="955"/>
      <c r="T218" s="458"/>
      <c r="U218" s="458"/>
      <c r="V218" s="458"/>
      <c r="W218" s="458"/>
      <c r="X218" s="458"/>
      <c r="Y218" s="458"/>
      <c r="Z218" s="956"/>
      <c r="AA218" s="957"/>
      <c r="AB218" s="172" t="s">
        <v>1034</v>
      </c>
      <c r="AC218" s="958"/>
      <c r="AD218" s="958"/>
      <c r="AE218" s="965"/>
      <c r="AF218" s="949"/>
      <c r="AG218" s="950"/>
      <c r="AH218" s="950"/>
      <c r="AI218" s="949"/>
      <c r="AJ218" s="950"/>
      <c r="AK218" s="950"/>
      <c r="AL218" s="919"/>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50"/>
    </row>
    <row r="219" ht="11.25" customHeight="1">
      <c r="A219" s="124" t="s">
        <v>989</v>
      </c>
      <c r="B219" s="124"/>
      <c r="C219" s="124"/>
      <c r="D219" s="53"/>
      <c r="E219" s="91"/>
      <c r="F219" s="943"/>
      <c r="G219" s="951"/>
      <c r="H219" s="921" t="s">
        <v>90</v>
      </c>
      <c r="I219" s="944"/>
      <c r="J219" s="945"/>
      <c r="K219" s="448"/>
      <c r="L219" s="224"/>
      <c r="M219" s="218"/>
      <c r="N219" s="956"/>
      <c r="O219" s="957"/>
      <c r="P219" s="172" t="s">
        <v>1035</v>
      </c>
      <c r="Q219" s="957"/>
      <c r="R219" s="957"/>
      <c r="S219" s="957"/>
      <c r="T219" s="957"/>
      <c r="U219" s="957"/>
      <c r="V219" s="957"/>
      <c r="W219" s="957"/>
      <c r="X219" s="957"/>
      <c r="Y219" s="957"/>
      <c r="Z219" s="957"/>
      <c r="AA219" s="957"/>
      <c r="AB219" s="957"/>
      <c r="AC219" s="957"/>
      <c r="AD219" s="957"/>
      <c r="AE219" s="966"/>
      <c r="AF219" s="949"/>
      <c r="AG219" s="950"/>
      <c r="AH219" s="950"/>
      <c r="AI219" s="949"/>
      <c r="AJ219" s="950"/>
      <c r="AK219" s="950"/>
      <c r="AL219" s="919"/>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50"/>
    </row>
    <row r="220" ht="11.25" customHeight="1">
      <c r="A220" s="124" t="s">
        <v>989</v>
      </c>
      <c r="B220" s="124" t="s">
        <v>22</v>
      </c>
      <c r="C220" s="124"/>
      <c r="D220" s="53"/>
      <c r="E220" s="91"/>
      <c r="F220" s="943"/>
      <c r="G220" s="149" t="s">
        <v>684</v>
      </c>
      <c r="H220" s="921" t="s">
        <v>108</v>
      </c>
      <c r="I220" s="944" t="s">
        <v>1021</v>
      </c>
      <c r="J220" s="945" t="s">
        <v>22</v>
      </c>
      <c r="K220" s="448" t="s">
        <v>1056</v>
      </c>
      <c r="L220" s="224" t="s">
        <v>19</v>
      </c>
      <c r="M220" s="218"/>
      <c r="N220" s="946"/>
      <c r="O220" s="947" t="s">
        <v>371</v>
      </c>
      <c r="P220" s="948"/>
      <c r="Q220" s="948"/>
      <c r="R220" s="948"/>
      <c r="S220" s="948"/>
      <c r="T220" s="948"/>
      <c r="U220" s="948"/>
      <c r="V220" s="948"/>
      <c r="W220" s="948"/>
      <c r="X220" s="948"/>
      <c r="Y220" s="948"/>
      <c r="Z220" s="948"/>
      <c r="AA220" s="948"/>
      <c r="AB220" s="948"/>
      <c r="AC220" s="948"/>
      <c r="AD220" s="948"/>
      <c r="AE220" s="948"/>
      <c r="AF220" s="949">
        <v>5</v>
      </c>
      <c r="AG220" s="950" t="s">
        <v>1023</v>
      </c>
      <c r="AH220" s="950" t="s">
        <v>1024</v>
      </c>
      <c r="AI220" s="949"/>
      <c r="AJ220" s="950"/>
      <c r="AK220" s="950"/>
      <c r="AL220" s="919"/>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50"/>
    </row>
    <row r="221" ht="11.25" customHeight="1">
      <c r="A221" s="124" t="s">
        <v>989</v>
      </c>
      <c r="B221" s="124"/>
      <c r="C221" s="124"/>
      <c r="D221" s="53"/>
      <c r="E221" s="91"/>
      <c r="F221" s="943"/>
      <c r="G221" s="951"/>
      <c r="H221" s="921" t="s">
        <v>91</v>
      </c>
      <c r="I221" s="944"/>
      <c r="J221" s="945"/>
      <c r="K221" s="448"/>
      <c r="L221" s="224"/>
      <c r="M221" s="218"/>
      <c r="N221" s="952"/>
      <c r="O221" s="953">
        <v>1</v>
      </c>
      <c r="P221" s="954" t="s">
        <v>65</v>
      </c>
      <c r="Q221" s="388" t="s">
        <v>1025</v>
      </c>
      <c r="R221" s="955" t="s">
        <v>1026</v>
      </c>
      <c r="S221" s="955" t="s">
        <v>1027</v>
      </c>
      <c r="T221" s="955" t="s">
        <v>1027</v>
      </c>
      <c r="U221" s="955" t="s">
        <v>1028</v>
      </c>
      <c r="V221" s="955" t="s">
        <v>1029</v>
      </c>
      <c r="W221" s="955" t="s">
        <v>1030</v>
      </c>
      <c r="X221" s="955" t="s">
        <v>1031</v>
      </c>
      <c r="Y221" s="955" t="s">
        <v>1032</v>
      </c>
      <c r="Z221" s="956"/>
      <c r="AA221" s="957"/>
      <c r="AB221" s="957"/>
      <c r="AC221" s="958"/>
      <c r="AD221" s="958"/>
      <c r="AE221" s="959"/>
      <c r="AF221" s="949"/>
      <c r="AG221" s="950"/>
      <c r="AH221" s="950"/>
      <c r="AI221" s="949"/>
      <c r="AJ221" s="950"/>
      <c r="AK221" s="950"/>
      <c r="AL221" s="919"/>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50"/>
    </row>
    <row r="222" ht="11.25" customHeight="1">
      <c r="A222" s="124" t="s">
        <v>989</v>
      </c>
      <c r="B222" s="124"/>
      <c r="C222" s="124"/>
      <c r="D222" s="53"/>
      <c r="E222" s="91"/>
      <c r="F222" s="943"/>
      <c r="G222" s="951"/>
      <c r="H222" s="921" t="s">
        <v>91</v>
      </c>
      <c r="I222" s="944"/>
      <c r="J222" s="945"/>
      <c r="K222" s="448"/>
      <c r="L222" s="224"/>
      <c r="M222" s="218"/>
      <c r="N222" s="952"/>
      <c r="O222" s="953"/>
      <c r="P222" s="960"/>
      <c r="Q222" s="388"/>
      <c r="R222" s="458"/>
      <c r="S222" s="955"/>
      <c r="T222" s="458"/>
      <c r="U222" s="458"/>
      <c r="V222" s="458"/>
      <c r="W222" s="458"/>
      <c r="X222" s="458"/>
      <c r="Y222" s="458"/>
      <c r="Z222" s="961"/>
      <c r="AA222" s="962">
        <v>1</v>
      </c>
      <c r="AB222" s="963" t="s">
        <v>1041</v>
      </c>
      <c r="AC222" s="856">
        <v>26414.803</v>
      </c>
      <c r="AD222" s="963" t="str">
        <f t="shared" si="51"/>
        <v xml:space="preserve">  Прочие собственные средства</v>
      </c>
      <c r="AE222" s="856"/>
      <c r="AF222" s="949"/>
      <c r="AG222" s="950"/>
      <c r="AH222" s="950"/>
      <c r="AI222" s="949"/>
      <c r="AJ222" s="950"/>
      <c r="AK222" s="950"/>
      <c r="AL222" s="919"/>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50"/>
    </row>
    <row r="223" ht="11.25" customHeight="1">
      <c r="A223" s="124" t="s">
        <v>989</v>
      </c>
      <c r="B223" s="124"/>
      <c r="C223" s="124"/>
      <c r="D223" s="53"/>
      <c r="E223" s="91"/>
      <c r="F223" s="943"/>
      <c r="G223" s="951"/>
      <c r="H223" s="921" t="s">
        <v>91</v>
      </c>
      <c r="I223" s="944"/>
      <c r="J223" s="945"/>
      <c r="K223" s="448"/>
      <c r="L223" s="224"/>
      <c r="M223" s="218"/>
      <c r="N223" s="952"/>
      <c r="O223" s="953"/>
      <c r="P223" s="964"/>
      <c r="Q223" s="388"/>
      <c r="R223" s="458"/>
      <c r="S223" s="955"/>
      <c r="T223" s="458"/>
      <c r="U223" s="458"/>
      <c r="V223" s="458"/>
      <c r="W223" s="458"/>
      <c r="X223" s="458"/>
      <c r="Y223" s="458"/>
      <c r="Z223" s="956"/>
      <c r="AA223" s="957"/>
      <c r="AB223" s="172" t="s">
        <v>1034</v>
      </c>
      <c r="AC223" s="958"/>
      <c r="AD223" s="958"/>
      <c r="AE223" s="965"/>
      <c r="AF223" s="949"/>
      <c r="AG223" s="950"/>
      <c r="AH223" s="950"/>
      <c r="AI223" s="949"/>
      <c r="AJ223" s="950"/>
      <c r="AK223" s="950"/>
      <c r="AL223" s="919"/>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50"/>
    </row>
    <row r="224" ht="11.25" customHeight="1">
      <c r="A224" s="124" t="s">
        <v>989</v>
      </c>
      <c r="B224" s="124"/>
      <c r="C224" s="124"/>
      <c r="D224" s="53"/>
      <c r="E224" s="91"/>
      <c r="F224" s="943"/>
      <c r="G224" s="951"/>
      <c r="H224" s="921" t="s">
        <v>91</v>
      </c>
      <c r="I224" s="944"/>
      <c r="J224" s="945"/>
      <c r="K224" s="448"/>
      <c r="L224" s="224"/>
      <c r="M224" s="218"/>
      <c r="N224" s="956"/>
      <c r="O224" s="957"/>
      <c r="P224" s="172" t="s">
        <v>1035</v>
      </c>
      <c r="Q224" s="957"/>
      <c r="R224" s="957"/>
      <c r="S224" s="957"/>
      <c r="T224" s="957"/>
      <c r="U224" s="957"/>
      <c r="V224" s="957"/>
      <c r="W224" s="957"/>
      <c r="X224" s="957"/>
      <c r="Y224" s="957"/>
      <c r="Z224" s="957"/>
      <c r="AA224" s="957"/>
      <c r="AB224" s="957"/>
      <c r="AC224" s="957"/>
      <c r="AD224" s="957"/>
      <c r="AE224" s="966"/>
      <c r="AF224" s="949"/>
      <c r="AG224" s="950"/>
      <c r="AH224" s="950"/>
      <c r="AI224" s="949"/>
      <c r="AJ224" s="950"/>
      <c r="AK224" s="950"/>
      <c r="AL224" s="919"/>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50"/>
    </row>
    <row r="225" ht="12" customHeight="1">
      <c r="A225" s="124" t="s">
        <v>989</v>
      </c>
      <c r="B225" s="124"/>
      <c r="C225" s="124"/>
      <c r="D225" s="53"/>
      <c r="E225" s="91"/>
      <c r="F225" s="971"/>
      <c r="G225" s="972"/>
      <c r="H225" s="972"/>
      <c r="I225" s="973" t="s">
        <v>1051</v>
      </c>
      <c r="J225" s="973"/>
      <c r="K225" s="973"/>
      <c r="L225" s="974"/>
      <c r="M225" s="974"/>
      <c r="N225" s="975"/>
      <c r="O225" s="975"/>
      <c r="P225" s="975"/>
      <c r="Q225" s="975"/>
      <c r="R225" s="975"/>
      <c r="S225" s="975"/>
      <c r="T225" s="975"/>
      <c r="U225" s="975"/>
      <c r="V225" s="975"/>
      <c r="W225" s="975"/>
      <c r="X225" s="975"/>
      <c r="Y225" s="975"/>
      <c r="Z225" s="975"/>
      <c r="AA225" s="975"/>
      <c r="AB225" s="975"/>
      <c r="AC225" s="975"/>
      <c r="AD225" s="975"/>
      <c r="AE225" s="975"/>
      <c r="AF225" s="975"/>
      <c r="AG225" s="974"/>
      <c r="AH225" s="974"/>
      <c r="AI225" s="975"/>
      <c r="AJ225" s="974"/>
      <c r="AK225" s="975"/>
      <c r="AL225" s="919"/>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50"/>
    </row>
    <row r="226" ht="10.5" customHeight="1">
      <c r="E226" s="143"/>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50">
        <v>10</v>
      </c>
    </row>
    <row r="227" ht="13.5" customHeight="1">
      <c r="E227" s="143"/>
      <c r="F227" s="107" t="s">
        <v>1058</v>
      </c>
      <c r="G227" s="107"/>
      <c r="H227" s="107"/>
      <c r="I227" s="107"/>
      <c r="J227" s="107"/>
      <c r="K227" s="143"/>
      <c r="L227" s="143"/>
      <c r="M227" s="143"/>
      <c r="N227" s="143"/>
      <c r="O227" s="143"/>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50">
        <v>13</v>
      </c>
    </row>
    <row r="228" ht="10.5" customHeight="1">
      <c r="BG228" s="50">
        <v>10</v>
      </c>
    </row>
    <row r="229" ht="10.5" customHeight="1">
      <c r="E229" s="143"/>
      <c r="F229" s="86"/>
      <c r="G229" s="86"/>
      <c r="H229" s="86"/>
      <c r="I229" s="86"/>
      <c r="J229" s="86"/>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50">
        <v>10</v>
      </c>
    </row>
    <row r="230" ht="10.5" customHeight="1">
      <c r="E230" s="143"/>
      <c r="F230" s="86"/>
      <c r="G230" s="86"/>
      <c r="H230" s="86"/>
      <c r="I230" s="86"/>
      <c r="J230" s="86"/>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50">
        <v>10</v>
      </c>
    </row>
    <row r="231" ht="10.5" customHeight="1">
      <c r="E231" s="143"/>
      <c r="F231" s="86"/>
      <c r="G231" s="86"/>
      <c r="H231" s="86"/>
      <c r="I231" s="86"/>
      <c r="J231" s="86"/>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50">
        <v>10</v>
      </c>
    </row>
    <row r="232" ht="10.5" hidden="1" customHeight="1">
      <c r="A232" s="124" t="s">
        <v>82</v>
      </c>
      <c r="B232" s="124">
        <v>0</v>
      </c>
      <c r="C232" s="124">
        <v>0</v>
      </c>
      <c r="D232" s="53">
        <v>0</v>
      </c>
      <c r="E232" s="50">
        <v>3</v>
      </c>
      <c r="F232" s="50">
        <v>14</v>
      </c>
      <c r="G232" s="50">
        <v>3</v>
      </c>
      <c r="H232" s="50">
        <v>7</v>
      </c>
      <c r="I232" s="50">
        <v>16</v>
      </c>
      <c r="J232" s="50">
        <v>16</v>
      </c>
      <c r="K232" s="50">
        <v>25</v>
      </c>
      <c r="L232" s="50">
        <v>7</v>
      </c>
      <c r="M232" s="50">
        <v>15</v>
      </c>
      <c r="N232" s="50">
        <v>3</v>
      </c>
      <c r="O232" s="50">
        <v>4</v>
      </c>
      <c r="P232" s="50">
        <v>8</v>
      </c>
      <c r="Q232" s="50">
        <v>21</v>
      </c>
      <c r="R232" s="50">
        <v>14</v>
      </c>
      <c r="S232" s="50">
        <v>17</v>
      </c>
      <c r="T232" s="50">
        <v>17</v>
      </c>
      <c r="U232" s="50">
        <v>9</v>
      </c>
      <c r="V232" s="50">
        <v>12</v>
      </c>
      <c r="W232" s="50">
        <v>9</v>
      </c>
      <c r="X232" s="50">
        <v>21</v>
      </c>
      <c r="Y232" s="50">
        <v>12</v>
      </c>
      <c r="Z232" s="50">
        <v>3</v>
      </c>
      <c r="AA232" s="50">
        <v>6</v>
      </c>
      <c r="AB232" s="50">
        <v>38</v>
      </c>
      <c r="AC232" s="50">
        <v>15</v>
      </c>
      <c r="AD232" s="50">
        <v>0</v>
      </c>
      <c r="AE232" s="50">
        <v>0</v>
      </c>
      <c r="AF232" s="50">
        <v>16</v>
      </c>
      <c r="AG232" s="50">
        <v>16</v>
      </c>
      <c r="AH232" s="50">
        <v>16</v>
      </c>
      <c r="AI232" s="50">
        <v>0</v>
      </c>
      <c r="AJ232" s="50">
        <v>0</v>
      </c>
      <c r="AK232" s="50">
        <v>0</v>
      </c>
      <c r="AL232" s="50">
        <v>8</v>
      </c>
      <c r="AM232" s="50">
        <v>8</v>
      </c>
      <c r="AN232" s="50">
        <v>8</v>
      </c>
      <c r="AO232" s="50">
        <v>8</v>
      </c>
      <c r="AP232" s="50">
        <v>8</v>
      </c>
      <c r="AQ232" s="50">
        <v>8</v>
      </c>
      <c r="AR232" s="50">
        <v>8</v>
      </c>
      <c r="AS232" s="50">
        <v>8</v>
      </c>
      <c r="AT232" s="50">
        <v>8</v>
      </c>
      <c r="AU232" s="50">
        <v>8</v>
      </c>
      <c r="AV232" s="50">
        <v>8</v>
      </c>
      <c r="AW232" s="50">
        <v>8</v>
      </c>
      <c r="AX232" s="50">
        <v>8</v>
      </c>
      <c r="AY232" s="50">
        <v>8</v>
      </c>
      <c r="AZ232" s="50">
        <v>8</v>
      </c>
      <c r="BA232" s="50">
        <v>8</v>
      </c>
      <c r="BB232" s="50">
        <v>8</v>
      </c>
      <c r="BC232" s="50">
        <v>8</v>
      </c>
      <c r="BD232" s="50">
        <v>8</v>
      </c>
      <c r="BE232" s="50">
        <v>8</v>
      </c>
      <c r="BF232" s="50">
        <v>8</v>
      </c>
      <c r="BG232" s="50">
        <v>10</v>
      </c>
    </row>
  </sheetData>
  <sheetProtection autoFilter="0" deleteColumns="1" deleteRows="1" formatCells="1" formatColumns="0" formatRows="0" insertColumns="1" insertHyperlinks="1" insertRows="1" objects="0" pivotTables="1" scenarios="0" selectLockedCells="0" selectUnlockedCells="0" sheet="1" sort="1"/>
  <mergeCells count="1040">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5:F57"/>
    <mergeCell ref="G15:G19"/>
    <mergeCell ref="H15:H19"/>
    <mergeCell ref="I15:I19"/>
    <mergeCell ref="J15:J19"/>
    <mergeCell ref="K15:K19"/>
    <mergeCell ref="L15:L19"/>
    <mergeCell ref="M15:M19"/>
    <mergeCell ref="AF15:AF19"/>
    <mergeCell ref="AG15:AG19"/>
    <mergeCell ref="AH15:AH19"/>
    <mergeCell ref="AI15:AI19"/>
    <mergeCell ref="AJ15:AJ19"/>
    <mergeCell ref="AK15:AK19"/>
    <mergeCell ref="N16:N18"/>
    <mergeCell ref="O16:O18"/>
    <mergeCell ref="P16:P18"/>
    <mergeCell ref="Q16:Q18"/>
    <mergeCell ref="R16:R18"/>
    <mergeCell ref="S16:S18"/>
    <mergeCell ref="T16:T18"/>
    <mergeCell ref="U16:U18"/>
    <mergeCell ref="V16:V18"/>
    <mergeCell ref="W16:W18"/>
    <mergeCell ref="X16:X18"/>
    <mergeCell ref="Y16:Y18"/>
    <mergeCell ref="G20:G24"/>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5:G30"/>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31:G35"/>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6:G40"/>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41:G46"/>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7:G51"/>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52:G56"/>
    <mergeCell ref="H52:H56"/>
    <mergeCell ref="I52:I56"/>
    <mergeCell ref="J52:J56"/>
    <mergeCell ref="K52:K56"/>
    <mergeCell ref="L52:L56"/>
    <mergeCell ref="M52:M56"/>
    <mergeCell ref="AF52:AF56"/>
    <mergeCell ref="AG52:AG56"/>
    <mergeCell ref="AH52:AH56"/>
    <mergeCell ref="AI52:AI56"/>
    <mergeCell ref="AJ52:AJ56"/>
    <mergeCell ref="AK52:AK56"/>
    <mergeCell ref="N53:N55"/>
    <mergeCell ref="O53:O55"/>
    <mergeCell ref="P53:P55"/>
    <mergeCell ref="Q53:Q55"/>
    <mergeCell ref="R53:R55"/>
    <mergeCell ref="S53:S55"/>
    <mergeCell ref="T53:T55"/>
    <mergeCell ref="U53:U55"/>
    <mergeCell ref="V53:V55"/>
    <mergeCell ref="W53:W55"/>
    <mergeCell ref="X53:X55"/>
    <mergeCell ref="Y53:Y55"/>
    <mergeCell ref="I57:K57"/>
    <mergeCell ref="F58:F94"/>
    <mergeCell ref="G58:G62"/>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63:G67"/>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8:G73"/>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74:G78"/>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9:G83"/>
    <mergeCell ref="H79:H83"/>
    <mergeCell ref="I79:I83"/>
    <mergeCell ref="J79:J83"/>
    <mergeCell ref="K79:K83"/>
    <mergeCell ref="L79:L83"/>
    <mergeCell ref="M79:M83"/>
    <mergeCell ref="AF79:AF83"/>
    <mergeCell ref="AG79:AG83"/>
    <mergeCell ref="AH79:AH83"/>
    <mergeCell ref="AI79:AI83"/>
    <mergeCell ref="AJ79:AJ83"/>
    <mergeCell ref="AK79:AK83"/>
    <mergeCell ref="N80:N82"/>
    <mergeCell ref="O80:O82"/>
    <mergeCell ref="P80:P82"/>
    <mergeCell ref="Q80:Q82"/>
    <mergeCell ref="R80:R82"/>
    <mergeCell ref="S80:S82"/>
    <mergeCell ref="T80:T82"/>
    <mergeCell ref="U80:U82"/>
    <mergeCell ref="V80:V82"/>
    <mergeCell ref="W80:W82"/>
    <mergeCell ref="X80:X82"/>
    <mergeCell ref="Y80:Y82"/>
    <mergeCell ref="G84:G88"/>
    <mergeCell ref="H84:H88"/>
    <mergeCell ref="I84:I88"/>
    <mergeCell ref="J84:J88"/>
    <mergeCell ref="K84:K88"/>
    <mergeCell ref="L84:L88"/>
    <mergeCell ref="M84:M88"/>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G89:G93"/>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I94:K94"/>
    <mergeCell ref="F95:F136"/>
    <mergeCell ref="G95:G99"/>
    <mergeCell ref="H95:H99"/>
    <mergeCell ref="I95:I99"/>
    <mergeCell ref="J95:J99"/>
    <mergeCell ref="K95:K99"/>
    <mergeCell ref="L95:L99"/>
    <mergeCell ref="M95:M99"/>
    <mergeCell ref="AF95:AF99"/>
    <mergeCell ref="AG95:AG99"/>
    <mergeCell ref="AH95:AH99"/>
    <mergeCell ref="AI95:AI99"/>
    <mergeCell ref="AJ95:AJ99"/>
    <mergeCell ref="AK95:AK99"/>
    <mergeCell ref="N96:N98"/>
    <mergeCell ref="O96:O98"/>
    <mergeCell ref="P96:P98"/>
    <mergeCell ref="Q96:Q98"/>
    <mergeCell ref="R96:R98"/>
    <mergeCell ref="S96:S98"/>
    <mergeCell ref="T96:T98"/>
    <mergeCell ref="U96:U98"/>
    <mergeCell ref="V96:V98"/>
    <mergeCell ref="W96:W98"/>
    <mergeCell ref="X96:X98"/>
    <mergeCell ref="Y96:Y98"/>
    <mergeCell ref="G100:G104"/>
    <mergeCell ref="H100:H104"/>
    <mergeCell ref="I100:I104"/>
    <mergeCell ref="J100:J104"/>
    <mergeCell ref="K100:K104"/>
    <mergeCell ref="L100:L104"/>
    <mergeCell ref="M100:M104"/>
    <mergeCell ref="AF100:AF104"/>
    <mergeCell ref="AG100:AG104"/>
    <mergeCell ref="AH100:AH104"/>
    <mergeCell ref="AI100:AI104"/>
    <mergeCell ref="AJ100:AJ104"/>
    <mergeCell ref="AK100:AK104"/>
    <mergeCell ref="N101:N103"/>
    <mergeCell ref="O101:O103"/>
    <mergeCell ref="P101:P103"/>
    <mergeCell ref="Q101:Q103"/>
    <mergeCell ref="R101:R103"/>
    <mergeCell ref="S101:S103"/>
    <mergeCell ref="T101:T103"/>
    <mergeCell ref="U101:U103"/>
    <mergeCell ref="V101:V103"/>
    <mergeCell ref="W101:W103"/>
    <mergeCell ref="X101:X103"/>
    <mergeCell ref="Y101:Y103"/>
    <mergeCell ref="G105:G110"/>
    <mergeCell ref="H105:H110"/>
    <mergeCell ref="I105:I110"/>
    <mergeCell ref="J105:J110"/>
    <mergeCell ref="K105:K110"/>
    <mergeCell ref="L105:L110"/>
    <mergeCell ref="M105:M110"/>
    <mergeCell ref="AF105:AF110"/>
    <mergeCell ref="AG105:AG110"/>
    <mergeCell ref="AH105:AH110"/>
    <mergeCell ref="AI105:AI110"/>
    <mergeCell ref="AJ105:AJ110"/>
    <mergeCell ref="AK105:AK110"/>
    <mergeCell ref="N106:N109"/>
    <mergeCell ref="O106:O109"/>
    <mergeCell ref="P106:P109"/>
    <mergeCell ref="Q106:Q109"/>
    <mergeCell ref="R106:R109"/>
    <mergeCell ref="S106:S109"/>
    <mergeCell ref="T106:T109"/>
    <mergeCell ref="U106:U109"/>
    <mergeCell ref="V106:V109"/>
    <mergeCell ref="W106:W109"/>
    <mergeCell ref="X106:X109"/>
    <mergeCell ref="Y106:Y109"/>
    <mergeCell ref="G111:G115"/>
    <mergeCell ref="H111:H115"/>
    <mergeCell ref="I111:I115"/>
    <mergeCell ref="J111:J115"/>
    <mergeCell ref="K111:K115"/>
    <mergeCell ref="L111:L115"/>
    <mergeCell ref="M111:M115"/>
    <mergeCell ref="AF111:AF115"/>
    <mergeCell ref="AG111:AG115"/>
    <mergeCell ref="AH111:AH115"/>
    <mergeCell ref="AI111:AI115"/>
    <mergeCell ref="AJ111:AJ115"/>
    <mergeCell ref="AK111:AK115"/>
    <mergeCell ref="N112:N114"/>
    <mergeCell ref="O112:O114"/>
    <mergeCell ref="P112:P114"/>
    <mergeCell ref="Q112:Q114"/>
    <mergeCell ref="R112:R114"/>
    <mergeCell ref="S112:S114"/>
    <mergeCell ref="T112:T114"/>
    <mergeCell ref="U112:U114"/>
    <mergeCell ref="V112:V114"/>
    <mergeCell ref="W112:W114"/>
    <mergeCell ref="X112:X114"/>
    <mergeCell ref="Y112:Y114"/>
    <mergeCell ref="G116:G120"/>
    <mergeCell ref="H116:H120"/>
    <mergeCell ref="I116:I120"/>
    <mergeCell ref="J116:J120"/>
    <mergeCell ref="K116:K120"/>
    <mergeCell ref="L116:L120"/>
    <mergeCell ref="M116:M120"/>
    <mergeCell ref="AF116:AF120"/>
    <mergeCell ref="AG116:AG120"/>
    <mergeCell ref="AH116:AH120"/>
    <mergeCell ref="AI116:AI120"/>
    <mergeCell ref="AJ116:AJ120"/>
    <mergeCell ref="AK116:AK120"/>
    <mergeCell ref="N117:N119"/>
    <mergeCell ref="O117:O119"/>
    <mergeCell ref="P117:P119"/>
    <mergeCell ref="Q117:Q119"/>
    <mergeCell ref="R117:R119"/>
    <mergeCell ref="S117:S119"/>
    <mergeCell ref="T117:T119"/>
    <mergeCell ref="U117:U119"/>
    <mergeCell ref="V117:V119"/>
    <mergeCell ref="W117:W119"/>
    <mergeCell ref="X117:X119"/>
    <mergeCell ref="Y117:Y119"/>
    <mergeCell ref="G121:G125"/>
    <mergeCell ref="H121:H125"/>
    <mergeCell ref="I121:I125"/>
    <mergeCell ref="J121:J125"/>
    <mergeCell ref="K121:K125"/>
    <mergeCell ref="L121:L125"/>
    <mergeCell ref="M121:M125"/>
    <mergeCell ref="AF121:AF125"/>
    <mergeCell ref="AG121:AG125"/>
    <mergeCell ref="AH121:AH125"/>
    <mergeCell ref="AI121:AI125"/>
    <mergeCell ref="AJ121:AJ125"/>
    <mergeCell ref="AK121:AK125"/>
    <mergeCell ref="N122:N124"/>
    <mergeCell ref="O122:O124"/>
    <mergeCell ref="P122:P124"/>
    <mergeCell ref="Q122:Q124"/>
    <mergeCell ref="R122:R124"/>
    <mergeCell ref="S122:S124"/>
    <mergeCell ref="T122:T124"/>
    <mergeCell ref="U122:U124"/>
    <mergeCell ref="V122:V124"/>
    <mergeCell ref="W122:W124"/>
    <mergeCell ref="X122:X124"/>
    <mergeCell ref="Y122:Y124"/>
    <mergeCell ref="G126:G130"/>
    <mergeCell ref="H126:H130"/>
    <mergeCell ref="I126:I130"/>
    <mergeCell ref="J126:J130"/>
    <mergeCell ref="K126:K130"/>
    <mergeCell ref="L126:L130"/>
    <mergeCell ref="M126:M130"/>
    <mergeCell ref="AF126:AF130"/>
    <mergeCell ref="AG126:AG130"/>
    <mergeCell ref="AH126:AH130"/>
    <mergeCell ref="AI126:AI130"/>
    <mergeCell ref="AJ126:AJ130"/>
    <mergeCell ref="AK126:AK130"/>
    <mergeCell ref="N127:N129"/>
    <mergeCell ref="O127:O129"/>
    <mergeCell ref="P127:P129"/>
    <mergeCell ref="Q127:Q129"/>
    <mergeCell ref="R127:R129"/>
    <mergeCell ref="S127:S129"/>
    <mergeCell ref="T127:T129"/>
    <mergeCell ref="U127:U129"/>
    <mergeCell ref="V127:V129"/>
    <mergeCell ref="W127:W129"/>
    <mergeCell ref="X127:X129"/>
    <mergeCell ref="Y127:Y129"/>
    <mergeCell ref="G131:G135"/>
    <mergeCell ref="H131:H135"/>
    <mergeCell ref="I131:I135"/>
    <mergeCell ref="J131:J135"/>
    <mergeCell ref="K131:K135"/>
    <mergeCell ref="L131:L135"/>
    <mergeCell ref="M131:M135"/>
    <mergeCell ref="AF131:AF135"/>
    <mergeCell ref="AG131:AG135"/>
    <mergeCell ref="AH131:AH135"/>
    <mergeCell ref="AI131:AI135"/>
    <mergeCell ref="AJ131:AJ135"/>
    <mergeCell ref="AK131:AK135"/>
    <mergeCell ref="N132:N134"/>
    <mergeCell ref="O132:O134"/>
    <mergeCell ref="P132:P134"/>
    <mergeCell ref="Q132:Q134"/>
    <mergeCell ref="R132:R134"/>
    <mergeCell ref="S132:S134"/>
    <mergeCell ref="T132:T134"/>
    <mergeCell ref="U132:U134"/>
    <mergeCell ref="V132:V134"/>
    <mergeCell ref="W132:W134"/>
    <mergeCell ref="X132:X134"/>
    <mergeCell ref="Y132:Y134"/>
    <mergeCell ref="I136:K136"/>
    <mergeCell ref="F137:F168"/>
    <mergeCell ref="G137:G141"/>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42:G146"/>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7:G152"/>
    <mergeCell ref="H147:H152"/>
    <mergeCell ref="I147:I152"/>
    <mergeCell ref="J147:J152"/>
    <mergeCell ref="K147:K152"/>
    <mergeCell ref="L147:L152"/>
    <mergeCell ref="M147:M152"/>
    <mergeCell ref="AF147:AF152"/>
    <mergeCell ref="AG147:AG152"/>
    <mergeCell ref="AH147:AH152"/>
    <mergeCell ref="AI147:AI152"/>
    <mergeCell ref="AJ147:AJ152"/>
    <mergeCell ref="AK147:AK152"/>
    <mergeCell ref="N148:N151"/>
    <mergeCell ref="O148:O151"/>
    <mergeCell ref="P148:P151"/>
    <mergeCell ref="Q148:Q151"/>
    <mergeCell ref="R148:R151"/>
    <mergeCell ref="S148:S151"/>
    <mergeCell ref="T148:T151"/>
    <mergeCell ref="U148:U151"/>
    <mergeCell ref="V148:V151"/>
    <mergeCell ref="W148:W151"/>
    <mergeCell ref="X148:X151"/>
    <mergeCell ref="Y148:Y151"/>
    <mergeCell ref="G153:G157"/>
    <mergeCell ref="H153:H157"/>
    <mergeCell ref="I153:I157"/>
    <mergeCell ref="J153:J157"/>
    <mergeCell ref="K153:K157"/>
    <mergeCell ref="L153:L157"/>
    <mergeCell ref="M153:M157"/>
    <mergeCell ref="AF153:AF157"/>
    <mergeCell ref="AG153:AG157"/>
    <mergeCell ref="AH153:AH157"/>
    <mergeCell ref="AI153:AI157"/>
    <mergeCell ref="AJ153:AJ157"/>
    <mergeCell ref="AK153:AK157"/>
    <mergeCell ref="N154:N156"/>
    <mergeCell ref="O154:O156"/>
    <mergeCell ref="P154:P156"/>
    <mergeCell ref="Q154:Q156"/>
    <mergeCell ref="R154:R156"/>
    <mergeCell ref="S154:S156"/>
    <mergeCell ref="T154:T156"/>
    <mergeCell ref="U154:U156"/>
    <mergeCell ref="V154:V156"/>
    <mergeCell ref="W154:W156"/>
    <mergeCell ref="X154:X156"/>
    <mergeCell ref="Y154:Y156"/>
    <mergeCell ref="G158:G162"/>
    <mergeCell ref="H158:H162"/>
    <mergeCell ref="I158:I162"/>
    <mergeCell ref="J158:J162"/>
    <mergeCell ref="K158:K162"/>
    <mergeCell ref="L158:L162"/>
    <mergeCell ref="M158:M162"/>
    <mergeCell ref="AF158:AF162"/>
    <mergeCell ref="AG158:AG162"/>
    <mergeCell ref="AH158:AH162"/>
    <mergeCell ref="AI158:AI162"/>
    <mergeCell ref="AJ158:AJ162"/>
    <mergeCell ref="AK158:AK162"/>
    <mergeCell ref="N159:N161"/>
    <mergeCell ref="O159:O161"/>
    <mergeCell ref="P159:P161"/>
    <mergeCell ref="Q159:Q161"/>
    <mergeCell ref="R159:R161"/>
    <mergeCell ref="S159:S161"/>
    <mergeCell ref="T159:T161"/>
    <mergeCell ref="U159:U161"/>
    <mergeCell ref="V159:V161"/>
    <mergeCell ref="W159:W161"/>
    <mergeCell ref="X159:X161"/>
    <mergeCell ref="Y159:Y161"/>
    <mergeCell ref="G163:G167"/>
    <mergeCell ref="H163:H167"/>
    <mergeCell ref="I163:I167"/>
    <mergeCell ref="J163:J167"/>
    <mergeCell ref="K163:K167"/>
    <mergeCell ref="L163:L167"/>
    <mergeCell ref="M163:M167"/>
    <mergeCell ref="AF163:AF167"/>
    <mergeCell ref="AG163:AG167"/>
    <mergeCell ref="AH163:AH167"/>
    <mergeCell ref="AI163:AI167"/>
    <mergeCell ref="AJ163:AJ167"/>
    <mergeCell ref="AK163:AK167"/>
    <mergeCell ref="N164:N166"/>
    <mergeCell ref="O164:O166"/>
    <mergeCell ref="P164:P166"/>
    <mergeCell ref="Q164:Q166"/>
    <mergeCell ref="R164:R166"/>
    <mergeCell ref="S164:S166"/>
    <mergeCell ref="T164:T166"/>
    <mergeCell ref="U164:U166"/>
    <mergeCell ref="V164:V166"/>
    <mergeCell ref="W164:W166"/>
    <mergeCell ref="X164:X166"/>
    <mergeCell ref="Y164:Y166"/>
    <mergeCell ref="I168:K168"/>
    <mergeCell ref="F169:F194"/>
    <mergeCell ref="G169:G173"/>
    <mergeCell ref="H169:H173"/>
    <mergeCell ref="I169:I173"/>
    <mergeCell ref="J169:J173"/>
    <mergeCell ref="K169:K173"/>
    <mergeCell ref="L169:L173"/>
    <mergeCell ref="M169:M173"/>
    <mergeCell ref="AF169:AF173"/>
    <mergeCell ref="AG169:AG173"/>
    <mergeCell ref="AH169:AH173"/>
    <mergeCell ref="AI169:AI173"/>
    <mergeCell ref="AJ169:AJ173"/>
    <mergeCell ref="AK169:AK173"/>
    <mergeCell ref="N170:N172"/>
    <mergeCell ref="O170:O172"/>
    <mergeCell ref="P170:P172"/>
    <mergeCell ref="Q170:Q172"/>
    <mergeCell ref="R170:R172"/>
    <mergeCell ref="S170:S172"/>
    <mergeCell ref="T170:T172"/>
    <mergeCell ref="U170:U172"/>
    <mergeCell ref="V170:V172"/>
    <mergeCell ref="W170:W172"/>
    <mergeCell ref="X170:X172"/>
    <mergeCell ref="Y170:Y172"/>
    <mergeCell ref="G174:G178"/>
    <mergeCell ref="H174:H178"/>
    <mergeCell ref="I174:I178"/>
    <mergeCell ref="J174:J178"/>
    <mergeCell ref="K174:K178"/>
    <mergeCell ref="L174:L178"/>
    <mergeCell ref="M174:M178"/>
    <mergeCell ref="AF174:AF178"/>
    <mergeCell ref="AG174:AG178"/>
    <mergeCell ref="AH174:AH178"/>
    <mergeCell ref="AI174:AI178"/>
    <mergeCell ref="AJ174:AJ178"/>
    <mergeCell ref="AK174:AK178"/>
    <mergeCell ref="N175:N177"/>
    <mergeCell ref="O175:O177"/>
    <mergeCell ref="P175:P177"/>
    <mergeCell ref="Q175:Q177"/>
    <mergeCell ref="R175:R177"/>
    <mergeCell ref="S175:S177"/>
    <mergeCell ref="T175:T177"/>
    <mergeCell ref="U175:U177"/>
    <mergeCell ref="V175:V177"/>
    <mergeCell ref="W175:W177"/>
    <mergeCell ref="X175:X177"/>
    <mergeCell ref="Y175:Y177"/>
    <mergeCell ref="G179:G183"/>
    <mergeCell ref="H179:H183"/>
    <mergeCell ref="I179:I183"/>
    <mergeCell ref="J179:J183"/>
    <mergeCell ref="K179:K183"/>
    <mergeCell ref="L179:L183"/>
    <mergeCell ref="M179:M183"/>
    <mergeCell ref="AF179:AF183"/>
    <mergeCell ref="AG179:AG183"/>
    <mergeCell ref="AH179:AH183"/>
    <mergeCell ref="AI179:AI183"/>
    <mergeCell ref="AJ179:AJ183"/>
    <mergeCell ref="AK179:AK183"/>
    <mergeCell ref="N180:N182"/>
    <mergeCell ref="O180:O182"/>
    <mergeCell ref="P180:P182"/>
    <mergeCell ref="Q180:Q182"/>
    <mergeCell ref="R180:R182"/>
    <mergeCell ref="S180:S182"/>
    <mergeCell ref="T180:T182"/>
    <mergeCell ref="U180:U182"/>
    <mergeCell ref="V180:V182"/>
    <mergeCell ref="W180:W182"/>
    <mergeCell ref="X180:X182"/>
    <mergeCell ref="Y180:Y182"/>
    <mergeCell ref="G184:G188"/>
    <mergeCell ref="H184:H188"/>
    <mergeCell ref="I184:I188"/>
    <mergeCell ref="J184:J188"/>
    <mergeCell ref="K184:K188"/>
    <mergeCell ref="L184:L188"/>
    <mergeCell ref="M184:M188"/>
    <mergeCell ref="AF184:AF188"/>
    <mergeCell ref="AG184:AG188"/>
    <mergeCell ref="AH184:AH188"/>
    <mergeCell ref="AI184:AI188"/>
    <mergeCell ref="AJ184:AJ188"/>
    <mergeCell ref="AK184:AK188"/>
    <mergeCell ref="N185:N187"/>
    <mergeCell ref="O185:O187"/>
    <mergeCell ref="P185:P187"/>
    <mergeCell ref="Q185:Q187"/>
    <mergeCell ref="R185:R187"/>
    <mergeCell ref="S185:S187"/>
    <mergeCell ref="T185:T187"/>
    <mergeCell ref="U185:U187"/>
    <mergeCell ref="V185:V187"/>
    <mergeCell ref="W185:W187"/>
    <mergeCell ref="X185:X187"/>
    <mergeCell ref="Y185:Y187"/>
    <mergeCell ref="G189:G193"/>
    <mergeCell ref="H189:H193"/>
    <mergeCell ref="I189:I193"/>
    <mergeCell ref="J189:J193"/>
    <mergeCell ref="K189:K193"/>
    <mergeCell ref="L189:L193"/>
    <mergeCell ref="M189:M193"/>
    <mergeCell ref="AF189:AF193"/>
    <mergeCell ref="AG189:AG193"/>
    <mergeCell ref="AH189:AH193"/>
    <mergeCell ref="AI189:AI193"/>
    <mergeCell ref="AJ189:AJ193"/>
    <mergeCell ref="AK189:AK193"/>
    <mergeCell ref="N190:N192"/>
    <mergeCell ref="O190:O192"/>
    <mergeCell ref="P190:P192"/>
    <mergeCell ref="Q190:Q192"/>
    <mergeCell ref="R190:R192"/>
    <mergeCell ref="S190:S192"/>
    <mergeCell ref="T190:T192"/>
    <mergeCell ref="U190:U192"/>
    <mergeCell ref="V190:V192"/>
    <mergeCell ref="W190:W192"/>
    <mergeCell ref="X190:X192"/>
    <mergeCell ref="Y190:Y192"/>
    <mergeCell ref="I194:K194"/>
    <mergeCell ref="F195:F225"/>
    <mergeCell ref="G195:G199"/>
    <mergeCell ref="H195:H199"/>
    <mergeCell ref="I195:I199"/>
    <mergeCell ref="J195:J199"/>
    <mergeCell ref="K195:K199"/>
    <mergeCell ref="L195:L199"/>
    <mergeCell ref="M195:M199"/>
    <mergeCell ref="AF195:AF199"/>
    <mergeCell ref="AG195:AG199"/>
    <mergeCell ref="AH195:AH199"/>
    <mergeCell ref="AI195:AI199"/>
    <mergeCell ref="AJ195:AJ199"/>
    <mergeCell ref="AK195:AK199"/>
    <mergeCell ref="N196:N198"/>
    <mergeCell ref="O196:O198"/>
    <mergeCell ref="P196:P198"/>
    <mergeCell ref="Q196:Q198"/>
    <mergeCell ref="R196:R198"/>
    <mergeCell ref="S196:S198"/>
    <mergeCell ref="T196:T198"/>
    <mergeCell ref="U196:U198"/>
    <mergeCell ref="V196:V198"/>
    <mergeCell ref="W196:W198"/>
    <mergeCell ref="X196:X198"/>
    <mergeCell ref="Y196:Y198"/>
    <mergeCell ref="G200:G204"/>
    <mergeCell ref="H200:H204"/>
    <mergeCell ref="I200:I204"/>
    <mergeCell ref="J200:J204"/>
    <mergeCell ref="K200:K204"/>
    <mergeCell ref="L200:L204"/>
    <mergeCell ref="M200:M204"/>
    <mergeCell ref="AF200:AF204"/>
    <mergeCell ref="AG200:AG204"/>
    <mergeCell ref="AH200:AH204"/>
    <mergeCell ref="AI200:AI204"/>
    <mergeCell ref="AJ200:AJ204"/>
    <mergeCell ref="AK200:AK204"/>
    <mergeCell ref="N201:N203"/>
    <mergeCell ref="O201:O203"/>
    <mergeCell ref="P201:P203"/>
    <mergeCell ref="Q201:Q203"/>
    <mergeCell ref="R201:R203"/>
    <mergeCell ref="S201:S203"/>
    <mergeCell ref="T201:T203"/>
    <mergeCell ref="U201:U203"/>
    <mergeCell ref="V201:V203"/>
    <mergeCell ref="W201:W203"/>
    <mergeCell ref="X201:X203"/>
    <mergeCell ref="Y201:Y203"/>
    <mergeCell ref="G205:G209"/>
    <mergeCell ref="H205:H209"/>
    <mergeCell ref="I205:I209"/>
    <mergeCell ref="J205:J209"/>
    <mergeCell ref="K205:K209"/>
    <mergeCell ref="L205:L209"/>
    <mergeCell ref="M205:M209"/>
    <mergeCell ref="AF205:AF209"/>
    <mergeCell ref="AG205:AG209"/>
    <mergeCell ref="AH205:AH209"/>
    <mergeCell ref="AI205:AI209"/>
    <mergeCell ref="AJ205:AJ209"/>
    <mergeCell ref="AK205:AK209"/>
    <mergeCell ref="N206:N208"/>
    <mergeCell ref="O206:O208"/>
    <mergeCell ref="P206:P208"/>
    <mergeCell ref="Q206:Q208"/>
    <mergeCell ref="R206:R208"/>
    <mergeCell ref="S206:S208"/>
    <mergeCell ref="T206:T208"/>
    <mergeCell ref="U206:U208"/>
    <mergeCell ref="V206:V208"/>
    <mergeCell ref="W206:W208"/>
    <mergeCell ref="X206:X208"/>
    <mergeCell ref="Y206:Y208"/>
    <mergeCell ref="G210:G214"/>
    <mergeCell ref="H210:H214"/>
    <mergeCell ref="I210:I214"/>
    <mergeCell ref="J210:J214"/>
    <mergeCell ref="K210:K214"/>
    <mergeCell ref="L210:L214"/>
    <mergeCell ref="M210:M214"/>
    <mergeCell ref="AF210:AF214"/>
    <mergeCell ref="AG210:AG214"/>
    <mergeCell ref="AH210:AH214"/>
    <mergeCell ref="AI210:AI214"/>
    <mergeCell ref="AJ210:AJ214"/>
    <mergeCell ref="AK210:AK214"/>
    <mergeCell ref="N211:N213"/>
    <mergeCell ref="O211:O213"/>
    <mergeCell ref="P211:P213"/>
    <mergeCell ref="Q211:Q213"/>
    <mergeCell ref="R211:R213"/>
    <mergeCell ref="S211:S213"/>
    <mergeCell ref="T211:T213"/>
    <mergeCell ref="U211:U213"/>
    <mergeCell ref="V211:V213"/>
    <mergeCell ref="W211:W213"/>
    <mergeCell ref="X211:X213"/>
    <mergeCell ref="Y211:Y213"/>
    <mergeCell ref="G215:G219"/>
    <mergeCell ref="H215:H219"/>
    <mergeCell ref="I215:I219"/>
    <mergeCell ref="J215:J219"/>
    <mergeCell ref="K215:K219"/>
    <mergeCell ref="L215:L219"/>
    <mergeCell ref="M215:M219"/>
    <mergeCell ref="AF215:AF219"/>
    <mergeCell ref="AG215:AG219"/>
    <mergeCell ref="AH215:AH219"/>
    <mergeCell ref="AI215:AI219"/>
    <mergeCell ref="AJ215:AJ219"/>
    <mergeCell ref="AK215:AK219"/>
    <mergeCell ref="N216:N218"/>
    <mergeCell ref="O216:O218"/>
    <mergeCell ref="P216:P218"/>
    <mergeCell ref="Q216:Q218"/>
    <mergeCell ref="R216:R218"/>
    <mergeCell ref="S216:S218"/>
    <mergeCell ref="T216:T218"/>
    <mergeCell ref="U216:U218"/>
    <mergeCell ref="V216:V218"/>
    <mergeCell ref="W216:W218"/>
    <mergeCell ref="X216:X218"/>
    <mergeCell ref="Y216:Y218"/>
    <mergeCell ref="G220:G224"/>
    <mergeCell ref="H220:H224"/>
    <mergeCell ref="I220:I224"/>
    <mergeCell ref="J220:J224"/>
    <mergeCell ref="K220:K224"/>
    <mergeCell ref="L220:L224"/>
    <mergeCell ref="M220:M224"/>
    <mergeCell ref="AF220:AF224"/>
    <mergeCell ref="AG220:AG224"/>
    <mergeCell ref="AH220:AH224"/>
    <mergeCell ref="AI220:AI224"/>
    <mergeCell ref="AJ220:AJ224"/>
    <mergeCell ref="AK220:AK224"/>
    <mergeCell ref="N221:N223"/>
    <mergeCell ref="O221:O223"/>
    <mergeCell ref="P221:P223"/>
    <mergeCell ref="Q221:Q223"/>
    <mergeCell ref="R221:R223"/>
    <mergeCell ref="S221:S223"/>
    <mergeCell ref="T221:T223"/>
    <mergeCell ref="U221:U223"/>
    <mergeCell ref="V221:V223"/>
    <mergeCell ref="W221:W223"/>
    <mergeCell ref="X221:X223"/>
    <mergeCell ref="Y221:Y223"/>
    <mergeCell ref="I225:K225"/>
    <mergeCell ref="F229:J229"/>
    <mergeCell ref="F230:J230"/>
    <mergeCell ref="F231:J23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035" disablePrompts="0">
        <x14:dataValidation xr:uid="{008C0075-002C-47C1-B090-00A1003B00F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AI224</xm:sqref>
        </x14:dataValidation>
        <x14:dataValidation xr:uid="{00A800F2-00AE-41F6-B11A-00AC00C4002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AF224</xm:sqref>
        </x14:dataValidation>
        <x14:dataValidation xr:uid="{002D000A-00B9-472D-A956-00C4002800C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AI223</xm:sqref>
        </x14:dataValidation>
        <x14:dataValidation xr:uid="{000C007E-00C8-4811-9E31-00B500AE008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AF223</xm:sqref>
        </x14:dataValidation>
        <x14:dataValidation xr:uid="{00770050-00A5-494C-98B6-002F00200003}" type="textLength" allowBlank="1" error="Допускается ввод не более 900 символов!" errorStyle="stop" errorTitle="Ошибка" imeMode="noControl" operator="lessThanOrEqual" showDropDown="0" showErrorMessage="1" showInputMessage="1">
          <x14:formula1>
            <xm:f>900</xm:f>
          </x14:formula1>
          <xm:sqref>K223</xm:sqref>
        </x14:dataValidation>
        <x14:dataValidation xr:uid="{00790007-00A3-42AB-87EE-00B100FD006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J223</xm:sqref>
        </x14:dataValidation>
        <x14:dataValidation xr:uid="{000C0025-000B-4384-A890-000100CB00C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I223</xm:sqref>
        </x14:dataValidation>
        <x14:dataValidation xr:uid="{00A600D8-0069-49A3-91F8-00EB00DB00B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AI222</xm:sqref>
        </x14:dataValidation>
        <x14:dataValidation xr:uid="{0015004D-00BA-44AC-BD75-006A0007008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AF222</xm:sqref>
        </x14:dataValidation>
        <x14:dataValidation xr:uid="{006C00DC-007B-48A1-A38E-007400FE00B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AE222</xm:sqref>
        </x14:dataValidation>
        <x14:dataValidation xr:uid="{00A300D8-008A-4CE9-885B-006400DD004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AC222</xm:sqref>
        </x14:dataValidation>
        <x14:dataValidation xr:uid="{00B600AE-0046-402C-AA84-006E00C30065}" type="textLength" allowBlank="1" error="Допускается ввод не более 900 символов!" errorStyle="stop" errorTitle="Ошибка" imeMode="noControl" operator="lessThanOrEqual" showDropDown="0" showErrorMessage="1" showInputMessage="1">
          <x14:formula1>
            <xm:f>900</xm:f>
          </x14:formula1>
          <xm:sqref>K222</xm:sqref>
        </x14:dataValidation>
        <x14:dataValidation xr:uid="{008A0010-00D9-43D2-8E83-008C0018004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J222</xm:sqref>
        </x14:dataValidation>
        <x14:dataValidation xr:uid="{004700E4-00C9-4500-9380-00ED008400D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I222</xm:sqref>
        </x14:dataValidation>
        <x14:dataValidation xr:uid="{00370033-00EA-4ED2-8E6A-00120048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AI221</xm:sqref>
        </x14:dataValidation>
        <x14:dataValidation xr:uid="{00360090-00ED-4AE8-83C1-003F00A100A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AF221</xm:sqref>
        </x14:dataValidation>
        <x14:dataValidation xr:uid="{00CC0062-0040-48F5-92DA-0030001C0005}" type="textLength" allowBlank="1" error="Допускается ввод не более 900 символов!" errorStyle="stop" errorTitle="Ошибка" imeMode="noControl" operator="lessThanOrEqual" showDropDown="0" showErrorMessage="1" showInputMessage="1">
          <x14:formula1>
            <xm:f>900</xm:f>
          </x14:formula1>
          <xm:sqref>K221</xm:sqref>
        </x14:dataValidation>
        <x14:dataValidation xr:uid="{00BF000C-0028-4818-B588-0044004F00C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J221</xm:sqref>
        </x14:dataValidation>
        <x14:dataValidation xr:uid="{00B6007A-0082-4409-95F6-004F001E007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I221</xm:sqref>
        </x14:dataValidation>
        <x14:dataValidation xr:uid="{00AD0042-0020-4CA7-B37A-009000BA002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AI220</xm:sqref>
        </x14:dataValidation>
        <x14:dataValidation xr:uid="{007800FD-00E7-4FB3-8C7E-00850072003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AF220</xm:sqref>
        </x14:dataValidation>
        <x14:dataValidation xr:uid="{00DA000E-0049-4D69-BB68-003D00410036}" type="textLength" allowBlank="1" error="Допускается ввод не более 900 символов!" errorStyle="stop" errorTitle="Ошибка" imeMode="noControl" operator="lessThanOrEqual" showDropDown="0" showErrorMessage="1" showInputMessage="1">
          <x14:formula1>
            <xm:f>900</xm:f>
          </x14:formula1>
          <xm:sqref>M220</xm:sqref>
        </x14:dataValidation>
        <x14:dataValidation xr:uid="{00040027-0097-4CE0-9260-001D005D0067}" type="textLength" allowBlank="1" error="Допускается ввод не более 900 символов!" errorStyle="stop" errorTitle="Ошибка" imeMode="noControl" operator="lessThanOrEqual" showDropDown="0" showErrorMessage="1" showInputMessage="1">
          <x14:formula1>
            <xm:f>900</xm:f>
          </x14:formula1>
          <xm:sqref>K220</xm:sqref>
        </x14:dataValidation>
        <x14:dataValidation xr:uid="{001400A6-0052-40D8-82D5-001000B7005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J220</xm:sqref>
        </x14:dataValidation>
        <x14:dataValidation xr:uid="{004800EF-0043-4812-8DAD-0046002B00C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I220</xm:sqref>
        </x14:dataValidation>
        <x14:dataValidation xr:uid="{00DD00C8-00A4-4575-B29C-0096002C008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AI219</xm:sqref>
        </x14:dataValidation>
        <x14:dataValidation xr:uid="{00CE00E6-0074-467D-971A-004D00E5000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AF219</xm:sqref>
        </x14:dataValidation>
        <x14:dataValidation xr:uid="{000C0018-006D-4D48-A0CB-00C700F6002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AI218</xm:sqref>
        </x14:dataValidation>
        <x14:dataValidation xr:uid="{002700F2-0073-40A2-A926-0084005E009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AF218</xm:sqref>
        </x14:dataValidation>
        <x14:dataValidation xr:uid="{002F00F2-00DE-452D-BAE0-0015008900A0}" type="textLength" allowBlank="1" error="Допускается ввод не более 900 символов!" errorStyle="stop" errorTitle="Ошибка" imeMode="noControl" operator="lessThanOrEqual" showDropDown="0" showErrorMessage="1" showInputMessage="1">
          <x14:formula1>
            <xm:f>900</xm:f>
          </x14:formula1>
          <xm:sqref>K218</xm:sqref>
        </x14:dataValidation>
        <x14:dataValidation xr:uid="{00E0000F-00F7-4CB4-A019-0011004000C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J218</xm:sqref>
        </x14:dataValidation>
        <x14:dataValidation xr:uid="{00DC0042-00FD-4E44-8EDD-00E400D600E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I218</xm:sqref>
        </x14:dataValidation>
        <x14:dataValidation xr:uid="{00D90024-0079-4A39-AD18-008700C6005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AI217</xm:sqref>
        </x14:dataValidation>
        <x14:dataValidation xr:uid="{00DB005F-00E1-4418-8555-00EF003A000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AF217</xm:sqref>
        </x14:dataValidation>
        <x14:dataValidation xr:uid="{005600B6-002B-4368-BFE8-001C0071002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AE217</xm:sqref>
        </x14:dataValidation>
        <x14:dataValidation xr:uid="{00F30022-00CD-4198-AC45-008B009B000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AC217</xm:sqref>
        </x14:dataValidation>
        <x14:dataValidation xr:uid="{002500A6-0015-4C22-8FF7-00F100A90093}" type="textLength" allowBlank="1" error="Допускается ввод не более 900 символов!" errorStyle="stop" errorTitle="Ошибка" imeMode="noControl" operator="lessThanOrEqual" showDropDown="0" showErrorMessage="1" showInputMessage="1">
          <x14:formula1>
            <xm:f>900</xm:f>
          </x14:formula1>
          <xm:sqref>K217</xm:sqref>
        </x14:dataValidation>
        <x14:dataValidation xr:uid="{00980043-00B4-4977-9FB6-00550095004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J217</xm:sqref>
        </x14:dataValidation>
        <x14:dataValidation xr:uid="{008B00E4-0025-428A-A7D5-006E005F002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I217</xm:sqref>
        </x14:dataValidation>
        <x14:dataValidation xr:uid="{00D0004B-00F3-433D-864C-00D1006F00C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AI216</xm:sqref>
        </x14:dataValidation>
        <x14:dataValidation xr:uid="{00A100E3-0044-4252-B3D4-009D003C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AF216</xm:sqref>
        </x14:dataValidation>
        <x14:dataValidation xr:uid="{001200E9-004C-40ED-870E-0009003800D9}" type="textLength" allowBlank="1" error="Допускается ввод не более 900 символов!" errorStyle="stop" errorTitle="Ошибка" imeMode="noControl" operator="lessThanOrEqual" showDropDown="0" showErrorMessage="1" showInputMessage="1">
          <x14:formula1>
            <xm:f>900</xm:f>
          </x14:formula1>
          <xm:sqref>K216</xm:sqref>
        </x14:dataValidation>
        <x14:dataValidation xr:uid="{003C00C0-0084-4C7C-929A-00A0005700A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J216</xm:sqref>
        </x14:dataValidation>
        <x14:dataValidation xr:uid="{00200001-00E0-4084-9F12-0094009100F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I216</xm:sqref>
        </x14:dataValidation>
        <x14:dataValidation xr:uid="{00BC0010-00C2-44E3-888F-00DF009F001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AI215</xm:sqref>
        </x14:dataValidation>
        <x14:dataValidation xr:uid="{001000FA-00F6-4665-8274-000D001900F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AF215</xm:sqref>
        </x14:dataValidation>
        <x14:dataValidation xr:uid="{00130006-0005-491F-B218-0045009B004D}" type="textLength" allowBlank="1" error="Допускается ввод не более 900 символов!" errorStyle="stop" errorTitle="Ошибка" imeMode="noControl" operator="lessThanOrEqual" showDropDown="0" showErrorMessage="1" showInputMessage="1">
          <x14:formula1>
            <xm:f>900</xm:f>
          </x14:formula1>
          <xm:sqref>M215</xm:sqref>
        </x14:dataValidation>
        <x14:dataValidation xr:uid="{0097003C-0046-417B-88A1-0044009B0097}" type="textLength" allowBlank="1" error="Допускается ввод не более 900 символов!" errorStyle="stop" errorTitle="Ошибка" imeMode="noControl" operator="lessThanOrEqual" showDropDown="0" showErrorMessage="1" showInputMessage="1">
          <x14:formula1>
            <xm:f>900</xm:f>
          </x14:formula1>
          <xm:sqref>K215</xm:sqref>
        </x14:dataValidation>
        <x14:dataValidation xr:uid="{00D80084-0016-4EDD-B337-0006001B00E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J215</xm:sqref>
        </x14:dataValidation>
        <x14:dataValidation xr:uid="{00D500A4-00BB-4A87-B50D-00C00091002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I215</xm:sqref>
        </x14:dataValidation>
        <x14:dataValidation xr:uid="{00850089-00A5-4AEE-8259-009F00E9005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AI214</xm:sqref>
        </x14:dataValidation>
        <x14:dataValidation xr:uid="{00F80053-00DD-4D13-A29A-00A100CD004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AF214</xm:sqref>
        </x14:dataValidation>
        <x14:dataValidation xr:uid="{009E00AE-0045-4B6F-AE9D-00C0005900F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AI213</xm:sqref>
        </x14:dataValidation>
        <x14:dataValidation xr:uid="{007F0033-00D6-4829-9E61-0032006E00D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AF213</xm:sqref>
        </x14:dataValidation>
        <x14:dataValidation xr:uid="{00B80033-007E-4877-BE23-00F500D200BF}" type="textLength" allowBlank="1" error="Допускается ввод не более 900 символов!" errorStyle="stop" errorTitle="Ошибка" imeMode="noControl" operator="lessThanOrEqual" showDropDown="0" showErrorMessage="1" showInputMessage="1">
          <x14:formula1>
            <xm:f>900</xm:f>
          </x14:formula1>
          <xm:sqref>K213</xm:sqref>
        </x14:dataValidation>
        <x14:dataValidation xr:uid="{00A90057-00C6-4BB1-B166-007300D4004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J213</xm:sqref>
        </x14:dataValidation>
        <x14:dataValidation xr:uid="{0033002C-002C-435D-931C-007E0018001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I213</xm:sqref>
        </x14:dataValidation>
        <x14:dataValidation xr:uid="{00F30044-00C4-4534-9CC5-0091005E009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AI212</xm:sqref>
        </x14:dataValidation>
        <x14:dataValidation xr:uid="{000200C6-00D4-4FB7-B3A8-00A10039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AF212</xm:sqref>
        </x14:dataValidation>
        <x14:dataValidation xr:uid="{001F0002-00B9-4E00-9C92-0061003900A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AE212</xm:sqref>
        </x14:dataValidation>
        <x14:dataValidation xr:uid="{00480061-00DA-45AD-AD77-00AE008000D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AC212</xm:sqref>
        </x14:dataValidation>
        <x14:dataValidation xr:uid="{004E0061-0050-4EB7-BEE4-000C00F30039}" type="textLength" allowBlank="1" error="Допускается ввод не более 900 символов!" errorStyle="stop" errorTitle="Ошибка" imeMode="noControl" operator="lessThanOrEqual" showDropDown="0" showErrorMessage="1" showInputMessage="1">
          <x14:formula1>
            <xm:f>900</xm:f>
          </x14:formula1>
          <xm:sqref>K212</xm:sqref>
        </x14:dataValidation>
        <x14:dataValidation xr:uid="{007E0043-0022-4BD6-990C-005C0002008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J212</xm:sqref>
        </x14:dataValidation>
        <x14:dataValidation xr:uid="{002E007B-00D9-4F5D-A615-00D700A4005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I212</xm:sqref>
        </x14:dataValidation>
        <x14:dataValidation xr:uid="{003C004E-00BE-4C03-895A-005C0029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AI211</xm:sqref>
        </x14:dataValidation>
        <x14:dataValidation xr:uid="{003500B6-000B-44AB-8910-00AA005B00B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AF211</xm:sqref>
        </x14:dataValidation>
        <x14:dataValidation xr:uid="{00900061-00B8-4A34-A1CA-00750012000D}" type="textLength" allowBlank="1" error="Допускается ввод не более 900 символов!" errorStyle="stop" errorTitle="Ошибка" imeMode="noControl" operator="lessThanOrEqual" showDropDown="0" showErrorMessage="1" showInputMessage="1">
          <x14:formula1>
            <xm:f>900</xm:f>
          </x14:formula1>
          <xm:sqref>K211</xm:sqref>
        </x14:dataValidation>
        <x14:dataValidation xr:uid="{006A00E9-0066-4F11-8B6E-00EB0038005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J211</xm:sqref>
        </x14:dataValidation>
        <x14:dataValidation xr:uid="{00B400CF-00BF-4003-90EF-00710045008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I211</xm:sqref>
        </x14:dataValidation>
        <x14:dataValidation xr:uid="{009100FB-00D3-4984-9600-001D0079001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AI210</xm:sqref>
        </x14:dataValidation>
        <x14:dataValidation xr:uid="{008600AA-00D5-4B29-AF54-0074007000E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AF210</xm:sqref>
        </x14:dataValidation>
        <x14:dataValidation xr:uid="{008C0089-0029-45FC-8E7A-00400096000D}" type="textLength" allowBlank="1" error="Допускается ввод не более 900 символов!" errorStyle="stop" errorTitle="Ошибка" imeMode="noControl" operator="lessThanOrEqual" showDropDown="0" showErrorMessage="1" showInputMessage="1">
          <x14:formula1>
            <xm:f>900</xm:f>
          </x14:formula1>
          <xm:sqref>M210</xm:sqref>
        </x14:dataValidation>
        <x14:dataValidation xr:uid="{00D40027-00EE-4BB9-9B27-001F00FA006F}" type="textLength" allowBlank="1" error="Допускается ввод не более 900 символов!" errorStyle="stop" errorTitle="Ошибка" imeMode="noControl" operator="lessThanOrEqual" showDropDown="0" showErrorMessage="1" showInputMessage="1">
          <x14:formula1>
            <xm:f>900</xm:f>
          </x14:formula1>
          <xm:sqref>K210</xm:sqref>
        </x14:dataValidation>
        <x14:dataValidation xr:uid="{00FD007E-0095-4A17-8672-009A0044006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J210</xm:sqref>
        </x14:dataValidation>
        <x14:dataValidation xr:uid="{00D500B4-00C2-44C8-A379-001800F2000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I210</xm:sqref>
        </x14:dataValidation>
        <x14:dataValidation xr:uid="{008D00E1-007D-4C1E-9608-00F400F5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AI209</xm:sqref>
        </x14:dataValidation>
        <x14:dataValidation xr:uid="{00560004-0027-4DEE-B11C-00000000007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AF209</xm:sqref>
        </x14:dataValidation>
        <x14:dataValidation xr:uid="{00390080-00C1-4633-A08C-0043009E006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AI208</xm:sqref>
        </x14:dataValidation>
        <x14:dataValidation xr:uid="{00B30051-001C-465A-9D64-00670098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AF208</xm:sqref>
        </x14:dataValidation>
        <x14:dataValidation xr:uid="{003900BD-00E9-4DC2-9403-000800450011}" type="textLength" allowBlank="1" error="Допускается ввод не более 900 символов!" errorStyle="stop" errorTitle="Ошибка" imeMode="noControl" operator="lessThanOrEqual" showDropDown="0" showErrorMessage="1" showInputMessage="1">
          <x14:formula1>
            <xm:f>900</xm:f>
          </x14:formula1>
          <xm:sqref>K208</xm:sqref>
        </x14:dataValidation>
        <x14:dataValidation xr:uid="{004F002E-006E-43E4-A81B-006900BD00E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J208</xm:sqref>
        </x14:dataValidation>
        <x14:dataValidation xr:uid="{00E50079-0051-4832-A3D8-00D10071000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I208</xm:sqref>
        </x14:dataValidation>
        <x14:dataValidation xr:uid="{000D00F7-00B2-43FC-B059-006100E000E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AI207</xm:sqref>
        </x14:dataValidation>
        <x14:dataValidation xr:uid="{00D100F2-00FA-4EE8-B402-003D00FF00F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AF207</xm:sqref>
        </x14:dataValidation>
        <x14:dataValidation xr:uid="{00D600EA-00D6-4CC9-BC30-00A8005B00B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AE207</xm:sqref>
        </x14:dataValidation>
        <x14:dataValidation xr:uid="{00F6005F-008F-410D-B48F-001600BB004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AC207</xm:sqref>
        </x14:dataValidation>
        <x14:dataValidation xr:uid="{00690079-0031-4472-BB07-003A00C0006F}" type="textLength" allowBlank="1" error="Допускается ввод не более 900 символов!" errorStyle="stop" errorTitle="Ошибка" imeMode="noControl" operator="lessThanOrEqual" showDropDown="0" showErrorMessage="1" showInputMessage="1">
          <x14:formula1>
            <xm:f>900</xm:f>
          </x14:formula1>
          <xm:sqref>K207</xm:sqref>
        </x14:dataValidation>
        <x14:dataValidation xr:uid="{006700E9-0014-4DB0-8399-002200B6003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J207</xm:sqref>
        </x14:dataValidation>
        <x14:dataValidation xr:uid="{00B0000F-00EC-4768-B5C8-00020092006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I207</xm:sqref>
        </x14:dataValidation>
        <x14:dataValidation xr:uid="{002300AB-0088-48B4-8306-00290025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AI206</xm:sqref>
        </x14:dataValidation>
        <x14:dataValidation xr:uid="{00480023-0009-4B17-AEA2-008F00E6004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AF206</xm:sqref>
        </x14:dataValidation>
        <x14:dataValidation xr:uid="{00C900D7-004A-4E59-B325-0060004500BF}" type="textLength" allowBlank="1" error="Допускается ввод не более 900 символов!" errorStyle="stop" errorTitle="Ошибка" imeMode="noControl" operator="lessThanOrEqual" showDropDown="0" showErrorMessage="1" showInputMessage="1">
          <x14:formula1>
            <xm:f>900</xm:f>
          </x14:formula1>
          <xm:sqref>K206</xm:sqref>
        </x14:dataValidation>
        <x14:dataValidation xr:uid="{006E00F4-0011-4CC6-9E6E-000200DA00D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J206</xm:sqref>
        </x14:dataValidation>
        <x14:dataValidation xr:uid="{00EF000D-00CF-45A6-9326-0023001E003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I206</xm:sqref>
        </x14:dataValidation>
        <x14:dataValidation xr:uid="{00650014-00CD-48A6-893F-00A9009D00B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AI205</xm:sqref>
        </x14:dataValidation>
        <x14:dataValidation xr:uid="{009B0035-00AD-42BF-A0EB-00D50075001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AF205</xm:sqref>
        </x14:dataValidation>
        <x14:dataValidation xr:uid="{007E00BC-00D4-4548-B5E3-00DF00370087}" type="textLength" allowBlank="1" error="Допускается ввод не более 900 символов!" errorStyle="stop" errorTitle="Ошибка" imeMode="noControl" operator="lessThanOrEqual" showDropDown="0" showErrorMessage="1" showInputMessage="1">
          <x14:formula1>
            <xm:f>900</xm:f>
          </x14:formula1>
          <xm:sqref>M205</xm:sqref>
        </x14:dataValidation>
        <x14:dataValidation xr:uid="{00630087-0075-49AE-8B1C-006800DF00F2}" type="textLength" allowBlank="1" error="Допускается ввод не более 900 символов!" errorStyle="stop" errorTitle="Ошибка" imeMode="noControl" operator="lessThanOrEqual" showDropDown="0" showErrorMessage="1" showInputMessage="1">
          <x14:formula1>
            <xm:f>900</xm:f>
          </x14:formula1>
          <xm:sqref>K205</xm:sqref>
        </x14:dataValidation>
        <x14:dataValidation xr:uid="{0010001E-0044-42FE-8FAB-00300031001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J205</xm:sqref>
        </x14:dataValidation>
        <x14:dataValidation xr:uid="{00270013-00B1-4CA0-AB55-007C00F300B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I205</xm:sqref>
        </x14:dataValidation>
        <x14:dataValidation xr:uid="{00B900AE-0031-49C7-8FA6-007500F3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AI204</xm:sqref>
        </x14:dataValidation>
        <x14:dataValidation xr:uid="{009E0022-00D9-488C-A066-00510016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AF204</xm:sqref>
        </x14:dataValidation>
        <x14:dataValidation xr:uid="{00500018-0075-4297-9382-00570052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AI203</xm:sqref>
        </x14:dataValidation>
        <x14:dataValidation xr:uid="{002F0030-00DC-4D46-86E2-00C90095006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AF203</xm:sqref>
        </x14:dataValidation>
        <x14:dataValidation xr:uid="{00E7004F-000E-4DD6-8514-005F00A500CF}" type="textLength" allowBlank="1" error="Допускается ввод не более 900 символов!" errorStyle="stop" errorTitle="Ошибка" imeMode="noControl" operator="lessThanOrEqual" showDropDown="0" showErrorMessage="1" showInputMessage="1">
          <x14:formula1>
            <xm:f>900</xm:f>
          </x14:formula1>
          <xm:sqref>K203</xm:sqref>
        </x14:dataValidation>
        <x14:dataValidation xr:uid="{0084004F-00C8-437A-BCC8-00A600A1002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J203</xm:sqref>
        </x14:dataValidation>
        <x14:dataValidation xr:uid="{00830002-00A4-421B-A31F-008C00A6001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I203</xm:sqref>
        </x14:dataValidation>
        <x14:dataValidation xr:uid="{007700AF-00BD-46A8-B4C5-008C00CB003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AI202</xm:sqref>
        </x14:dataValidation>
        <x14:dataValidation xr:uid="{00410020-005D-451C-86DA-000E000E006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AF202</xm:sqref>
        </x14:dataValidation>
        <x14:dataValidation xr:uid="{00A900FC-0040-4A8E-B8ED-00F100C600F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AE202</xm:sqref>
        </x14:dataValidation>
        <x14:dataValidation xr:uid="{00660085-005E-412D-B44D-005B008800E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AC202</xm:sqref>
        </x14:dataValidation>
        <x14:dataValidation xr:uid="{00310049-0095-49CE-89E9-00E600110029}" type="textLength" allowBlank="1" error="Допускается ввод не более 900 символов!" errorStyle="stop" errorTitle="Ошибка" imeMode="noControl" operator="lessThanOrEqual" showDropDown="0" showErrorMessage="1" showInputMessage="1">
          <x14:formula1>
            <xm:f>900</xm:f>
          </x14:formula1>
          <xm:sqref>K202</xm:sqref>
        </x14:dataValidation>
        <x14:dataValidation xr:uid="{00B30001-008A-4EB4-A043-006A005700A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J202</xm:sqref>
        </x14:dataValidation>
        <x14:dataValidation xr:uid="{001A0088-0028-4A33-BA3D-002B00F3005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I202</xm:sqref>
        </x14:dataValidation>
        <x14:dataValidation xr:uid="{006B0044-00A0-4841-94FE-001B00E300B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AI201</xm:sqref>
        </x14:dataValidation>
        <x14:dataValidation xr:uid="{006400B1-0085-49C0-9401-003C002A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AF201</xm:sqref>
        </x14:dataValidation>
        <x14:dataValidation xr:uid="{00F50044-0026-48A5-A47B-0024001B00DC}" type="textLength" allowBlank="1" error="Допускается ввод не более 900 символов!" errorStyle="stop" errorTitle="Ошибка" imeMode="noControl" operator="lessThanOrEqual" showDropDown="0" showErrorMessage="1" showInputMessage="1">
          <x14:formula1>
            <xm:f>900</xm:f>
          </x14:formula1>
          <xm:sqref>K201</xm:sqref>
        </x14:dataValidation>
        <x14:dataValidation xr:uid="{00480066-005C-4797-B649-00D4006F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J201</xm:sqref>
        </x14:dataValidation>
        <x14:dataValidation xr:uid="{00D400EC-0069-4622-8473-00250082003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I201</xm:sqref>
        </x14:dataValidation>
        <x14:dataValidation xr:uid="{008A00B8-0006-41AE-B5EF-00550028009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AI200</xm:sqref>
        </x14:dataValidation>
        <x14:dataValidation xr:uid="{001B00BD-005F-4D02-9059-001B00DC002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AF200</xm:sqref>
        </x14:dataValidation>
        <x14:dataValidation xr:uid="{002C00AE-00CE-4FED-A877-0068009100CF}" type="textLength" allowBlank="1" error="Допускается ввод не более 900 символов!" errorStyle="stop" errorTitle="Ошибка" imeMode="noControl" operator="lessThanOrEqual" showDropDown="0" showErrorMessage="1" showInputMessage="1">
          <x14:formula1>
            <xm:f>900</xm:f>
          </x14:formula1>
          <xm:sqref>M200</xm:sqref>
        </x14:dataValidation>
        <x14:dataValidation xr:uid="{00D10047-0099-443D-AAAC-00AD00D40050}" type="textLength" allowBlank="1" error="Допускается ввод не более 900 символов!" errorStyle="stop" errorTitle="Ошибка" imeMode="noControl" operator="lessThanOrEqual" showDropDown="0" showErrorMessage="1" showInputMessage="1">
          <x14:formula1>
            <xm:f>900</xm:f>
          </x14:formula1>
          <xm:sqref>K200</xm:sqref>
        </x14:dataValidation>
        <x14:dataValidation xr:uid="{00C500FA-00DD-4AA3-9E09-0025009C00C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J200</xm:sqref>
        </x14:dataValidation>
        <x14:dataValidation xr:uid="{004400D8-0049-4875-9731-008C001600B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I200</xm:sqref>
        </x14:dataValidation>
        <x14:dataValidation xr:uid="{005F00F4-0059-4C0E-9FE0-00AB004000D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AI193</xm:sqref>
        </x14:dataValidation>
        <x14:dataValidation xr:uid="{00FD003C-0019-413B-9FF3-00D200A1002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AF193</xm:sqref>
        </x14:dataValidation>
        <x14:dataValidation xr:uid="{00F9001E-0067-413F-8796-006D006200B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AI192</xm:sqref>
        </x14:dataValidation>
        <x14:dataValidation xr:uid="{00CE0037-008E-4AF4-9441-00B600AA007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AF192</xm:sqref>
        </x14:dataValidation>
        <x14:dataValidation xr:uid="{0069003B-008A-483C-921B-009600E200CE}" type="textLength" allowBlank="1" error="Допускается ввод не более 900 символов!" errorStyle="stop" errorTitle="Ошибка" imeMode="noControl" operator="lessThanOrEqual" showDropDown="0" showErrorMessage="1" showInputMessage="1">
          <x14:formula1>
            <xm:f>900</xm:f>
          </x14:formula1>
          <xm:sqref>K192</xm:sqref>
        </x14:dataValidation>
        <x14:dataValidation xr:uid="{00DD0063-0011-4027-A4C5-00D4000D002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J192</xm:sqref>
        </x14:dataValidation>
        <x14:dataValidation xr:uid="{00B500AC-0054-4338-9BC3-003600D0007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I192</xm:sqref>
        </x14:dataValidation>
        <x14:dataValidation xr:uid="{00BE00C1-00E0-47F0-A3D8-00A8006200F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AI191</xm:sqref>
        </x14:dataValidation>
        <x14:dataValidation xr:uid="{000C0068-00D6-48E1-9CC9-009A005700C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AF191</xm:sqref>
        </x14:dataValidation>
        <x14:dataValidation xr:uid="{00C000E7-00D6-4B4D-A086-0073003C00E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AE191</xm:sqref>
        </x14:dataValidation>
        <x14:dataValidation xr:uid="{00700094-001F-4971-B2A9-0073001D00A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AC191</xm:sqref>
        </x14:dataValidation>
        <x14:dataValidation xr:uid="{00DF002F-0023-441D-B382-0062003D0081}" type="textLength" allowBlank="1" error="Допускается ввод не более 900 символов!" errorStyle="stop" errorTitle="Ошибка" imeMode="noControl" operator="lessThanOrEqual" showDropDown="0" showErrorMessage="1" showInputMessage="1">
          <x14:formula1>
            <xm:f>900</xm:f>
          </x14:formula1>
          <xm:sqref>K191</xm:sqref>
        </x14:dataValidation>
        <x14:dataValidation xr:uid="{00830068-0046-4D9F-BC1E-00DE00C9007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J191</xm:sqref>
        </x14:dataValidation>
        <x14:dataValidation xr:uid="{00580090-0075-43B1-9B0B-008D00DB008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I191</xm:sqref>
        </x14:dataValidation>
        <x14:dataValidation xr:uid="{00A30074-00CC-4F22-A27B-00370003009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AI190</xm:sqref>
        </x14:dataValidation>
        <x14:dataValidation xr:uid="{00740005-0043-47FA-BB50-001400D6000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AF190</xm:sqref>
        </x14:dataValidation>
        <x14:dataValidation xr:uid="{00AC002F-0038-4F29-BF27-00D000E3000D}" type="textLength" allowBlank="1" error="Допускается ввод не более 900 символов!" errorStyle="stop" errorTitle="Ошибка" imeMode="noControl" operator="lessThanOrEqual" showDropDown="0" showErrorMessage="1" showInputMessage="1">
          <x14:formula1>
            <xm:f>900</xm:f>
          </x14:formula1>
          <xm:sqref>K190</xm:sqref>
        </x14:dataValidation>
        <x14:dataValidation xr:uid="{00C4001D-000C-4732-91AE-007C00BD001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J190</xm:sqref>
        </x14:dataValidation>
        <x14:dataValidation xr:uid="{002900D6-003C-4B20-86A5-00C80054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I190</xm:sqref>
        </x14:dataValidation>
        <x14:dataValidation xr:uid="{003B0081-0055-482E-95A5-004F00EA001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AI189</xm:sqref>
        </x14:dataValidation>
        <x14:dataValidation xr:uid="{009C000E-0017-4289-B45C-00E70051003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AF189</xm:sqref>
        </x14:dataValidation>
        <x14:dataValidation xr:uid="{00A600CA-007E-4896-8BA4-0061008A00D4}" type="textLength" allowBlank="1" error="Допускается ввод не более 900 символов!" errorStyle="stop" errorTitle="Ошибка" imeMode="noControl" operator="lessThanOrEqual" showDropDown="0" showErrorMessage="1" showInputMessage="1">
          <x14:formula1>
            <xm:f>900</xm:f>
          </x14:formula1>
          <xm:sqref>M189</xm:sqref>
        </x14:dataValidation>
        <x14:dataValidation xr:uid="{00E2001C-00AF-45CF-90A6-00D9009300D2}" type="textLength" allowBlank="1" error="Допускается ввод не более 900 символов!" errorStyle="stop" errorTitle="Ошибка" imeMode="noControl" operator="lessThanOrEqual" showDropDown="0" showErrorMessage="1" showInputMessage="1">
          <x14:formula1>
            <xm:f>900</xm:f>
          </x14:formula1>
          <xm:sqref>K189</xm:sqref>
        </x14:dataValidation>
        <x14:dataValidation xr:uid="{00F90002-0071-46C1-9944-00EF006C009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J189</xm:sqref>
        </x14:dataValidation>
        <x14:dataValidation xr:uid="{00D500E8-0069-4001-AB99-005B00EA00C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I189</xm:sqref>
        </x14:dataValidation>
        <x14:dataValidation xr:uid="{009A0030-00A5-49C7-8152-00DB004900F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AI188</xm:sqref>
        </x14:dataValidation>
        <x14:dataValidation xr:uid="{005200EA-00A9-43B8-82BC-008D0009003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AF188</xm:sqref>
        </x14:dataValidation>
        <x14:dataValidation xr:uid="{000D00D0-001C-4E4B-8BA5-001900DA001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AI187</xm:sqref>
        </x14:dataValidation>
        <x14:dataValidation xr:uid="{008800DC-0042-4895-811D-0059002B000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AF187</xm:sqref>
        </x14:dataValidation>
        <x14:dataValidation xr:uid="{009500ED-0043-485C-89E8-001200B7008B}" type="textLength" allowBlank="1" error="Допускается ввод не более 900 символов!" errorStyle="stop" errorTitle="Ошибка" imeMode="noControl" operator="lessThanOrEqual" showDropDown="0" showErrorMessage="1" showInputMessage="1">
          <x14:formula1>
            <xm:f>900</xm:f>
          </x14:formula1>
          <xm:sqref>K187</xm:sqref>
        </x14:dataValidation>
        <x14:dataValidation xr:uid="{00390057-0087-4D23-841E-009D007A004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J187</xm:sqref>
        </x14:dataValidation>
        <x14:dataValidation xr:uid="{009200BA-00DF-4C8C-B4F8-000F0070006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I187</xm:sqref>
        </x14:dataValidation>
        <x14:dataValidation xr:uid="{00E10028-0075-4555-97A4-00990013000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AI186</xm:sqref>
        </x14:dataValidation>
        <x14:dataValidation xr:uid="{00CA001E-0021-4A7E-8529-0034003B002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AF186</xm:sqref>
        </x14:dataValidation>
        <x14:dataValidation xr:uid="{00A400F7-0026-4E42-8E90-00CF00BB009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AE186</xm:sqref>
        </x14:dataValidation>
        <x14:dataValidation xr:uid="{00F100B6-000A-47E6-A8ED-00500007009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AC186</xm:sqref>
        </x14:dataValidation>
        <x14:dataValidation xr:uid="{00F10054-00BA-4AC5-B4D8-0091004F001E}" type="textLength" allowBlank="1" error="Допускается ввод не более 900 символов!" errorStyle="stop" errorTitle="Ошибка" imeMode="noControl" operator="lessThanOrEqual" showDropDown="0" showErrorMessage="1" showInputMessage="1">
          <x14:formula1>
            <xm:f>900</xm:f>
          </x14:formula1>
          <xm:sqref>K186</xm:sqref>
        </x14:dataValidation>
        <x14:dataValidation xr:uid="{0044003D-0098-41A9-90F8-007A008800F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J186</xm:sqref>
        </x14:dataValidation>
        <x14:dataValidation xr:uid="{00CA003A-00FA-4633-834F-0003000D005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I186</xm:sqref>
        </x14:dataValidation>
        <x14:dataValidation xr:uid="{00B300D9-00A4-4995-B217-00EE008A000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AI185</xm:sqref>
        </x14:dataValidation>
        <x14:dataValidation xr:uid="{001A00AA-007B-4825-8C03-0026006B00F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AF185</xm:sqref>
        </x14:dataValidation>
        <x14:dataValidation xr:uid="{001000F1-00CA-49BD-96CE-008D00240003}" type="textLength" allowBlank="1" error="Допускается ввод не более 900 символов!" errorStyle="stop" errorTitle="Ошибка" imeMode="noControl" operator="lessThanOrEqual" showDropDown="0" showErrorMessage="1" showInputMessage="1">
          <x14:formula1>
            <xm:f>900</xm:f>
          </x14:formula1>
          <xm:sqref>K185</xm:sqref>
        </x14:dataValidation>
        <x14:dataValidation xr:uid="{00F000D5-00E0-4CEF-9CE1-00A600F400D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J185</xm:sqref>
        </x14:dataValidation>
        <x14:dataValidation xr:uid="{005B00B3-00B2-4767-AF74-00D800C3006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I185</xm:sqref>
        </x14:dataValidation>
        <x14:dataValidation xr:uid="{0058005C-00BD-4754-B9B6-001300D9001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AI184</xm:sqref>
        </x14:dataValidation>
        <x14:dataValidation xr:uid="{008B00AF-00F6-42B3-BCDF-000500E900E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AF184</xm:sqref>
        </x14:dataValidation>
        <x14:dataValidation xr:uid="{00A100CA-006B-4F36-BAE0-0096005600EB}" type="textLength" allowBlank="1" error="Допускается ввод не более 900 символов!" errorStyle="stop" errorTitle="Ошибка" imeMode="noControl" operator="lessThanOrEqual" showDropDown="0" showErrorMessage="1" showInputMessage="1">
          <x14:formula1>
            <xm:f>900</xm:f>
          </x14:formula1>
          <xm:sqref>M184</xm:sqref>
        </x14:dataValidation>
        <x14:dataValidation xr:uid="{007200F1-0054-4A55-96EB-00A100A3002F}" type="textLength" allowBlank="1" error="Допускается ввод не более 900 символов!" errorStyle="stop" errorTitle="Ошибка" imeMode="noControl" operator="lessThanOrEqual" showDropDown="0" showErrorMessage="1" showInputMessage="1">
          <x14:formula1>
            <xm:f>900</xm:f>
          </x14:formula1>
          <xm:sqref>K184</xm:sqref>
        </x14:dataValidation>
        <x14:dataValidation xr:uid="{00A400DA-0010-4DC2-B32B-00B40005002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J184</xm:sqref>
        </x14:dataValidation>
        <x14:dataValidation xr:uid="{00C10037-00F3-44D6-9702-004300DF00F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I184</xm:sqref>
        </x14:dataValidation>
        <x14:dataValidation xr:uid="{00680021-0065-4939-91B8-009B00CD004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AI183</xm:sqref>
        </x14:dataValidation>
        <x14:dataValidation xr:uid="{004500CF-00F0-4C17-9CBA-00FE00C2000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AF183</xm:sqref>
        </x14:dataValidation>
        <x14:dataValidation xr:uid="{008C005C-00A2-4A93-B765-00C7008300F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AI182</xm:sqref>
        </x14:dataValidation>
        <x14:dataValidation xr:uid="{00DB0018-0070-4C92-89B0-0039009F008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AF182</xm:sqref>
        </x14:dataValidation>
        <x14:dataValidation xr:uid="{002100DF-007C-4919-8380-005B00B3003E}" type="textLength" allowBlank="1" error="Допускается ввод не более 900 символов!" errorStyle="stop" errorTitle="Ошибка" imeMode="noControl" operator="lessThanOrEqual" showDropDown="0" showErrorMessage="1" showInputMessage="1">
          <x14:formula1>
            <xm:f>900</xm:f>
          </x14:formula1>
          <xm:sqref>K182</xm:sqref>
        </x14:dataValidation>
        <x14:dataValidation xr:uid="{00C2009A-004E-47CD-B8A8-007F00DD003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J182</xm:sqref>
        </x14:dataValidation>
        <x14:dataValidation xr:uid="{008500F2-00D6-4904-A0EA-007A006200D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I182</xm:sqref>
        </x14:dataValidation>
        <x14:dataValidation xr:uid="{00D900E3-00F5-449B-BFD8-00DD002B007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AI181</xm:sqref>
        </x14:dataValidation>
        <x14:dataValidation xr:uid="{00F900E3-002F-4EBA-AA8D-0050003E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AF181</xm:sqref>
        </x14:dataValidation>
        <x14:dataValidation xr:uid="{0083009D-00E9-47B1-A2BB-004E0062000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AE181</xm:sqref>
        </x14:dataValidation>
        <x14:dataValidation xr:uid="{006200D4-00DA-45ED-AACA-00E80017004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AC181</xm:sqref>
        </x14:dataValidation>
        <x14:dataValidation xr:uid="{0050007A-004E-4FA7-9177-006A00B10005}" type="textLength" allowBlank="1" error="Допускается ввод не более 900 символов!" errorStyle="stop" errorTitle="Ошибка" imeMode="noControl" operator="lessThanOrEqual" showDropDown="0" showErrorMessage="1" showInputMessage="1">
          <x14:formula1>
            <xm:f>900</xm:f>
          </x14:formula1>
          <xm:sqref>K181</xm:sqref>
        </x14:dataValidation>
        <x14:dataValidation xr:uid="{00070040-00F5-4FFA-A66D-001200CB008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J181</xm:sqref>
        </x14:dataValidation>
        <x14:dataValidation xr:uid="{00C2008C-007F-4477-AE8F-00E2008E005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I181</xm:sqref>
        </x14:dataValidation>
        <x14:dataValidation xr:uid="{005400E5-00E6-454F-B2C3-00110074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AI180</xm:sqref>
        </x14:dataValidation>
        <x14:dataValidation xr:uid="{002A008E-0070-4E9E-8DCB-00F50050009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AF180</xm:sqref>
        </x14:dataValidation>
        <x14:dataValidation xr:uid="{00EE003D-00B1-4796-91F7-007100A0003B}" type="textLength" allowBlank="1" error="Допускается ввод не более 900 символов!" errorStyle="stop" errorTitle="Ошибка" imeMode="noControl" operator="lessThanOrEqual" showDropDown="0" showErrorMessage="1" showInputMessage="1">
          <x14:formula1>
            <xm:f>900</xm:f>
          </x14:formula1>
          <xm:sqref>K180</xm:sqref>
        </x14:dataValidation>
        <x14:dataValidation xr:uid="{0034007A-0083-459E-8D4A-00F7001F004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J180</xm:sqref>
        </x14:dataValidation>
        <x14:dataValidation xr:uid="{0009009B-009C-4C71-B568-00B7008B00F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I180</xm:sqref>
        </x14:dataValidation>
        <x14:dataValidation xr:uid="{003B00B5-00D6-4300-B832-0047009000E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AI179</xm:sqref>
        </x14:dataValidation>
        <x14:dataValidation xr:uid="{001800FA-00AE-40D8-A55A-00710026007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AF179</xm:sqref>
        </x14:dataValidation>
        <x14:dataValidation xr:uid="{006C009F-0049-4D74-9A47-00CF00F100CD}" type="textLength" allowBlank="1" error="Допускается ввод не более 900 символов!" errorStyle="stop" errorTitle="Ошибка" imeMode="noControl" operator="lessThanOrEqual" showDropDown="0" showErrorMessage="1" showInputMessage="1">
          <x14:formula1>
            <xm:f>900</xm:f>
          </x14:formula1>
          <xm:sqref>M179</xm:sqref>
        </x14:dataValidation>
        <x14:dataValidation xr:uid="{00DF004F-004D-40F2-BD24-00B2005600D5}" type="textLength" allowBlank="1" error="Допускается ввод не более 900 символов!" errorStyle="stop" errorTitle="Ошибка" imeMode="noControl" operator="lessThanOrEqual" showDropDown="0" showErrorMessage="1" showInputMessage="1">
          <x14:formula1>
            <xm:f>900</xm:f>
          </x14:formula1>
          <xm:sqref>K179</xm:sqref>
        </x14:dataValidation>
        <x14:dataValidation xr:uid="{00E3001A-001E-4F6D-A858-0069009700D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J179</xm:sqref>
        </x14:dataValidation>
        <x14:dataValidation xr:uid="{00060035-00EA-4E39-ABF7-00F0008B004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I179</xm:sqref>
        </x14:dataValidation>
        <x14:dataValidation xr:uid="{002300BC-0010-404E-AB51-0071000400D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AI178</xm:sqref>
        </x14:dataValidation>
        <x14:dataValidation xr:uid="{009A0037-00B9-4DBC-B859-0069006F006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AF178</xm:sqref>
        </x14:dataValidation>
        <x14:dataValidation xr:uid="{000400A0-0093-44BF-A304-007900A1005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AI177</xm:sqref>
        </x14:dataValidation>
        <x14:dataValidation xr:uid="{0057005D-0056-4A7B-99D3-00210090001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AF177</xm:sqref>
        </x14:dataValidation>
        <x14:dataValidation xr:uid="{004400CC-0064-4EDE-9858-00A700CE005B}" type="textLength" allowBlank="1" error="Допускается ввод не более 900 символов!" errorStyle="stop" errorTitle="Ошибка" imeMode="noControl" operator="lessThanOrEqual" showDropDown="0" showErrorMessage="1" showInputMessage="1">
          <x14:formula1>
            <xm:f>900</xm:f>
          </x14:formula1>
          <xm:sqref>K177</xm:sqref>
        </x14:dataValidation>
        <x14:dataValidation xr:uid="{003E002A-00D4-42EE-BDF8-009C003500D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J177</xm:sqref>
        </x14:dataValidation>
        <x14:dataValidation xr:uid="{00540039-009C-4136-B7C6-00FB00A3007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I177</xm:sqref>
        </x14:dataValidation>
        <x14:dataValidation xr:uid="{000C00FE-0008-40B1-ABC9-00AB005A002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AI176</xm:sqref>
        </x14:dataValidation>
        <x14:dataValidation xr:uid="{00DD00F8-0081-4E0A-9598-00B500A600D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AF176</xm:sqref>
        </x14:dataValidation>
        <x14:dataValidation xr:uid="{00DD00E3-0096-4D68-A1C5-006C009400B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AE176</xm:sqref>
        </x14:dataValidation>
        <x14:dataValidation xr:uid="{00A700C3-004B-477B-AEE0-001200DF003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AC176</xm:sqref>
        </x14:dataValidation>
        <x14:dataValidation xr:uid="{004C0062-004D-4C76-820E-004F006E00A5}" type="textLength" allowBlank="1" error="Допускается ввод не более 900 символов!" errorStyle="stop" errorTitle="Ошибка" imeMode="noControl" operator="lessThanOrEqual" showDropDown="0" showErrorMessage="1" showInputMessage="1">
          <x14:formula1>
            <xm:f>900</xm:f>
          </x14:formula1>
          <xm:sqref>K176</xm:sqref>
        </x14:dataValidation>
        <x14:dataValidation xr:uid="{004F00DA-00F8-4E98-9574-0000001700F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J176</xm:sqref>
        </x14:dataValidation>
        <x14:dataValidation xr:uid="{001700D3-00D7-4BDD-894F-00F40047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I176</xm:sqref>
        </x14:dataValidation>
        <x14:dataValidation xr:uid="{00D500D9-004A-4C30-A90C-008600E500B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AI175</xm:sqref>
        </x14:dataValidation>
        <x14:dataValidation xr:uid="{0069007B-008E-4875-AFDF-002C002800B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AF175</xm:sqref>
        </x14:dataValidation>
        <x14:dataValidation xr:uid="{0001008D-0041-4674-BA76-0066007C00A6}" type="textLength" allowBlank="1" error="Допускается ввод не более 900 символов!" errorStyle="stop" errorTitle="Ошибка" imeMode="noControl" operator="lessThanOrEqual" showDropDown="0" showErrorMessage="1" showInputMessage="1">
          <x14:formula1>
            <xm:f>900</xm:f>
          </x14:formula1>
          <xm:sqref>K175</xm:sqref>
        </x14:dataValidation>
        <x14:dataValidation xr:uid="{000F007C-00CA-4559-94A5-00F70081008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J175</xm:sqref>
        </x14:dataValidation>
        <x14:dataValidation xr:uid="{000500B4-001A-4F4D-B9B4-0041000300A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I175</xm:sqref>
        </x14:dataValidation>
        <x14:dataValidation xr:uid="{00150020-00B0-456F-8542-003400E0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AI174</xm:sqref>
        </x14:dataValidation>
        <x14:dataValidation xr:uid="{005000A2-00E1-49C8-A8FB-00530087002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AF174</xm:sqref>
        </x14:dataValidation>
        <x14:dataValidation xr:uid="{001200CB-0032-4063-BE41-00B500990062}" type="textLength" allowBlank="1" error="Допускается ввод не более 900 символов!" errorStyle="stop" errorTitle="Ошибка" imeMode="noControl" operator="lessThanOrEqual" showDropDown="0" showErrorMessage="1" showInputMessage="1">
          <x14:formula1>
            <xm:f>900</xm:f>
          </x14:formula1>
          <xm:sqref>M174</xm:sqref>
        </x14:dataValidation>
        <x14:dataValidation xr:uid="{00680087-00A5-4D26-AFCB-00F1000C0035}" type="textLength" allowBlank="1" error="Допускается ввод не более 900 символов!" errorStyle="stop" errorTitle="Ошибка" imeMode="noControl" operator="lessThanOrEqual" showDropDown="0" showErrorMessage="1" showInputMessage="1">
          <x14:formula1>
            <xm:f>900</xm:f>
          </x14:formula1>
          <xm:sqref>K174</xm:sqref>
        </x14:dataValidation>
        <x14:dataValidation xr:uid="{0098000A-0040-4C6C-8DB1-001F00BC008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J174</xm:sqref>
        </x14:dataValidation>
        <x14:dataValidation xr:uid="{00A100DF-00DA-4F3E-BE3E-0038005D00C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I174</xm:sqref>
        </x14:dataValidation>
        <x14:dataValidation xr:uid="{00FB00E8-0027-48C6-9ACE-005C0094007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AI150</xm:sqref>
        </x14:dataValidation>
        <x14:dataValidation xr:uid="{000500C1-0005-457F-822A-007D00D9003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AF150</xm:sqref>
        </x14:dataValidation>
        <x14:dataValidation xr:uid="{00E800C5-0004-4721-B534-00FA00E100C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AE150</xm:sqref>
        </x14:dataValidation>
        <x14:dataValidation xr:uid="{004B0041-0056-42D8-9D43-007700FD006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AC150</xm:sqref>
        </x14:dataValidation>
        <x14:dataValidation xr:uid="{00F800AC-000A-4FC5-B536-0022009D00EA}" type="textLength" allowBlank="1" error="Допускается ввод не более 900 символов!" errorStyle="stop" errorTitle="Ошибка" imeMode="noControl" operator="lessThanOrEqual" showDropDown="0" showErrorMessage="1" showInputMessage="1">
          <x14:formula1>
            <xm:f>900</xm:f>
          </x14:formula1>
          <xm:sqref>K150</xm:sqref>
        </x14:dataValidation>
        <x14:dataValidation xr:uid="{00F00068-0013-412F-B9F2-0052002A00E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J150</xm:sqref>
        </x14:dataValidation>
        <x14:dataValidation xr:uid="{00C700FD-00E2-4F66-91BA-001D006200F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I150</xm:sqref>
        </x14:dataValidation>
        <x14:dataValidation xr:uid="{00B50003-00A8-4ACA-A886-0067007400D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AI167</xm:sqref>
        </x14:dataValidation>
        <x14:dataValidation xr:uid="{00130003-0012-4F2F-99C8-00660025004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AF167</xm:sqref>
        </x14:dataValidation>
        <x14:dataValidation xr:uid="{005D005B-00DE-4669-9AA4-00760055003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AI166</xm:sqref>
        </x14:dataValidation>
        <x14:dataValidation xr:uid="{003A006E-0070-4D5A-A48F-00730078004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AF166</xm:sqref>
        </x14:dataValidation>
        <x14:dataValidation xr:uid="{00C40064-00F4-477E-9881-00F100D500E5}" type="textLength" allowBlank="1" error="Допускается ввод не более 900 символов!" errorStyle="stop" errorTitle="Ошибка" imeMode="noControl" operator="lessThanOrEqual" showDropDown="0" showErrorMessage="1" showInputMessage="1">
          <x14:formula1>
            <xm:f>900</xm:f>
          </x14:formula1>
          <xm:sqref>K166</xm:sqref>
        </x14:dataValidation>
        <x14:dataValidation xr:uid="{0019005C-00D2-42DD-A8E3-00CF00CA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J166</xm:sqref>
        </x14:dataValidation>
        <x14:dataValidation xr:uid="{00F200EE-00E0-49B1-8BCE-008500D3002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I166</xm:sqref>
        </x14:dataValidation>
        <x14:dataValidation xr:uid="{00B700ED-0006-4FD2-B70B-00980061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AI165</xm:sqref>
        </x14:dataValidation>
        <x14:dataValidation xr:uid="{00ED001E-00CB-4DD3-99BB-006600DF00D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AF165</xm:sqref>
        </x14:dataValidation>
        <x14:dataValidation xr:uid="{00E7008C-0092-43BF-8424-003600ED009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AE165</xm:sqref>
        </x14:dataValidation>
        <x14:dataValidation xr:uid="{004A0009-0067-48F1-A790-00780011006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AC165</xm:sqref>
        </x14:dataValidation>
        <x14:dataValidation xr:uid="{00840051-00EB-43A8-AC2A-00FE00A100C8}" type="textLength" allowBlank="1" error="Допускается ввод не более 900 символов!" errorStyle="stop" errorTitle="Ошибка" imeMode="noControl" operator="lessThanOrEqual" showDropDown="0" showErrorMessage="1" showInputMessage="1">
          <x14:formula1>
            <xm:f>900</xm:f>
          </x14:formula1>
          <xm:sqref>K165</xm:sqref>
        </x14:dataValidation>
        <x14:dataValidation xr:uid="{0018008B-00FC-4E83-BA90-00DE00B800C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J165</xm:sqref>
        </x14:dataValidation>
        <x14:dataValidation xr:uid="{00B90090-0017-4753-90DE-008B00C100E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I165</xm:sqref>
        </x14:dataValidation>
        <x14:dataValidation xr:uid="{00380064-00D9-496F-B020-00D00008002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AI164</xm:sqref>
        </x14:dataValidation>
        <x14:dataValidation xr:uid="{001800A6-0024-414D-9743-00D20062007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AF164</xm:sqref>
        </x14:dataValidation>
        <x14:dataValidation xr:uid="{00690077-0041-4E80-8CE1-00B6008400DC}" type="textLength" allowBlank="1" error="Допускается ввод не более 900 символов!" errorStyle="stop" errorTitle="Ошибка" imeMode="noControl" operator="lessThanOrEqual" showDropDown="0" showErrorMessage="1" showInputMessage="1">
          <x14:formula1>
            <xm:f>900</xm:f>
          </x14:formula1>
          <xm:sqref>K164</xm:sqref>
        </x14:dataValidation>
        <x14:dataValidation xr:uid="{0041000E-00A2-4219-B117-00120002000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J164</xm:sqref>
        </x14:dataValidation>
        <x14:dataValidation xr:uid="{00320052-00BF-4CB7-AD20-005B00DE00A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I164</xm:sqref>
        </x14:dataValidation>
        <x14:dataValidation xr:uid="{00240086-00FB-4D48-A969-00540024002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AI163</xm:sqref>
        </x14:dataValidation>
        <x14:dataValidation xr:uid="{007F0069-00FB-4C7D-BEEC-0083003C007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AF163</xm:sqref>
        </x14:dataValidation>
        <x14:dataValidation xr:uid="{00C80058-00E3-4B1D-B265-00D5007B00FD}" type="textLength" allowBlank="1" error="Допускается ввод не более 900 символов!" errorStyle="stop" errorTitle="Ошибка" imeMode="noControl" operator="lessThanOrEqual" showDropDown="0" showErrorMessage="1" showInputMessage="1">
          <x14:formula1>
            <xm:f>900</xm:f>
          </x14:formula1>
          <xm:sqref>M163</xm:sqref>
        </x14:dataValidation>
        <x14:dataValidation xr:uid="{009300AB-0034-4472-9F78-00E200B300C2}" type="textLength" allowBlank="1" error="Допускается ввод не более 900 символов!" errorStyle="stop" errorTitle="Ошибка" imeMode="noControl" operator="lessThanOrEqual" showDropDown="0" showErrorMessage="1" showInputMessage="1">
          <x14:formula1>
            <xm:f>900</xm:f>
          </x14:formula1>
          <xm:sqref>K163</xm:sqref>
        </x14:dataValidation>
        <x14:dataValidation xr:uid="{007A00C5-0088-4DFB-83AA-00020000005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J163</xm:sqref>
        </x14:dataValidation>
        <x14:dataValidation xr:uid="{004100C2-00E4-4044-947D-007A004900C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I163</xm:sqref>
        </x14:dataValidation>
        <x14:dataValidation xr:uid="{003C0045-00B1-497A-B5E4-00580097005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AI162</xm:sqref>
        </x14:dataValidation>
        <x14:dataValidation xr:uid="{00B3006A-0061-4C5B-87AA-00B60027006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AF162</xm:sqref>
        </x14:dataValidation>
        <x14:dataValidation xr:uid="{00BA00D7-001A-48F5-BE19-0054006C006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AI161</xm:sqref>
        </x14:dataValidation>
        <x14:dataValidation xr:uid="{009500E8-00BE-4235-A1DE-00FC0051006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AF161</xm:sqref>
        </x14:dataValidation>
        <x14:dataValidation xr:uid="{0056000C-0057-46F2-843C-001200410055}" type="textLength" allowBlank="1" error="Допускается ввод не более 900 символов!" errorStyle="stop" errorTitle="Ошибка" imeMode="noControl" operator="lessThanOrEqual" showDropDown="0" showErrorMessage="1" showInputMessage="1">
          <x14:formula1>
            <xm:f>900</xm:f>
          </x14:formula1>
          <xm:sqref>K161</xm:sqref>
        </x14:dataValidation>
        <x14:dataValidation xr:uid="{0085008C-0098-4D24-A225-002D00C2007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J161</xm:sqref>
        </x14:dataValidation>
        <x14:dataValidation xr:uid="{005E00B3-00B9-46FB-8DE6-00E200E1000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I161</xm:sqref>
        </x14:dataValidation>
        <x14:dataValidation xr:uid="{00C400D5-00ED-406E-ACC5-000500B0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AI160</xm:sqref>
        </x14:dataValidation>
        <x14:dataValidation xr:uid="{00BC0077-00A0-4E3E-8CD1-009400E7002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AF160</xm:sqref>
        </x14:dataValidation>
        <x14:dataValidation xr:uid="{0041000C-0021-473C-8647-009500A4006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AE160</xm:sqref>
        </x14:dataValidation>
        <x14:dataValidation xr:uid="{00B2005B-00EE-48A7-B9FF-003A00EE000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AC160</xm:sqref>
        </x14:dataValidation>
        <x14:dataValidation xr:uid="{007C00D0-00C7-4F4E-B7D9-00F20060009E}" type="textLength" allowBlank="1" error="Допускается ввод не более 900 символов!" errorStyle="stop" errorTitle="Ошибка" imeMode="noControl" operator="lessThanOrEqual" showDropDown="0" showErrorMessage="1" showInputMessage="1">
          <x14:formula1>
            <xm:f>900</xm:f>
          </x14:formula1>
          <xm:sqref>K160</xm:sqref>
        </x14:dataValidation>
        <x14:dataValidation xr:uid="{006800A8-0014-4A05-A4C2-009D006400A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J160</xm:sqref>
        </x14:dataValidation>
        <x14:dataValidation xr:uid="{00610036-00FB-415E-BB1E-00EF003D00B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I160</xm:sqref>
        </x14:dataValidation>
        <x14:dataValidation xr:uid="{00FC0043-00BA-485E-8318-005E007000E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AI159</xm:sqref>
        </x14:dataValidation>
        <x14:dataValidation xr:uid="{00AA00E5-00D9-49FC-A18F-00090035001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AF159</xm:sqref>
        </x14:dataValidation>
        <x14:dataValidation xr:uid="{004E00AB-003E-4996-8242-00960082003E}" type="textLength" allowBlank="1" error="Допускается ввод не более 900 символов!" errorStyle="stop" errorTitle="Ошибка" imeMode="noControl" operator="lessThanOrEqual" showDropDown="0" showErrorMessage="1" showInputMessage="1">
          <x14:formula1>
            <xm:f>900</xm:f>
          </x14:formula1>
          <xm:sqref>K159</xm:sqref>
        </x14:dataValidation>
        <x14:dataValidation xr:uid="{007F003B-0079-4995-8250-0043009A007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J159</xm:sqref>
        </x14:dataValidation>
        <x14:dataValidation xr:uid="{006E0045-0054-4753-B922-0011009900E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I159</xm:sqref>
        </x14:dataValidation>
        <x14:dataValidation xr:uid="{00650031-00BB-4E27-B1C0-00D6004E008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AI158</xm:sqref>
        </x14:dataValidation>
        <x14:dataValidation xr:uid="{00810022-0053-4306-BECC-00A800C7003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AF158</xm:sqref>
        </x14:dataValidation>
        <x14:dataValidation xr:uid="{00C90002-0096-49DF-908B-005B006500ED}" type="textLength" allowBlank="1" error="Допускается ввод не более 900 символов!" errorStyle="stop" errorTitle="Ошибка" imeMode="noControl" operator="lessThanOrEqual" showDropDown="0" showErrorMessage="1" showInputMessage="1">
          <x14:formula1>
            <xm:f>900</xm:f>
          </x14:formula1>
          <xm:sqref>M158</xm:sqref>
        </x14:dataValidation>
        <x14:dataValidation xr:uid="{00F200F1-0056-4D68-8C04-001100130030}" type="textLength" allowBlank="1" error="Допускается ввод не более 900 символов!" errorStyle="stop" errorTitle="Ошибка" imeMode="noControl" operator="lessThanOrEqual" showDropDown="0" showErrorMessage="1" showInputMessage="1">
          <x14:formula1>
            <xm:f>900</xm:f>
          </x14:formula1>
          <xm:sqref>K158</xm:sqref>
        </x14:dataValidation>
        <x14:dataValidation xr:uid="{00C10031-00A9-4D83-8C71-007800C800A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J158</xm:sqref>
        </x14:dataValidation>
        <x14:dataValidation xr:uid="{001B00F8-00B6-432D-9A3F-009400DA007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I158</xm:sqref>
        </x14:dataValidation>
        <x14:dataValidation xr:uid="{001A00C4-00A0-49EA-ACAB-009E0054001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AI157</xm:sqref>
        </x14:dataValidation>
        <x14:dataValidation xr:uid="{00D0000E-008F-4D2C-8C6D-009E00D500B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AF157</xm:sqref>
        </x14:dataValidation>
        <x14:dataValidation xr:uid="{00A1009C-00CE-4E30-8413-009C0086005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AI156</xm:sqref>
        </x14:dataValidation>
        <x14:dataValidation xr:uid="{000300F0-0010-49E7-9B3E-00180030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AF156</xm:sqref>
        </x14:dataValidation>
        <x14:dataValidation xr:uid="{00E30069-00C2-402F-815F-00FE008E0064}" type="textLength" allowBlank="1" error="Допускается ввод не более 900 символов!" errorStyle="stop" errorTitle="Ошибка" imeMode="noControl" operator="lessThanOrEqual" showDropDown="0" showErrorMessage="1" showInputMessage="1">
          <x14:formula1>
            <xm:f>900</xm:f>
          </x14:formula1>
          <xm:sqref>K156</xm:sqref>
        </x14:dataValidation>
        <x14:dataValidation xr:uid="{00EE0094-000D-4897-B691-00FF0007009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J156</xm:sqref>
        </x14:dataValidation>
        <x14:dataValidation xr:uid="{00A60064-0065-46FE-9F96-00C90030009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I156</xm:sqref>
        </x14:dataValidation>
        <x14:dataValidation xr:uid="{00F10080-006C-438D-85E4-007C007C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AI155</xm:sqref>
        </x14:dataValidation>
        <x14:dataValidation xr:uid="{00D7000D-00AA-4640-9569-0040007E00F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AF155</xm:sqref>
        </x14:dataValidation>
        <x14:dataValidation xr:uid="{00AC0037-002F-4019-A933-009B000C00B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AE155</xm:sqref>
        </x14:dataValidation>
        <x14:dataValidation xr:uid="{00FC0004-00D4-4266-A6B8-00700000005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AC155</xm:sqref>
        </x14:dataValidation>
        <x14:dataValidation xr:uid="{00E800CF-00F9-4CED-ABB2-007900800051}" type="textLength" allowBlank="1" error="Допускается ввод не более 900 символов!" errorStyle="stop" errorTitle="Ошибка" imeMode="noControl" operator="lessThanOrEqual" showDropDown="0" showErrorMessage="1" showInputMessage="1">
          <x14:formula1>
            <xm:f>900</xm:f>
          </x14:formula1>
          <xm:sqref>K155</xm:sqref>
        </x14:dataValidation>
        <x14:dataValidation xr:uid="{006B008E-001F-46BA-873A-00120010007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J155</xm:sqref>
        </x14:dataValidation>
        <x14:dataValidation xr:uid="{00B800F0-00EB-4058-8BA0-00B40029002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I155</xm:sqref>
        </x14:dataValidation>
        <x14:dataValidation xr:uid="{0086004D-001A-4535-9EE5-0016006000E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AI154</xm:sqref>
        </x14:dataValidation>
        <x14:dataValidation xr:uid="{00360070-0033-48BF-8473-006400C6009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AF154</xm:sqref>
        </x14:dataValidation>
        <x14:dataValidation xr:uid="{00CC0069-007C-42A1-83EE-00ED00820043}" type="textLength" allowBlank="1" error="Допускается ввод не более 900 символов!" errorStyle="stop" errorTitle="Ошибка" imeMode="noControl" operator="lessThanOrEqual" showDropDown="0" showErrorMessage="1" showInputMessage="1">
          <x14:formula1>
            <xm:f>900</xm:f>
          </x14:formula1>
          <xm:sqref>K154</xm:sqref>
        </x14:dataValidation>
        <x14:dataValidation xr:uid="{00F300B6-0000-4F08-94CC-0010001D00A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J154</xm:sqref>
        </x14:dataValidation>
        <x14:dataValidation xr:uid="{0081001C-0092-4AE6-B073-004500CC006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I154</xm:sqref>
        </x14:dataValidation>
        <x14:dataValidation xr:uid="{00F7004F-0079-42B3-9D79-00090080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AI153</xm:sqref>
        </x14:dataValidation>
        <x14:dataValidation xr:uid="{005E0068-005D-49B8-ACC1-00F4003C00F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AF153</xm:sqref>
        </x14:dataValidation>
        <x14:dataValidation xr:uid="{00DA0076-0012-4279-A45D-005C0078007A}" type="textLength" allowBlank="1" error="Допускается ввод не более 900 символов!" errorStyle="stop" errorTitle="Ошибка" imeMode="noControl" operator="lessThanOrEqual" showDropDown="0" showErrorMessage="1" showInputMessage="1">
          <x14:formula1>
            <xm:f>900</xm:f>
          </x14:formula1>
          <xm:sqref>M153</xm:sqref>
        </x14:dataValidation>
        <x14:dataValidation xr:uid="{00A60046-008C-4A4D-B48B-007000BB00DE}" type="textLength" allowBlank="1" error="Допускается ввод не более 900 символов!" errorStyle="stop" errorTitle="Ошибка" imeMode="noControl" operator="lessThanOrEqual" showDropDown="0" showErrorMessage="1" showInputMessage="1">
          <x14:formula1>
            <xm:f>900</xm:f>
          </x14:formula1>
          <xm:sqref>K153</xm:sqref>
        </x14:dataValidation>
        <x14:dataValidation xr:uid="{00C400B6-000E-4DC9-B630-00BF004F000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J153</xm:sqref>
        </x14:dataValidation>
        <x14:dataValidation xr:uid="{00830061-00C9-4E08-B7AB-006100AB004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I153</xm:sqref>
        </x14:dataValidation>
        <x14:dataValidation xr:uid="{00AD0095-007B-46CF-A60F-000500BD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AI152</xm:sqref>
        </x14:dataValidation>
        <x14:dataValidation xr:uid="{009D002A-00B7-4B91-A601-00710005003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AF152</xm:sqref>
        </x14:dataValidation>
        <x14:dataValidation xr:uid="{00420094-0013-4AF7-B820-005C00E9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AI151</xm:sqref>
        </x14:dataValidation>
        <x14:dataValidation xr:uid="{00010049-00A6-48BF-81F8-004500F500B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AF151</xm:sqref>
        </x14:dataValidation>
        <x14:dataValidation xr:uid="{000100DF-0051-4CCA-B117-00BC004F0063}" type="textLength" allowBlank="1" error="Допускается ввод не более 900 символов!" errorStyle="stop" errorTitle="Ошибка" imeMode="noControl" operator="lessThanOrEqual" showDropDown="0" showErrorMessage="1" showInputMessage="1">
          <x14:formula1>
            <xm:f>900</xm:f>
          </x14:formula1>
          <xm:sqref>K151</xm:sqref>
        </x14:dataValidation>
        <x14:dataValidation xr:uid="{000F0084-00AF-4B08-9A77-00850050005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J151</xm:sqref>
        </x14:dataValidation>
        <x14:dataValidation xr:uid="{00B100D2-0073-4BF3-9A93-00DF00E0009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I151</xm:sqref>
        </x14:dataValidation>
        <x14:dataValidation xr:uid="{00200029-00C1-41BD-9749-00780017006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AI149</xm:sqref>
        </x14:dataValidation>
        <x14:dataValidation xr:uid="{008C00DC-0031-4B36-AAF8-005200E5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AF149</xm:sqref>
        </x14:dataValidation>
        <x14:dataValidation xr:uid="{00A90099-00F7-4710-A5DB-00730061008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AE149</xm:sqref>
        </x14:dataValidation>
        <x14:dataValidation xr:uid="{0054007C-000C-4AEB-B96B-003A007800D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AC149</xm:sqref>
        </x14:dataValidation>
        <x14:dataValidation xr:uid="{00C60002-00A5-4AB6-AF2D-007C00F40024}" type="textLength" allowBlank="1" error="Допускается ввод не более 900 символов!" errorStyle="stop" errorTitle="Ошибка" imeMode="noControl" operator="lessThanOrEqual" showDropDown="0" showErrorMessage="1" showInputMessage="1">
          <x14:formula1>
            <xm:f>900</xm:f>
          </x14:formula1>
          <xm:sqref>K149</xm:sqref>
        </x14:dataValidation>
        <x14:dataValidation xr:uid="{0008004C-007D-4F86-ADB2-00A10054008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J149</xm:sqref>
        </x14:dataValidation>
        <x14:dataValidation xr:uid="{008E0098-002B-4BB6-9D7C-009200BF00D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I149</xm:sqref>
        </x14:dataValidation>
        <x14:dataValidation xr:uid="{000300E3-00D5-48DF-9971-005900D200A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AI148</xm:sqref>
        </x14:dataValidation>
        <x14:dataValidation xr:uid="{008F0046-00E6-4905-BD52-00E4005F00C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AF148</xm:sqref>
        </x14:dataValidation>
        <x14:dataValidation xr:uid="{004400C9-009C-4265-969B-005000E8003B}" type="textLength" allowBlank="1" error="Допускается ввод не более 900 символов!" errorStyle="stop" errorTitle="Ошибка" imeMode="noControl" operator="lessThanOrEqual" showDropDown="0" showErrorMessage="1" showInputMessage="1">
          <x14:formula1>
            <xm:f>900</xm:f>
          </x14:formula1>
          <xm:sqref>K148</xm:sqref>
        </x14:dataValidation>
        <x14:dataValidation xr:uid="{002900A0-00CB-4086-8B82-0033005B005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J148</xm:sqref>
        </x14:dataValidation>
        <x14:dataValidation xr:uid="{00990080-009A-4ACF-871F-00B700F9009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I148</xm:sqref>
        </x14:dataValidation>
        <x14:dataValidation xr:uid="{0086008E-005F-464B-AE1B-0019006400F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AI147</xm:sqref>
        </x14:dataValidation>
        <x14:dataValidation xr:uid="{00D700F1-0010-467B-8159-004700DE004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AF147</xm:sqref>
        </x14:dataValidation>
        <x14:dataValidation xr:uid="{008D001A-008A-47EF-86BE-00E90024006B}" type="textLength" allowBlank="1" error="Допускается ввод не более 900 символов!" errorStyle="stop" errorTitle="Ошибка" imeMode="noControl" operator="lessThanOrEqual" showDropDown="0" showErrorMessage="1" showInputMessage="1">
          <x14:formula1>
            <xm:f>900</xm:f>
          </x14:formula1>
          <xm:sqref>M147</xm:sqref>
        </x14:dataValidation>
        <x14:dataValidation xr:uid="{006600EB-008A-416C-A870-000A00D10083}" type="textLength" allowBlank="1" error="Допускается ввод не более 900 символов!" errorStyle="stop" errorTitle="Ошибка" imeMode="noControl" operator="lessThanOrEqual" showDropDown="0" showErrorMessage="1" showInputMessage="1">
          <x14:formula1>
            <xm:f>900</xm:f>
          </x14:formula1>
          <xm:sqref>K147</xm:sqref>
        </x14:dataValidation>
        <x14:dataValidation xr:uid="{00AB00C0-00F3-4264-9316-0065000400E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J147</xm:sqref>
        </x14:dataValidation>
        <x14:dataValidation xr:uid="{00820024-0049-4D17-A33B-0058000700D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I147</xm:sqref>
        </x14:dataValidation>
        <x14:dataValidation xr:uid="{001B00EA-008D-4697-B130-0073000D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AI146</xm:sqref>
        </x14:dataValidation>
        <x14:dataValidation xr:uid="{006E0030-0059-477F-A964-006D00F5005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AF146</xm:sqref>
        </x14:dataValidation>
        <x14:dataValidation xr:uid="{005B006D-0068-4F89-97DC-00A80095005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AI145</xm:sqref>
        </x14:dataValidation>
        <x14:dataValidation xr:uid="{007C0008-00CC-490F-AD13-00A800C5006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AF145</xm:sqref>
        </x14:dataValidation>
        <x14:dataValidation xr:uid="{0067008C-00C4-4A08-852F-00D9007B00D9}" type="textLength" allowBlank="1" error="Допускается ввод не более 900 символов!" errorStyle="stop" errorTitle="Ошибка" imeMode="noControl" operator="lessThanOrEqual" showDropDown="0" showErrorMessage="1" showInputMessage="1">
          <x14:formula1>
            <xm:f>900</xm:f>
          </x14:formula1>
          <xm:sqref>K145</xm:sqref>
        </x14:dataValidation>
        <x14:dataValidation xr:uid="{00B000A7-0062-4552-931E-003100F900B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J145</xm:sqref>
        </x14:dataValidation>
        <x14:dataValidation xr:uid="{002700DB-00DE-4CB8-AF9F-0071004F00F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I145</xm:sqref>
        </x14:dataValidation>
        <x14:dataValidation xr:uid="{0029002F-00B6-494F-96FA-00AE008300A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AI144</xm:sqref>
        </x14:dataValidation>
        <x14:dataValidation xr:uid="{008600A1-0026-40CD-8D66-009A0009003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AF144</xm:sqref>
        </x14:dataValidation>
        <x14:dataValidation xr:uid="{002C0022-0065-4435-B104-00BE00D3001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AE144</xm:sqref>
        </x14:dataValidation>
        <x14:dataValidation xr:uid="{00160094-0088-4F72-A2A9-00AD009300B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AC144</xm:sqref>
        </x14:dataValidation>
        <x14:dataValidation xr:uid="{002B0084-00F8-43F9-B6D8-00C90042000C}" type="textLength" allowBlank="1" error="Допускается ввод не более 900 символов!" errorStyle="stop" errorTitle="Ошибка" imeMode="noControl" operator="lessThanOrEqual" showDropDown="0" showErrorMessage="1" showInputMessage="1">
          <x14:formula1>
            <xm:f>900</xm:f>
          </x14:formula1>
          <xm:sqref>K144</xm:sqref>
        </x14:dataValidation>
        <x14:dataValidation xr:uid="{00640054-0007-4944-BF89-0065001E000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J144</xm:sqref>
        </x14:dataValidation>
        <x14:dataValidation xr:uid="{002D003B-00F8-4B78-BE8D-00D6001300D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I144</xm:sqref>
        </x14:dataValidation>
        <x14:dataValidation xr:uid="{007D0013-002F-4971-912D-009A00E8008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AI143</xm:sqref>
        </x14:dataValidation>
        <x14:dataValidation xr:uid="{00D60095-005D-43D5-AED0-00D800DC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AF143</xm:sqref>
        </x14:dataValidation>
        <x14:dataValidation xr:uid="{00DC0024-00F9-4002-BEBE-00A500FB007B}" type="textLength" allowBlank="1" error="Допускается ввод не более 900 символов!" errorStyle="stop" errorTitle="Ошибка" imeMode="noControl" operator="lessThanOrEqual" showDropDown="0" showErrorMessage="1" showInputMessage="1">
          <x14:formula1>
            <xm:f>900</xm:f>
          </x14:formula1>
          <xm:sqref>K143</xm:sqref>
        </x14:dataValidation>
        <x14:dataValidation xr:uid="{007D00B2-0026-4FF2-845D-00EB00FA000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J143</xm:sqref>
        </x14:dataValidation>
        <x14:dataValidation xr:uid="{00ED00FD-008E-457C-9833-007B004D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I143</xm:sqref>
        </x14:dataValidation>
        <x14:dataValidation xr:uid="{00AE0016-00ED-4432-A2F2-005800D5006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AI142</xm:sqref>
        </x14:dataValidation>
        <x14:dataValidation xr:uid="{00C100C6-0092-46B5-A830-006E00BB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AF142</xm:sqref>
        </x14:dataValidation>
        <x14:dataValidation xr:uid="{00E700FB-00F9-46D8-B564-004600B1008C}" type="textLength" allowBlank="1" error="Допускается ввод не более 900 символов!" errorStyle="stop" errorTitle="Ошибка" imeMode="noControl" operator="lessThanOrEqual" showDropDown="0" showErrorMessage="1" showInputMessage="1">
          <x14:formula1>
            <xm:f>900</xm:f>
          </x14:formula1>
          <xm:sqref>M142</xm:sqref>
        </x14:dataValidation>
        <x14:dataValidation xr:uid="{007000AF-0064-4305-99D8-006700760046}" type="textLength" allowBlank="1" error="Допускается ввод не более 900 символов!" errorStyle="stop" errorTitle="Ошибка" imeMode="noControl" operator="lessThanOrEqual" showDropDown="0" showErrorMessage="1" showInputMessage="1">
          <x14:formula1>
            <xm:f>900</xm:f>
          </x14:formula1>
          <xm:sqref>K142</xm:sqref>
        </x14:dataValidation>
        <x14:dataValidation xr:uid="{00DD001A-00C6-4CF5-828D-00B00007003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J142</xm:sqref>
        </x14:dataValidation>
        <x14:dataValidation xr:uid="{00A600F8-008E-451A-90A0-00C80088008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I142</xm:sqref>
        </x14:dataValidation>
        <x14:dataValidation xr:uid="{007E00FF-001F-4238-AD43-0024003F004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AI108</xm:sqref>
        </x14:dataValidation>
        <x14:dataValidation xr:uid="{0003000B-00EF-40CA-83F0-00400066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AF108</xm:sqref>
        </x14:dataValidation>
        <x14:dataValidation xr:uid="{000300C9-0089-4C81-A6CF-006F00BB00F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AE108</xm:sqref>
        </x14:dataValidation>
        <x14:dataValidation xr:uid="{006000D1-0033-4520-B33A-003A0091001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AC108</xm:sqref>
        </x14:dataValidation>
        <x14:dataValidation xr:uid="{00AB0028-0077-4D15-A3BA-007800F50072}" type="textLength" allowBlank="1" error="Допускается ввод не более 900 символов!" errorStyle="stop" errorTitle="Ошибка" imeMode="noControl" operator="lessThanOrEqual" showDropDown="0" showErrorMessage="1" showInputMessage="1">
          <x14:formula1>
            <xm:f>900</xm:f>
          </x14:formula1>
          <xm:sqref>K108</xm:sqref>
        </x14:dataValidation>
        <x14:dataValidation xr:uid="{004E00AA-0051-4E57-8D82-0046006800D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J108</xm:sqref>
        </x14:dataValidation>
        <x14:dataValidation xr:uid="{00B50091-0004-4BA3-90DE-003A001A000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I108</xm:sqref>
        </x14:dataValidation>
        <x14:dataValidation xr:uid="{00700015-00B2-45FE-80E0-00E000CB009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AI135</xm:sqref>
        </x14:dataValidation>
        <x14:dataValidation xr:uid="{00E10067-0042-4904-943A-001A008D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AF135</xm:sqref>
        </x14:dataValidation>
        <x14:dataValidation xr:uid="{000A0050-0033-42FE-B769-008800AD00A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AI134</xm:sqref>
        </x14:dataValidation>
        <x14:dataValidation xr:uid="{002400A5-0029-428F-8769-0098008B004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AF134</xm:sqref>
        </x14:dataValidation>
        <x14:dataValidation xr:uid="{00DF0063-00EF-4538-B6BE-00DA008600F4}" type="textLength" allowBlank="1" error="Допускается ввод не более 900 символов!" errorStyle="stop" errorTitle="Ошибка" imeMode="noControl" operator="lessThanOrEqual" showDropDown="0" showErrorMessage="1" showInputMessage="1">
          <x14:formula1>
            <xm:f>900</xm:f>
          </x14:formula1>
          <xm:sqref>K134</xm:sqref>
        </x14:dataValidation>
        <x14:dataValidation xr:uid="{006B0063-0003-49C0-B3AB-009C007E007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J134</xm:sqref>
        </x14:dataValidation>
        <x14:dataValidation xr:uid="{006B00BA-00BD-491E-8E53-006D00EB00B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I134</xm:sqref>
        </x14:dataValidation>
        <x14:dataValidation xr:uid="{006F00FC-0001-407B-869C-005C0052004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AI133</xm:sqref>
        </x14:dataValidation>
        <x14:dataValidation xr:uid="{0042009F-00C6-4FC5-97E1-006200D6008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AF133</xm:sqref>
        </x14:dataValidation>
        <x14:dataValidation xr:uid="{00EF006F-0027-4B3E-935A-00C4003B004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AE133</xm:sqref>
        </x14:dataValidation>
        <x14:dataValidation xr:uid="{00E2009C-0059-449A-B1D0-009F00DC001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AC133</xm:sqref>
        </x14:dataValidation>
        <x14:dataValidation xr:uid="{00810095-00B6-4EFA-8B8B-00BA00F800AB}" type="textLength" allowBlank="1" error="Допускается ввод не более 900 символов!" errorStyle="stop" errorTitle="Ошибка" imeMode="noControl" operator="lessThanOrEqual" showDropDown="0" showErrorMessage="1" showInputMessage="1">
          <x14:formula1>
            <xm:f>900</xm:f>
          </x14:formula1>
          <xm:sqref>K133</xm:sqref>
        </x14:dataValidation>
        <x14:dataValidation xr:uid="{00020094-00E0-4EBE-B822-004100F8008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J133</xm:sqref>
        </x14:dataValidation>
        <x14:dataValidation xr:uid="{00910049-0076-4D7F-A405-00060058001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I133</xm:sqref>
        </x14:dataValidation>
        <x14:dataValidation xr:uid="{00EC00CF-005F-4241-A45B-00C200E8005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AI132</xm:sqref>
        </x14:dataValidation>
        <x14:dataValidation xr:uid="{00CB00D3-00A7-433F-B8B4-00120089005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AF132</xm:sqref>
        </x14:dataValidation>
        <x14:dataValidation xr:uid="{000F005F-00B0-4BF4-A3D3-001C0014009F}" type="textLength" allowBlank="1" error="Допускается ввод не более 900 символов!" errorStyle="stop" errorTitle="Ошибка" imeMode="noControl" operator="lessThanOrEqual" showDropDown="0" showErrorMessage="1" showInputMessage="1">
          <x14:formula1>
            <xm:f>900</xm:f>
          </x14:formula1>
          <xm:sqref>K132</xm:sqref>
        </x14:dataValidation>
        <x14:dataValidation xr:uid="{002E0019-00B1-44DC-907E-00680066000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J132</xm:sqref>
        </x14:dataValidation>
        <x14:dataValidation xr:uid="{009200C6-00EA-403A-B836-001B00DB009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I132</xm:sqref>
        </x14:dataValidation>
        <x14:dataValidation xr:uid="{001F007D-00B6-4B80-873C-00E300D8007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AI131</xm:sqref>
        </x14:dataValidation>
        <x14:dataValidation xr:uid="{005200CD-00DC-4C4A-A276-007D009900C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AF131</xm:sqref>
        </x14:dataValidation>
        <x14:dataValidation xr:uid="{0081004D-00F3-4BE7-9678-00DA00360042}" type="textLength" allowBlank="1" error="Допускается ввод не более 900 символов!" errorStyle="stop" errorTitle="Ошибка" imeMode="noControl" operator="lessThanOrEqual" showDropDown="0" showErrorMessage="1" showInputMessage="1">
          <x14:formula1>
            <xm:f>900</xm:f>
          </x14:formula1>
          <xm:sqref>M131</xm:sqref>
        </x14:dataValidation>
        <x14:dataValidation xr:uid="{00C5009B-0022-4A52-BB68-005B006800CE}" type="textLength" allowBlank="1" error="Допускается ввод не более 900 символов!" errorStyle="stop" errorTitle="Ошибка" imeMode="noControl" operator="lessThanOrEqual" showDropDown="0" showErrorMessage="1" showInputMessage="1">
          <x14:formula1>
            <xm:f>900</xm:f>
          </x14:formula1>
          <xm:sqref>K131</xm:sqref>
        </x14:dataValidation>
        <x14:dataValidation xr:uid="{00FF009A-00F4-4D35-9386-0077007E00F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J131</xm:sqref>
        </x14:dataValidation>
        <x14:dataValidation xr:uid="{0036002A-008B-41F3-9119-00BE0017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I131</xm:sqref>
        </x14:dataValidation>
        <x14:dataValidation xr:uid="{00C5002A-00A1-46F7-8E7C-0054000400C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AI130</xm:sqref>
        </x14:dataValidation>
        <x14:dataValidation xr:uid="{00A20020-0069-42A7-97FE-00CE0085000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AF130</xm:sqref>
        </x14:dataValidation>
        <x14:dataValidation xr:uid="{0019001C-00B6-418B-B072-001C0097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AI129</xm:sqref>
        </x14:dataValidation>
        <x14:dataValidation xr:uid="{002700F7-001A-4166-B65F-00F000DA00C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AF129</xm:sqref>
        </x14:dataValidation>
        <x14:dataValidation xr:uid="{00F600DB-00FA-4AED-9727-00D0004B001E}" type="textLength" allowBlank="1" error="Допускается ввод не более 900 символов!" errorStyle="stop" errorTitle="Ошибка" imeMode="noControl" operator="lessThanOrEqual" showDropDown="0" showErrorMessage="1" showInputMessage="1">
          <x14:formula1>
            <xm:f>900</xm:f>
          </x14:formula1>
          <xm:sqref>K129</xm:sqref>
        </x14:dataValidation>
        <x14:dataValidation xr:uid="{00FB00C9-0072-4213-8BAF-005200A9008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J129</xm:sqref>
        </x14:dataValidation>
        <x14:dataValidation xr:uid="{006A00AE-0034-449C-9692-001800E6000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I129</xm:sqref>
        </x14:dataValidation>
        <x14:dataValidation xr:uid="{00D8009C-0022-4DB9-8976-002B009F000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AI128</xm:sqref>
        </x14:dataValidation>
        <x14:dataValidation xr:uid="{00E70051-00C8-4567-A4D0-00ED006D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AF128</xm:sqref>
        </x14:dataValidation>
        <x14:dataValidation xr:uid="{001F0080-00D8-4415-8959-000F00A3007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AE128</xm:sqref>
        </x14:dataValidation>
        <x14:dataValidation xr:uid="{00DB00C5-0063-46CC-A2EF-00B5009800B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AC128</xm:sqref>
        </x14:dataValidation>
        <x14:dataValidation xr:uid="{007F0094-00ED-4312-80B2-005000F00002}" type="textLength" allowBlank="1" error="Допускается ввод не более 900 символов!" errorStyle="stop" errorTitle="Ошибка" imeMode="noControl" operator="lessThanOrEqual" showDropDown="0" showErrorMessage="1" showInputMessage="1">
          <x14:formula1>
            <xm:f>900</xm:f>
          </x14:formula1>
          <xm:sqref>K128</xm:sqref>
        </x14:dataValidation>
        <x14:dataValidation xr:uid="{00BC00A9-002B-404A-941E-00DA0081005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J128</xm:sqref>
        </x14:dataValidation>
        <x14:dataValidation xr:uid="{004F0003-00C1-4090-ABA8-004100B800C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I128</xm:sqref>
        </x14:dataValidation>
        <x14:dataValidation xr:uid="{001E0001-006F-451B-8BBB-00AA00B8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AI127</xm:sqref>
        </x14:dataValidation>
        <x14:dataValidation xr:uid="{009800F0-006E-443E-A8D6-00DA0051005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AF127</xm:sqref>
        </x14:dataValidation>
        <x14:dataValidation xr:uid="{00C300F5-0003-4AF5-A64C-005A00CA00EF}" type="textLength" allowBlank="1" error="Допускается ввод не более 900 символов!" errorStyle="stop" errorTitle="Ошибка" imeMode="noControl" operator="lessThanOrEqual" showDropDown="0" showErrorMessage="1" showInputMessage="1">
          <x14:formula1>
            <xm:f>900</xm:f>
          </x14:formula1>
          <xm:sqref>K127</xm:sqref>
        </x14:dataValidation>
        <x14:dataValidation xr:uid="{0050009A-00AA-48F7-A5CD-00A7003600B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J127</xm:sqref>
        </x14:dataValidation>
        <x14:dataValidation xr:uid="{0012009B-0077-48B3-9266-00760044006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I127</xm:sqref>
        </x14:dataValidation>
        <x14:dataValidation xr:uid="{00D3009F-0074-46E3-A6E1-0083007500C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AI126</xm:sqref>
        </x14:dataValidation>
        <x14:dataValidation xr:uid="{00B700F7-0002-45FC-97AD-000C00F9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AF126</xm:sqref>
        </x14:dataValidation>
        <x14:dataValidation xr:uid="{00AA0080-009D-4048-A2B1-0003009E0038}" type="textLength" allowBlank="1" error="Допускается ввод не более 900 символов!" errorStyle="stop" errorTitle="Ошибка" imeMode="noControl" operator="lessThanOrEqual" showDropDown="0" showErrorMessage="1" showInputMessage="1">
          <x14:formula1>
            <xm:f>900</xm:f>
          </x14:formula1>
          <xm:sqref>M126</xm:sqref>
        </x14:dataValidation>
        <x14:dataValidation xr:uid="{003600A8-00C3-476D-B7D1-002800F600E2}" type="textLength" allowBlank="1" error="Допускается ввод не более 900 символов!" errorStyle="stop" errorTitle="Ошибка" imeMode="noControl" operator="lessThanOrEqual" showDropDown="0" showErrorMessage="1" showInputMessage="1">
          <x14:formula1>
            <xm:f>900</xm:f>
          </x14:formula1>
          <xm:sqref>K126</xm:sqref>
        </x14:dataValidation>
        <x14:dataValidation xr:uid="{00DE00EF-00DC-4A9F-9517-003D002B003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J126</xm:sqref>
        </x14:dataValidation>
        <x14:dataValidation xr:uid="{0036008A-0009-4BFE-8299-001200FC00D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I126</xm:sqref>
        </x14:dataValidation>
        <x14:dataValidation xr:uid="{000C009B-00E7-4C2A-B312-0066008D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AI125</xm:sqref>
        </x14:dataValidation>
        <x14:dataValidation xr:uid="{00BF0081-004A-4886-87D8-00A200C300D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AF125</xm:sqref>
        </x14:dataValidation>
        <x14:dataValidation xr:uid="{007000F3-00CB-449A-BF47-00DC00BE007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AI124</xm:sqref>
        </x14:dataValidation>
        <x14:dataValidation xr:uid="{00B600FC-00CD-470E-A75C-0043000500C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AF124</xm:sqref>
        </x14:dataValidation>
        <x14:dataValidation xr:uid="{00270091-0042-4B49-8CAF-00A70062005A}" type="textLength" allowBlank="1" error="Допускается ввод не более 900 символов!" errorStyle="stop" errorTitle="Ошибка" imeMode="noControl" operator="lessThanOrEqual" showDropDown="0" showErrorMessage="1" showInputMessage="1">
          <x14:formula1>
            <xm:f>900</xm:f>
          </x14:formula1>
          <xm:sqref>K124</xm:sqref>
        </x14:dataValidation>
        <x14:dataValidation xr:uid="{00F2004B-00F3-467D-8908-00720033000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J124</xm:sqref>
        </x14:dataValidation>
        <x14:dataValidation xr:uid="{00BA00BC-00FA-4FF2-813E-0007002700B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I124</xm:sqref>
        </x14:dataValidation>
        <x14:dataValidation xr:uid="{002600C4-007B-48CC-9E53-007F00FF00F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AI123</xm:sqref>
        </x14:dataValidation>
        <x14:dataValidation xr:uid="{00B2004E-003B-49AD-B5BA-00AA006B00D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AF123</xm:sqref>
        </x14:dataValidation>
        <x14:dataValidation xr:uid="{006400DE-0089-41B3-A826-003E00C0006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AE123</xm:sqref>
        </x14:dataValidation>
        <x14:dataValidation xr:uid="{00DF005C-006C-43E0-85C2-00B000E500B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AC123</xm:sqref>
        </x14:dataValidation>
        <x14:dataValidation xr:uid="{0035005D-00B2-4157-9979-00ED00DC006B}" type="textLength" allowBlank="1" error="Допускается ввод не более 900 символов!" errorStyle="stop" errorTitle="Ошибка" imeMode="noControl" operator="lessThanOrEqual" showDropDown="0" showErrorMessage="1" showInputMessage="1">
          <x14:formula1>
            <xm:f>900</xm:f>
          </x14:formula1>
          <xm:sqref>K123</xm:sqref>
        </x14:dataValidation>
        <x14:dataValidation xr:uid="{00B1007D-00AB-4D43-ABEB-005D0007001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J123</xm:sqref>
        </x14:dataValidation>
        <x14:dataValidation xr:uid="{00F40084-007B-4444-BF19-009D00BB006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I123</xm:sqref>
        </x14:dataValidation>
        <x14:dataValidation xr:uid="{000B0020-00F3-47A0-B247-00970034006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AI122</xm:sqref>
        </x14:dataValidation>
        <x14:dataValidation xr:uid="{00DD005C-009F-42BF-9F1A-0042000D00C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AF122</xm:sqref>
        </x14:dataValidation>
        <x14:dataValidation xr:uid="{00D1009B-0025-4465-8689-00A800B900A6}" type="textLength" allowBlank="1" error="Допускается ввод не более 900 символов!" errorStyle="stop" errorTitle="Ошибка" imeMode="noControl" operator="lessThanOrEqual" showDropDown="0" showErrorMessage="1" showInputMessage="1">
          <x14:formula1>
            <xm:f>900</xm:f>
          </x14:formula1>
          <xm:sqref>K122</xm:sqref>
        </x14:dataValidation>
        <x14:dataValidation xr:uid="{0013001A-0074-4BB3-89F7-00F0003800E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J122</xm:sqref>
        </x14:dataValidation>
        <x14:dataValidation xr:uid="{00740053-0074-45A4-B275-005400B1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I122</xm:sqref>
        </x14:dataValidation>
        <x14:dataValidation xr:uid="{00DB001E-00F7-4534-B326-009B0095008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AI121</xm:sqref>
        </x14:dataValidation>
        <x14:dataValidation xr:uid="{00CC00E7-005F-4DEB-8680-00C400C600B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AF121</xm:sqref>
        </x14:dataValidation>
        <x14:dataValidation xr:uid="{00F4005E-000C-4B4C-9769-00F200D70097}" type="textLength" allowBlank="1" error="Допускается ввод не более 900 символов!" errorStyle="stop" errorTitle="Ошибка" imeMode="noControl" operator="lessThanOrEqual" showDropDown="0" showErrorMessage="1" showInputMessage="1">
          <x14:formula1>
            <xm:f>900</xm:f>
          </x14:formula1>
          <xm:sqref>M121</xm:sqref>
        </x14:dataValidation>
        <x14:dataValidation xr:uid="{00A700D5-0090-4426-893B-003D00B200BD}" type="textLength" allowBlank="1" error="Допускается ввод не более 900 символов!" errorStyle="stop" errorTitle="Ошибка" imeMode="noControl" operator="lessThanOrEqual" showDropDown="0" showErrorMessage="1" showInputMessage="1">
          <x14:formula1>
            <xm:f>900</xm:f>
          </x14:formula1>
          <xm:sqref>K121</xm:sqref>
        </x14:dataValidation>
        <x14:dataValidation xr:uid="{00190035-0006-4D68-8C32-00E80070002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J121</xm:sqref>
        </x14:dataValidation>
        <x14:dataValidation xr:uid="{00F10084-0016-4D59-8313-002F00FA00C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I121</xm:sqref>
        </x14:dataValidation>
        <x14:dataValidation xr:uid="{003F002E-0099-4982-837B-003B007600E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AI120</xm:sqref>
        </x14:dataValidation>
        <x14:dataValidation xr:uid="{00210019-0076-40FB-8ACD-00A1006B004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AF120</xm:sqref>
        </x14:dataValidation>
        <x14:dataValidation xr:uid="{00D40068-00B1-4108-8542-007C000100E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AI119</xm:sqref>
        </x14:dataValidation>
        <x14:dataValidation xr:uid="{009A00F6-0011-43AD-AD28-008C009700A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AF119</xm:sqref>
        </x14:dataValidation>
        <x14:dataValidation xr:uid="{00160049-0002-44CB-9EDB-00D400310087}" type="textLength" allowBlank="1" error="Допускается ввод не более 900 символов!" errorStyle="stop" errorTitle="Ошибка" imeMode="noControl" operator="lessThanOrEqual" showDropDown="0" showErrorMessage="1" showInputMessage="1">
          <x14:formula1>
            <xm:f>900</xm:f>
          </x14:formula1>
          <xm:sqref>K119</xm:sqref>
        </x14:dataValidation>
        <x14:dataValidation xr:uid="{0048008A-00A1-4861-92CE-008800EA006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J119</xm:sqref>
        </x14:dataValidation>
        <x14:dataValidation xr:uid="{0063007F-00FF-4EB7-A62B-0097000600A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I119</xm:sqref>
        </x14:dataValidation>
        <x14:dataValidation xr:uid="{00A400DD-005E-4E1C-8358-0068000B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AI118</xm:sqref>
        </x14:dataValidation>
        <x14:dataValidation xr:uid="{00200071-00F7-42B3-8C65-00AE00B1008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AF118</xm:sqref>
        </x14:dataValidation>
        <x14:dataValidation xr:uid="{003C008B-0013-4E9A-A671-008900F900E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AE118</xm:sqref>
        </x14:dataValidation>
        <x14:dataValidation xr:uid="{00B70033-0066-4E21-82CD-00E70022001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AC118</xm:sqref>
        </x14:dataValidation>
        <x14:dataValidation xr:uid="{00890032-00D7-4FF9-B73A-00FA009B0071}" type="textLength" allowBlank="1" error="Допускается ввод не более 900 символов!" errorStyle="stop" errorTitle="Ошибка" imeMode="noControl" operator="lessThanOrEqual" showDropDown="0" showErrorMessage="1" showInputMessage="1">
          <x14:formula1>
            <xm:f>900</xm:f>
          </x14:formula1>
          <xm:sqref>K118</xm:sqref>
        </x14:dataValidation>
        <x14:dataValidation xr:uid="{00B9005D-0054-49D7-B39A-00E300E0008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J118</xm:sqref>
        </x14:dataValidation>
        <x14:dataValidation xr:uid="{00120024-0087-4AF9-A94A-00FC00E6004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I118</xm:sqref>
        </x14:dataValidation>
        <x14:dataValidation xr:uid="{00E20081-0016-4171-89C9-00E2000B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AI117</xm:sqref>
        </x14:dataValidation>
        <x14:dataValidation xr:uid="{00DC0034-00A2-4753-BED2-0070007B00B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AF117</xm:sqref>
        </x14:dataValidation>
        <x14:dataValidation xr:uid="{00B90013-0075-4B6C-B12B-001800170082}" type="textLength" allowBlank="1" error="Допускается ввод не более 900 символов!" errorStyle="stop" errorTitle="Ошибка" imeMode="noControl" operator="lessThanOrEqual" showDropDown="0" showErrorMessage="1" showInputMessage="1">
          <x14:formula1>
            <xm:f>900</xm:f>
          </x14:formula1>
          <xm:sqref>K117</xm:sqref>
        </x14:dataValidation>
        <x14:dataValidation xr:uid="{00410066-00C5-4E97-9417-00A10010005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J117</xm:sqref>
        </x14:dataValidation>
        <x14:dataValidation xr:uid="{00100023-008D-485F-A8B8-000B004900D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I117</xm:sqref>
        </x14:dataValidation>
        <x14:dataValidation xr:uid="{00B90037-00EF-4036-84D9-00BB0094000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AI116</xm:sqref>
        </x14:dataValidation>
        <x14:dataValidation xr:uid="{0021002C-0026-46C5-85C4-00130050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AF116</xm:sqref>
        </x14:dataValidation>
        <x14:dataValidation xr:uid="{0062000F-00DC-4792-BBD0-007500CD0036}" type="textLength" allowBlank="1" error="Допускается ввод не более 900 символов!" errorStyle="stop" errorTitle="Ошибка" imeMode="noControl" operator="lessThanOrEqual" showDropDown="0" showErrorMessage="1" showInputMessage="1">
          <x14:formula1>
            <xm:f>900</xm:f>
          </x14:formula1>
          <xm:sqref>M116</xm:sqref>
        </x14:dataValidation>
        <x14:dataValidation xr:uid="{00B00094-00C7-4FA7-B41E-00A3001A0025}" type="textLength" allowBlank="1" error="Допускается ввод не более 900 символов!" errorStyle="stop" errorTitle="Ошибка" imeMode="noControl" operator="lessThanOrEqual" showDropDown="0" showErrorMessage="1" showInputMessage="1">
          <x14:formula1>
            <xm:f>900</xm:f>
          </x14:formula1>
          <xm:sqref>K116</xm:sqref>
        </x14:dataValidation>
        <x14:dataValidation xr:uid="{0046004A-0043-4C3F-829F-000B0050005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J116</xm:sqref>
        </x14:dataValidation>
        <x14:dataValidation xr:uid="{00BA0079-00E6-4684-9081-00B9005D009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I116</xm:sqref>
        </x14:dataValidation>
        <x14:dataValidation xr:uid="{00F000A8-0097-41CB-836F-008800EF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AI115</xm:sqref>
        </x14:dataValidation>
        <x14:dataValidation xr:uid="{006E0009-0008-4813-82AE-0074004C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AF115</xm:sqref>
        </x14:dataValidation>
        <x14:dataValidation xr:uid="{00EB00DE-004A-4558-8AF9-00FF0015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AI114</xm:sqref>
        </x14:dataValidation>
        <x14:dataValidation xr:uid="{003100E6-00BD-4E7E-9805-00430098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AF114</xm:sqref>
        </x14:dataValidation>
        <x14:dataValidation xr:uid="{00B80067-0020-4706-8A80-0077006E00AC}" type="textLength" allowBlank="1" error="Допускается ввод не более 900 символов!" errorStyle="stop" errorTitle="Ошибка" imeMode="noControl" operator="lessThanOrEqual" showDropDown="0" showErrorMessage="1" showInputMessage="1">
          <x14:formula1>
            <xm:f>900</xm:f>
          </x14:formula1>
          <xm:sqref>K114</xm:sqref>
        </x14:dataValidation>
        <x14:dataValidation xr:uid="{003C00ED-001B-4FE3-B703-001100DB006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J114</xm:sqref>
        </x14:dataValidation>
        <x14:dataValidation xr:uid="{00DE0073-00B2-4C36-9580-00D400EC003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I114</xm:sqref>
        </x14:dataValidation>
        <x14:dataValidation xr:uid="{001F00FA-00EF-4B73-91AF-000900B6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AI113</xm:sqref>
        </x14:dataValidation>
        <x14:dataValidation xr:uid="{00FD001C-00FD-4A91-9D7E-00960071005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AF113</xm:sqref>
        </x14:dataValidation>
        <x14:dataValidation xr:uid="{007800F8-0069-4A48-A2A2-007C002D00D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AE113</xm:sqref>
        </x14:dataValidation>
        <x14:dataValidation xr:uid="{00C9006A-0073-4C7E-8732-000000CC005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AC113</xm:sqref>
        </x14:dataValidation>
        <x14:dataValidation xr:uid="{00C100BD-008B-4263-A417-00910074002A}" type="textLength" allowBlank="1" error="Допускается ввод не более 900 символов!" errorStyle="stop" errorTitle="Ошибка" imeMode="noControl" operator="lessThanOrEqual" showDropDown="0" showErrorMessage="1" showInputMessage="1">
          <x14:formula1>
            <xm:f>900</xm:f>
          </x14:formula1>
          <xm:sqref>K113</xm:sqref>
        </x14:dataValidation>
        <x14:dataValidation xr:uid="{0029008C-0041-4A51-82C4-0025005300F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J113</xm:sqref>
        </x14:dataValidation>
        <x14:dataValidation xr:uid="{00C80030-00DD-4D72-AB29-00E50008006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I113</xm:sqref>
        </x14:dataValidation>
        <x14:dataValidation xr:uid="{00CE00F1-00BF-46A4-B0C7-00540030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AI112</xm:sqref>
        </x14:dataValidation>
        <x14:dataValidation xr:uid="{000B0058-0028-4D0E-91C0-006B0082003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AF112</xm:sqref>
        </x14:dataValidation>
        <x14:dataValidation xr:uid="{002E00F6-0025-42BF-9F0B-0099007D007C}" type="textLength" allowBlank="1" error="Допускается ввод не более 900 символов!" errorStyle="stop" errorTitle="Ошибка" imeMode="noControl" operator="lessThanOrEqual" showDropDown="0" showErrorMessage="1" showInputMessage="1">
          <x14:formula1>
            <xm:f>900</xm:f>
          </x14:formula1>
          <xm:sqref>K112</xm:sqref>
        </x14:dataValidation>
        <x14:dataValidation xr:uid="{00630068-0015-43B9-A106-00E500DC002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J112</xm:sqref>
        </x14:dataValidation>
        <x14:dataValidation xr:uid="{00AE00B8-007C-497B-915F-008B00BC004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I112</xm:sqref>
        </x14:dataValidation>
        <x14:dataValidation xr:uid="{00C80017-009D-4A4C-BBF6-0045002300F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AI111</xm:sqref>
        </x14:dataValidation>
        <x14:dataValidation xr:uid="{00040007-008B-48D6-A87E-009500B1001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AF111</xm:sqref>
        </x14:dataValidation>
        <x14:dataValidation xr:uid="{00480084-000C-4B02-BB87-00A400ED0067}" type="textLength" allowBlank="1" error="Допускается ввод не более 900 символов!" errorStyle="stop" errorTitle="Ошибка" imeMode="noControl" operator="lessThanOrEqual" showDropDown="0" showErrorMessage="1" showInputMessage="1">
          <x14:formula1>
            <xm:f>900</xm:f>
          </x14:formula1>
          <xm:sqref>M111</xm:sqref>
        </x14:dataValidation>
        <x14:dataValidation xr:uid="{008900F3-00EA-4C8B-A30A-0032000F00C9}" type="textLength" allowBlank="1" error="Допускается ввод не более 900 символов!" errorStyle="stop" errorTitle="Ошибка" imeMode="noControl" operator="lessThanOrEqual" showDropDown="0" showErrorMessage="1" showInputMessage="1">
          <x14:formula1>
            <xm:f>900</xm:f>
          </x14:formula1>
          <xm:sqref>K111</xm:sqref>
        </x14:dataValidation>
        <x14:dataValidation xr:uid="{00EF0022-00AD-4FD5-BA63-00960038000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J111</xm:sqref>
        </x14:dataValidation>
        <x14:dataValidation xr:uid="{00AA0039-00D0-4B42-B35B-00C900B7005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I111</xm:sqref>
        </x14:dataValidation>
        <x14:dataValidation xr:uid="{00B30008-004F-49EA-A440-00CB00DE00B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AI110</xm:sqref>
        </x14:dataValidation>
        <x14:dataValidation xr:uid="{00330072-00EB-4125-8A12-00F8003B005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AF110</xm:sqref>
        </x14:dataValidation>
        <x14:dataValidation xr:uid="{001400E7-00AF-41B6-9C39-008D0008002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AI109</xm:sqref>
        </x14:dataValidation>
        <x14:dataValidation xr:uid="{003E0053-0083-4A81-8CCD-004900B0006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AF109</xm:sqref>
        </x14:dataValidation>
        <x14:dataValidation xr:uid="{00CB00FF-0007-4A6D-B441-00FE001E0061}" type="textLength" allowBlank="1" error="Допускается ввод не более 900 символов!" errorStyle="stop" errorTitle="Ошибка" imeMode="noControl" operator="lessThanOrEqual" showDropDown="0" showErrorMessage="1" showInputMessage="1">
          <x14:formula1>
            <xm:f>900</xm:f>
          </x14:formula1>
          <xm:sqref>K109</xm:sqref>
        </x14:dataValidation>
        <x14:dataValidation xr:uid="{0005009B-0026-4FE2-A4B8-00B400F7004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J109</xm:sqref>
        </x14:dataValidation>
        <x14:dataValidation xr:uid="{003E00F9-00E4-45D8-AFF8-00FD0028002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I109</xm:sqref>
        </x14:dataValidation>
        <x14:dataValidation xr:uid="{00270054-003A-48C6-84B4-00E70043009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AI107</xm:sqref>
        </x14:dataValidation>
        <x14:dataValidation xr:uid="{009C0090-0071-495A-B825-00720053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AF107</xm:sqref>
        </x14:dataValidation>
        <x14:dataValidation xr:uid="{009A004F-009E-436B-9E1E-00030044006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AE107</xm:sqref>
        </x14:dataValidation>
        <x14:dataValidation xr:uid="{00C600DD-0078-4531-8ECD-007F004C00C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AC107</xm:sqref>
        </x14:dataValidation>
        <x14:dataValidation xr:uid="{005800A8-0030-41FF-BE0F-00DC00C500BB}" type="textLength" allowBlank="1" error="Допускается ввод не более 900 символов!" errorStyle="stop" errorTitle="Ошибка" imeMode="noControl" operator="lessThanOrEqual" showDropDown="0" showErrorMessage="1" showInputMessage="1">
          <x14:formula1>
            <xm:f>900</xm:f>
          </x14:formula1>
          <xm:sqref>K107</xm:sqref>
        </x14:dataValidation>
        <x14:dataValidation xr:uid="{00F50079-00AE-4D8C-9068-001D001B008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J107</xm:sqref>
        </x14:dataValidation>
        <x14:dataValidation xr:uid="{00E200F7-008F-421B-A0E4-003F007D00F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I107</xm:sqref>
        </x14:dataValidation>
        <x14:dataValidation xr:uid="{00AA00D2-005F-42EF-A827-0081007600D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AI106</xm:sqref>
        </x14:dataValidation>
        <x14:dataValidation xr:uid="{0062007B-00D4-49DF-9F13-002C00AE002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AF106</xm:sqref>
        </x14:dataValidation>
        <x14:dataValidation xr:uid="{00390071-00B9-4F47-AABF-0040009900EF}" type="textLength" allowBlank="1" error="Допускается ввод не более 900 символов!" errorStyle="stop" errorTitle="Ошибка" imeMode="noControl" operator="lessThanOrEqual" showDropDown="0" showErrorMessage="1" showInputMessage="1">
          <x14:formula1>
            <xm:f>900</xm:f>
          </x14:formula1>
          <xm:sqref>K106</xm:sqref>
        </x14:dataValidation>
        <x14:dataValidation xr:uid="{001B0034-008E-433F-B65C-009700B0003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J106</xm:sqref>
        </x14:dataValidation>
        <x14:dataValidation xr:uid="{0039009E-00FA-4C15-944C-002700B6000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I106</xm:sqref>
        </x14:dataValidation>
        <x14:dataValidation xr:uid="{008E00EA-00D8-439F-8B8B-005C00CA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AI105</xm:sqref>
        </x14:dataValidation>
        <x14:dataValidation xr:uid="{001A00F1-007B-41E3-843A-000A002A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AF105</xm:sqref>
        </x14:dataValidation>
        <x14:dataValidation xr:uid="{001C0086-00A0-4317-A1D9-006C0088002C}" type="textLength" allowBlank="1" error="Допускается ввод не более 900 символов!" errorStyle="stop" errorTitle="Ошибка" imeMode="noControl" operator="lessThanOrEqual" showDropDown="0" showErrorMessage="1" showInputMessage="1">
          <x14:formula1>
            <xm:f>900</xm:f>
          </x14:formula1>
          <xm:sqref>M105</xm:sqref>
        </x14:dataValidation>
        <x14:dataValidation xr:uid="{005000A4-00AE-43A8-84BB-001000AE0056}" type="textLength" allowBlank="1" error="Допускается ввод не более 900 символов!" errorStyle="stop" errorTitle="Ошибка" imeMode="noControl" operator="lessThanOrEqual" showDropDown="0" showErrorMessage="1" showInputMessage="1">
          <x14:formula1>
            <xm:f>900</xm:f>
          </x14:formula1>
          <xm:sqref>K105</xm:sqref>
        </x14:dataValidation>
        <x14:dataValidation xr:uid="{004A00A6-00C2-43D9-86B8-00D80001007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J105</xm:sqref>
        </x14:dataValidation>
        <x14:dataValidation xr:uid="{005800E9-00F3-472C-BD11-000200B100E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I105</xm:sqref>
        </x14:dataValidation>
        <x14:dataValidation xr:uid="{004C00AF-004A-49F6-95B9-00C40055007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AI104</xm:sqref>
        </x14:dataValidation>
        <x14:dataValidation xr:uid="{00E600F1-005C-4D6D-97DD-00B800BF00F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AF104</xm:sqref>
        </x14:dataValidation>
        <x14:dataValidation xr:uid="{00770080-00A5-468B-A305-00FE00C9005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AI103</xm:sqref>
        </x14:dataValidation>
        <x14:dataValidation xr:uid="{00F200DB-0030-4176-96C2-00460082005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AF103</xm:sqref>
        </x14:dataValidation>
        <x14:dataValidation xr:uid="{00E200C8-0034-43E9-8F15-0085009F0085}" type="textLength" allowBlank="1" error="Допускается ввод не более 900 символов!" errorStyle="stop" errorTitle="Ошибка" imeMode="noControl" operator="lessThanOrEqual" showDropDown="0" showErrorMessage="1" showInputMessage="1">
          <x14:formula1>
            <xm:f>900</xm:f>
          </x14:formula1>
          <xm:sqref>K103</xm:sqref>
        </x14:dataValidation>
        <x14:dataValidation xr:uid="{003A0047-0073-4FDC-9AC9-0082008000F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J103</xm:sqref>
        </x14:dataValidation>
        <x14:dataValidation xr:uid="{0040003E-00F1-45EA-ACEF-00700045003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I103</xm:sqref>
        </x14:dataValidation>
        <x14:dataValidation xr:uid="{003A00DB-009E-4FB5-99A8-00C30085007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AI102</xm:sqref>
        </x14:dataValidation>
        <x14:dataValidation xr:uid="{00870008-007E-4494-A8D3-00B60060003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AF102</xm:sqref>
        </x14:dataValidation>
        <x14:dataValidation xr:uid="{003B0014-002F-4EFE-AE75-00E8008B00F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AE102</xm:sqref>
        </x14:dataValidation>
        <x14:dataValidation xr:uid="{00E9009F-0041-4076-8476-00020085007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AC102</xm:sqref>
        </x14:dataValidation>
        <x14:dataValidation xr:uid="{003D00B5-00AE-4700-816E-00D3006200C6}" type="textLength" allowBlank="1" error="Допускается ввод не более 900 символов!" errorStyle="stop" errorTitle="Ошибка" imeMode="noControl" operator="lessThanOrEqual" showDropDown="0" showErrorMessage="1" showInputMessage="1">
          <x14:formula1>
            <xm:f>900</xm:f>
          </x14:formula1>
          <xm:sqref>K102</xm:sqref>
        </x14:dataValidation>
        <x14:dataValidation xr:uid="{00E7002B-006C-4AE9-A2E8-0064006B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J102</xm:sqref>
        </x14:dataValidation>
        <x14:dataValidation xr:uid="{00B60031-00D6-4A42-9DFA-00C2001300F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I102</xm:sqref>
        </x14:dataValidation>
        <x14:dataValidation xr:uid="{003A00BB-00B5-4B74-A904-00150033005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AI101</xm:sqref>
        </x14:dataValidation>
        <x14:dataValidation xr:uid="{004B0055-006B-483C-ACB9-00B5008E001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AF101</xm:sqref>
        </x14:dataValidation>
        <x14:dataValidation xr:uid="{001D00A7-001A-4D26-9200-00EF00B900D6}" type="textLength" allowBlank="1" error="Допускается ввод не более 900 символов!" errorStyle="stop" errorTitle="Ошибка" imeMode="noControl" operator="lessThanOrEqual" showDropDown="0" showErrorMessage="1" showInputMessage="1">
          <x14:formula1>
            <xm:f>900</xm:f>
          </x14:formula1>
          <xm:sqref>K101</xm:sqref>
        </x14:dataValidation>
        <x14:dataValidation xr:uid="{009B0025-0044-4040-9F10-00130069002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J101</xm:sqref>
        </x14:dataValidation>
        <x14:dataValidation xr:uid="{00070027-0028-46F0-921B-006D003B007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I101</xm:sqref>
        </x14:dataValidation>
        <x14:dataValidation xr:uid="{001E003E-0075-4C47-8F70-001F00DC00B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AI100</xm:sqref>
        </x14:dataValidation>
        <x14:dataValidation xr:uid="{00740072-0085-4447-A28F-00DE002D002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AF100</xm:sqref>
        </x14:dataValidation>
        <x14:dataValidation xr:uid="{004200CA-0008-4ECA-B67F-00E3008500EF}" type="textLength" allowBlank="1" error="Допускается ввод не более 900 символов!" errorStyle="stop" errorTitle="Ошибка" imeMode="noControl" operator="lessThanOrEqual" showDropDown="0" showErrorMessage="1" showInputMessage="1">
          <x14:formula1>
            <xm:f>900</xm:f>
          </x14:formula1>
          <xm:sqref>M100</xm:sqref>
        </x14:dataValidation>
        <x14:dataValidation xr:uid="{0015003B-0055-455F-909B-002E00370043}" type="textLength" allowBlank="1" error="Допускается ввод не более 900 символов!" errorStyle="stop" errorTitle="Ошибка" imeMode="noControl" operator="lessThanOrEqual" showDropDown="0" showErrorMessage="1" showInputMessage="1">
          <x14:formula1>
            <xm:f>900</xm:f>
          </x14:formula1>
          <xm:sqref>K100</xm:sqref>
        </x14:dataValidation>
        <x14:dataValidation xr:uid="{00FE0097-0046-44CF-9670-0008005A003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J100</xm:sqref>
        </x14:dataValidation>
        <x14:dataValidation xr:uid="{00EA002E-00C4-4CFB-BC35-00520075007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I100</xm:sqref>
        </x14:dataValidation>
        <x14:dataValidation xr:uid="{005D0056-00E3-4219-82C6-00190011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AI71</xm:sqref>
        </x14:dataValidation>
        <x14:dataValidation xr:uid="{000C0090-00CB-43DA-9946-00900084001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AF71</xm:sqref>
        </x14:dataValidation>
        <x14:dataValidation xr:uid="{005100F3-001D-48DE-8BFA-00850098002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AE71</xm:sqref>
        </x14:dataValidation>
        <x14:dataValidation xr:uid="{00540077-0039-440A-8E98-000B0046009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AC71</xm:sqref>
        </x14:dataValidation>
        <x14:dataValidation xr:uid="{008F00C0-00BE-4274-A265-00680090004A}" type="textLength" allowBlank="1" error="Допускается ввод не более 900 символов!" errorStyle="stop" errorTitle="Ошибка" imeMode="noControl" operator="lessThanOrEqual" showDropDown="0" showErrorMessage="1" showInputMessage="1">
          <x14:formula1>
            <xm:f>900</xm:f>
          </x14:formula1>
          <xm:sqref>K71</xm:sqref>
        </x14:dataValidation>
        <x14:dataValidation xr:uid="{00420029-0099-4D1C-A609-00090051004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J71</xm:sqref>
        </x14:dataValidation>
        <x14:dataValidation xr:uid="{005E0060-002B-49CB-9F52-003800AE003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I71</xm:sqref>
        </x14:dataValidation>
        <x14:dataValidation xr:uid="{00EE00D0-0063-42A4-9524-00EB006B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AI93</xm:sqref>
        </x14:dataValidation>
        <x14:dataValidation xr:uid="{003A00F6-0012-49F7-89F9-0052003900F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AF93</xm:sqref>
        </x14:dataValidation>
        <x14:dataValidation xr:uid="{00CB00C2-0080-4599-858F-00570000006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AI92</xm:sqref>
        </x14:dataValidation>
        <x14:dataValidation xr:uid="{00970058-003B-4B26-A3A3-00DA00FA002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AF92</xm:sqref>
        </x14:dataValidation>
        <x14:dataValidation xr:uid="{009A0039-00E4-4EA7-AC87-0013004400A6}" type="textLength" allowBlank="1" error="Допускается ввод не более 900 символов!" errorStyle="stop" errorTitle="Ошибка" imeMode="noControl" operator="lessThanOrEqual" showDropDown="0" showErrorMessage="1" showInputMessage="1">
          <x14:formula1>
            <xm:f>900</xm:f>
          </x14:formula1>
          <xm:sqref>K92</xm:sqref>
        </x14:dataValidation>
        <x14:dataValidation xr:uid="{0001004F-00F8-4E9E-9915-0002008B001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J92</xm:sqref>
        </x14:dataValidation>
        <x14:dataValidation xr:uid="{0056005D-0044-4427-BF80-008100A600F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I92</xm:sqref>
        </x14:dataValidation>
        <x14:dataValidation xr:uid="{001900FC-00A9-4C72-88A9-00500037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AI91</xm:sqref>
        </x14:dataValidation>
        <x14:dataValidation xr:uid="{0010002E-009D-4AF3-BF9F-0064000F00E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xm:sqref>
        </x14:dataValidation>
        <x14:dataValidation xr:uid="{002100C8-0074-4329-AABA-00250030002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AE91</xm:sqref>
        </x14:dataValidation>
        <x14:dataValidation xr:uid="{00CC0097-0010-478E-B676-00B3004A001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AC91</xm:sqref>
        </x14:dataValidation>
        <x14:dataValidation xr:uid="{007E00D3-002D-4391-8AB0-003100E80048}" type="textLength" allowBlank="1" error="Допускается ввод не более 900 символов!" errorStyle="stop" errorTitle="Ошибка" imeMode="noControl" operator="lessThanOrEqual" showDropDown="0" showErrorMessage="1" showInputMessage="1">
          <x14:formula1>
            <xm:f>900</xm:f>
          </x14:formula1>
          <xm:sqref>K91</xm:sqref>
        </x14:dataValidation>
        <x14:dataValidation xr:uid="{00FE0040-0040-43D5-9E80-00120037003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J91</xm:sqref>
        </x14:dataValidation>
        <x14:dataValidation xr:uid="{00F400BB-008D-4AD9-9B0E-00C50065007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I91</xm:sqref>
        </x14:dataValidation>
        <x14:dataValidation xr:uid="{00C70032-00CD-407F-937E-0035006F00D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AI90</xm:sqref>
        </x14:dataValidation>
        <x14:dataValidation xr:uid="{00CC00C4-0055-4790-A752-0082006300B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AF90</xm:sqref>
        </x14:dataValidation>
        <x14:dataValidation xr:uid="{00870060-003D-4316-80B0-00FC00D6008D}" type="textLength" allowBlank="1" error="Допускается ввод не более 900 символов!" errorStyle="stop" errorTitle="Ошибка" imeMode="noControl" operator="lessThanOrEqual" showDropDown="0" showErrorMessage="1" showInputMessage="1">
          <x14:formula1>
            <xm:f>900</xm:f>
          </x14:formula1>
          <xm:sqref>K90</xm:sqref>
        </x14:dataValidation>
        <x14:dataValidation xr:uid="{008A0070-00DD-40B2-B378-0021002500A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J90</xm:sqref>
        </x14:dataValidation>
        <x14:dataValidation xr:uid="{00270093-0021-4C72-A344-00EF00A5004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I90</xm:sqref>
        </x14:dataValidation>
        <x14:dataValidation xr:uid="{00F700E1-0031-406A-8AA8-006D0015008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AI89</xm:sqref>
        </x14:dataValidation>
        <x14:dataValidation xr:uid="{00BD00A5-00B9-481A-A2ED-005900DD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AF89</xm:sqref>
        </x14:dataValidation>
        <x14:dataValidation xr:uid="{00F0001B-00A9-43A4-A5D9-003900C700DE}" type="textLength" allowBlank="1" error="Допускается ввод не более 900 символов!" errorStyle="stop" errorTitle="Ошибка" imeMode="noControl" operator="lessThanOrEqual" showDropDown="0" showErrorMessage="1" showInputMessage="1">
          <x14:formula1>
            <xm:f>900</xm:f>
          </x14:formula1>
          <xm:sqref>M89</xm:sqref>
        </x14:dataValidation>
        <x14:dataValidation xr:uid="{00B000E8-004E-4B2C-B48D-00BB000A004E}" type="textLength" allowBlank="1" error="Допускается ввод не более 900 символов!" errorStyle="stop" errorTitle="Ошибка" imeMode="noControl" operator="lessThanOrEqual" showDropDown="0" showErrorMessage="1" showInputMessage="1">
          <x14:formula1>
            <xm:f>900</xm:f>
          </x14:formula1>
          <xm:sqref>K89</xm:sqref>
        </x14:dataValidation>
        <x14:dataValidation xr:uid="{008F00C5-00A6-4B87-A221-00C50056006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J89</xm:sqref>
        </x14:dataValidation>
        <x14:dataValidation xr:uid="{00B7005B-0052-45D8-830E-00AD001F008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I89</xm:sqref>
        </x14:dataValidation>
        <x14:dataValidation xr:uid="{008B00AD-0063-423D-B63A-00480094001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AI88</xm:sqref>
        </x14:dataValidation>
        <x14:dataValidation xr:uid="{001B004A-0035-45B7-9FFA-004C0069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AF88</xm:sqref>
        </x14:dataValidation>
        <x14:dataValidation xr:uid="{003800A1-00AE-4DB5-9AA2-00E9000F008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AI87</xm:sqref>
        </x14:dataValidation>
        <x14:dataValidation xr:uid="{00BA005D-0031-42A1-AFD6-00D6004E00C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AF87</xm:sqref>
        </x14:dataValidation>
        <x14:dataValidation xr:uid="{0075008E-0025-4208-A21B-007800A500C5}" type="textLength" allowBlank="1" error="Допускается ввод не более 900 символов!" errorStyle="stop" errorTitle="Ошибка" imeMode="noControl" operator="lessThanOrEqual" showDropDown="0" showErrorMessage="1" showInputMessage="1">
          <x14:formula1>
            <xm:f>900</xm:f>
          </x14:formula1>
          <xm:sqref>K87</xm:sqref>
        </x14:dataValidation>
        <x14:dataValidation xr:uid="{009A0061-0059-4D0F-9E7D-000F00DA008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J87</xm:sqref>
        </x14:dataValidation>
        <x14:dataValidation xr:uid="{00C60055-004E-48F8-94E4-00AD004A006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I87</xm:sqref>
        </x14:dataValidation>
        <x14:dataValidation xr:uid="{002300F8-00C9-4F5D-B399-006C002C009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AI86</xm:sqref>
        </x14:dataValidation>
        <x14:dataValidation xr:uid="{002400EB-00B3-4C96-A1E6-00250070006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AF86</xm:sqref>
        </x14:dataValidation>
        <x14:dataValidation xr:uid="{00BB0038-00CB-4C53-BC2D-006A00FA008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AE86</xm:sqref>
        </x14:dataValidation>
        <x14:dataValidation xr:uid="{00D000D4-002E-4633-B4D7-00D800E5001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AC86</xm:sqref>
        </x14:dataValidation>
        <x14:dataValidation xr:uid="{007700DA-0007-4E09-802D-000E0040005A}" type="textLength" allowBlank="1" error="Допускается ввод не более 900 символов!" errorStyle="stop" errorTitle="Ошибка" imeMode="noControl" operator="lessThanOrEqual" showDropDown="0" showErrorMessage="1" showInputMessage="1">
          <x14:formula1>
            <xm:f>900</xm:f>
          </x14:formula1>
          <xm:sqref>K86</xm:sqref>
        </x14:dataValidation>
        <x14:dataValidation xr:uid="{00410032-00D8-4BB3-8524-00ED0000007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J86</xm:sqref>
        </x14:dataValidation>
        <x14:dataValidation xr:uid="{007D00E2-0017-4E68-A220-00DF009C00D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I86</xm:sqref>
        </x14:dataValidation>
        <x14:dataValidation xr:uid="{00420000-005F-45E8-8B90-008B00BA00F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AI85</xm:sqref>
        </x14:dataValidation>
        <x14:dataValidation xr:uid="{008D001F-00D4-4A15-A53E-00FA000E009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AF85</xm:sqref>
        </x14:dataValidation>
        <x14:dataValidation xr:uid="{00B800C9-00CC-42E5-9BC4-009A000C00D4}" type="textLength" allowBlank="1" error="Допускается ввод не более 900 символов!" errorStyle="stop" errorTitle="Ошибка" imeMode="noControl" operator="lessThanOrEqual" showDropDown="0" showErrorMessage="1" showInputMessage="1">
          <x14:formula1>
            <xm:f>900</xm:f>
          </x14:formula1>
          <xm:sqref>K85</xm:sqref>
        </x14:dataValidation>
        <x14:dataValidation xr:uid="{00BB004E-00C0-4DBF-9CB2-00DE00A8006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J85</xm:sqref>
        </x14:dataValidation>
        <x14:dataValidation xr:uid="{00D900A6-00EB-4739-8947-00EB00DA007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I85</xm:sqref>
        </x14:dataValidation>
        <x14:dataValidation xr:uid="{0049009C-00A1-4874-9360-008100A000F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AI84</xm:sqref>
        </x14:dataValidation>
        <x14:dataValidation xr:uid="{006C004A-009A-4C03-9DA0-00D1003600A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AF84</xm:sqref>
        </x14:dataValidation>
        <x14:dataValidation xr:uid="{006400BE-008B-4FE9-A9CB-003D00290043}" type="textLength" allowBlank="1" error="Допускается ввод не более 900 символов!" errorStyle="stop" errorTitle="Ошибка" imeMode="noControl" operator="lessThanOrEqual" showDropDown="0" showErrorMessage="1" showInputMessage="1">
          <x14:formula1>
            <xm:f>900</xm:f>
          </x14:formula1>
          <xm:sqref>M84</xm:sqref>
        </x14:dataValidation>
        <x14:dataValidation xr:uid="{008D0078-006E-4C94-B9E2-00C800A90065}" type="textLength" allowBlank="1" error="Допускается ввод не более 900 символов!" errorStyle="stop" errorTitle="Ошибка" imeMode="noControl" operator="lessThanOrEqual" showDropDown="0" showErrorMessage="1" showInputMessage="1">
          <x14:formula1>
            <xm:f>900</xm:f>
          </x14:formula1>
          <xm:sqref>K84</xm:sqref>
        </x14:dataValidation>
        <x14:dataValidation xr:uid="{004800CB-0038-4B9A-8530-009C00F9000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J84</xm:sqref>
        </x14:dataValidation>
        <x14:dataValidation xr:uid="{007A00DE-0025-4937-BF7A-00DA009C006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I84</xm:sqref>
        </x14:dataValidation>
        <x14:dataValidation xr:uid="{000C009C-003A-4CA6-B8B9-007C001B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AI83</xm:sqref>
        </x14:dataValidation>
        <x14:dataValidation xr:uid="{00E00005-0023-49D2-A26D-00AB006400E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AF83</xm:sqref>
        </x14:dataValidation>
        <x14:dataValidation xr:uid="{004900FF-002E-45DA-A916-006200A1001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AI82</xm:sqref>
        </x14:dataValidation>
        <x14:dataValidation xr:uid="{004C007B-0099-4AFE-8852-00BB00D900C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AF82</xm:sqref>
        </x14:dataValidation>
        <x14:dataValidation xr:uid="{00160066-0020-4D32-BD1E-008400F800B4}" type="textLength" allowBlank="1" error="Допускается ввод не более 900 символов!" errorStyle="stop" errorTitle="Ошибка" imeMode="noControl" operator="lessThanOrEqual" showDropDown="0" showErrorMessage="1" showInputMessage="1">
          <x14:formula1>
            <xm:f>900</xm:f>
          </x14:formula1>
          <xm:sqref>K82</xm:sqref>
        </x14:dataValidation>
        <x14:dataValidation xr:uid="{00510036-0092-4D34-BECD-008D0011008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J82</xm:sqref>
        </x14:dataValidation>
        <x14:dataValidation xr:uid="{00910057-0007-45C6-BCA4-00080098003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I82</xm:sqref>
        </x14:dataValidation>
        <x14:dataValidation xr:uid="{005F002B-000E-49AB-82EC-0092001200E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AI81</xm:sqref>
        </x14:dataValidation>
        <x14:dataValidation xr:uid="{0053004E-0020-43CF-8B45-00B900AF000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AF81</xm:sqref>
        </x14:dataValidation>
        <x14:dataValidation xr:uid="{00A200B7-00DF-4B6E-BF79-00A900DC003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AE81</xm:sqref>
        </x14:dataValidation>
        <x14:dataValidation xr:uid="{00A600CF-0007-42C6-98DA-00B000BF007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AC81</xm:sqref>
        </x14:dataValidation>
        <x14:dataValidation xr:uid="{00760023-00B1-4570-A081-008500620019}" type="textLength" allowBlank="1" error="Допускается ввод не более 900 символов!" errorStyle="stop" errorTitle="Ошибка" imeMode="noControl" operator="lessThanOrEqual" showDropDown="0" showErrorMessage="1" showInputMessage="1">
          <x14:formula1>
            <xm:f>900</xm:f>
          </x14:formula1>
          <xm:sqref>K81</xm:sqref>
        </x14:dataValidation>
        <x14:dataValidation xr:uid="{002E0083-00FD-4DFD-B648-00AE00DD006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J81</xm:sqref>
        </x14:dataValidation>
        <x14:dataValidation xr:uid="{008400EA-004B-4B0C-A4F5-0094002D00D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I81</xm:sqref>
        </x14:dataValidation>
        <x14:dataValidation xr:uid="{00BB0077-0092-4AA2-9894-00C3009A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AI80</xm:sqref>
        </x14:dataValidation>
        <x14:dataValidation xr:uid="{000E00DA-00A3-4DAD-B094-008000FC00F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AF80</xm:sqref>
        </x14:dataValidation>
        <x14:dataValidation xr:uid="{005F00AC-00C1-4F86-9E35-003E00890080}" type="textLength" allowBlank="1" error="Допускается ввод не более 900 символов!" errorStyle="stop" errorTitle="Ошибка" imeMode="noControl" operator="lessThanOrEqual" showDropDown="0" showErrorMessage="1" showInputMessage="1">
          <x14:formula1>
            <xm:f>900</xm:f>
          </x14:formula1>
          <xm:sqref>K80</xm:sqref>
        </x14:dataValidation>
        <x14:dataValidation xr:uid="{0096007F-0090-4A8C-A4E0-00A6004000E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J80</xm:sqref>
        </x14:dataValidation>
        <x14:dataValidation xr:uid="{00C90088-00DE-49D5-9626-00670042002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I80</xm:sqref>
        </x14:dataValidation>
        <x14:dataValidation xr:uid="{002C0096-0008-45AC-9E32-002E000800D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AI79</xm:sqref>
        </x14:dataValidation>
        <x14:dataValidation xr:uid="{00840076-0056-4395-B663-00AA00D4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AF79</xm:sqref>
        </x14:dataValidation>
        <x14:dataValidation xr:uid="{00D800B9-00FE-42AD-ADDD-007F001D0096}" type="textLength" allowBlank="1" error="Допускается ввод не более 900 символов!" errorStyle="stop" errorTitle="Ошибка" imeMode="noControl" operator="lessThanOrEqual" showDropDown="0" showErrorMessage="1" showInputMessage="1">
          <x14:formula1>
            <xm:f>900</xm:f>
          </x14:formula1>
          <xm:sqref>M79</xm:sqref>
        </x14:dataValidation>
        <x14:dataValidation xr:uid="{00D800DF-002E-4BFE-B2A0-00A500200041}" type="textLength" allowBlank="1" error="Допускается ввод не более 900 символов!" errorStyle="stop" errorTitle="Ошибка" imeMode="noControl" operator="lessThanOrEqual" showDropDown="0" showErrorMessage="1" showInputMessage="1">
          <x14:formula1>
            <xm:f>900</xm:f>
          </x14:formula1>
          <xm:sqref>K79</xm:sqref>
        </x14:dataValidation>
        <x14:dataValidation xr:uid="{00A7000F-00F6-4D16-A20A-0060000D003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J79</xm:sqref>
        </x14:dataValidation>
        <x14:dataValidation xr:uid="{00A500E4-0035-440F-A703-00BF00B900C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I79</xm:sqref>
        </x14:dataValidation>
        <x14:dataValidation xr:uid="{00A200D8-0081-4261-9839-00C80063005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AI78</xm:sqref>
        </x14:dataValidation>
        <x14:dataValidation xr:uid="{00E20077-0098-42AC-92F6-00B8007E00A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AF78</xm:sqref>
        </x14:dataValidation>
        <x14:dataValidation xr:uid="{00990063-00D4-4BCE-8AC4-00C500D800A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AI77</xm:sqref>
        </x14:dataValidation>
        <x14:dataValidation xr:uid="{00AA0041-00DD-4857-89D9-00F90022008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AF77</xm:sqref>
        </x14:dataValidation>
        <x14:dataValidation xr:uid="{002B0044-0082-4B8A-88BB-00AA00090040}" type="textLength" allowBlank="1" error="Допускается ввод не более 900 символов!" errorStyle="stop" errorTitle="Ошибка" imeMode="noControl" operator="lessThanOrEqual" showDropDown="0" showErrorMessage="1" showInputMessage="1">
          <x14:formula1>
            <xm:f>900</xm:f>
          </x14:formula1>
          <xm:sqref>K77</xm:sqref>
        </x14:dataValidation>
        <x14:dataValidation xr:uid="{003A008F-0042-4394-8E74-00CA00FC000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J77</xm:sqref>
        </x14:dataValidation>
        <x14:dataValidation xr:uid="{00B50081-0058-4628-9C05-00F50054001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I77</xm:sqref>
        </x14:dataValidation>
        <x14:dataValidation xr:uid="{0097007C-0092-4357-A037-0051007A007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AI76</xm:sqref>
        </x14:dataValidation>
        <x14:dataValidation xr:uid="{00A90052-007D-4CA8-A415-00390026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AF76</xm:sqref>
        </x14:dataValidation>
        <x14:dataValidation xr:uid="{00780048-00E4-415E-9CE5-0055001C007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AE76</xm:sqref>
        </x14:dataValidation>
        <x14:dataValidation xr:uid="{00100015-00E2-4196-832D-0061003D003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AC76</xm:sqref>
        </x14:dataValidation>
        <x14:dataValidation xr:uid="{0095004C-005E-4AF9-8AD2-00E20066005D}" type="textLength" allowBlank="1" error="Допускается ввод не более 900 символов!" errorStyle="stop" errorTitle="Ошибка" imeMode="noControl" operator="lessThanOrEqual" showDropDown="0" showErrorMessage="1" showInputMessage="1">
          <x14:formula1>
            <xm:f>900</xm:f>
          </x14:formula1>
          <xm:sqref>K76</xm:sqref>
        </x14:dataValidation>
        <x14:dataValidation xr:uid="{007B00D6-000D-4F02-A450-00BB0085008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J76</xm:sqref>
        </x14:dataValidation>
        <x14:dataValidation xr:uid="{00480001-00D1-4A10-87F9-0089002B002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I76</xm:sqref>
        </x14:dataValidation>
        <x14:dataValidation xr:uid="{00A100B5-00BE-4B44-9D9A-00A90062000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AI75</xm:sqref>
        </x14:dataValidation>
        <x14:dataValidation xr:uid="{007B00B3-00A2-4BF6-A577-00560098002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AF75</xm:sqref>
        </x14:dataValidation>
        <x14:dataValidation xr:uid="{00A600A4-007E-467C-A372-00A8006E0027}" type="textLength" allowBlank="1" error="Допускается ввод не более 900 символов!" errorStyle="stop" errorTitle="Ошибка" imeMode="noControl" operator="lessThanOrEqual" showDropDown="0" showErrorMessage="1" showInputMessage="1">
          <x14:formula1>
            <xm:f>900</xm:f>
          </x14:formula1>
          <xm:sqref>K75</xm:sqref>
        </x14:dataValidation>
        <x14:dataValidation xr:uid="{000E0002-002F-4EFF-8BE7-002E002E00A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J75</xm:sqref>
        </x14:dataValidation>
        <x14:dataValidation xr:uid="{008E0077-0069-4269-A418-00B300AB009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I75</xm:sqref>
        </x14:dataValidation>
        <x14:dataValidation xr:uid="{00960072-005F-496F-AA3C-00AC00CD000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AI74</xm:sqref>
        </x14:dataValidation>
        <x14:dataValidation xr:uid="{004200F0-0064-4F98-A791-00BF001A00C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AF74</xm:sqref>
        </x14:dataValidation>
        <x14:dataValidation xr:uid="{00DF00A0-00FD-484E-95F5-00FB001E0092}" type="textLength" allowBlank="1" error="Допускается ввод не более 900 символов!" errorStyle="stop" errorTitle="Ошибка" imeMode="noControl" operator="lessThanOrEqual" showDropDown="0" showErrorMessage="1" showInputMessage="1">
          <x14:formula1>
            <xm:f>900</xm:f>
          </x14:formula1>
          <xm:sqref>M74</xm:sqref>
        </x14:dataValidation>
        <x14:dataValidation xr:uid="{00BD00A0-002D-42BC-BE22-00B5005300A8}" type="textLength" allowBlank="1" error="Допускается ввод не более 900 символов!" errorStyle="stop" errorTitle="Ошибка" imeMode="noControl" operator="lessThanOrEqual" showDropDown="0" showErrorMessage="1" showInputMessage="1">
          <x14:formula1>
            <xm:f>900</xm:f>
          </x14:formula1>
          <xm:sqref>K74</xm:sqref>
        </x14:dataValidation>
        <x14:dataValidation xr:uid="{007A0000-0027-41AC-AFCA-00B5004D00F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J74</xm:sqref>
        </x14:dataValidation>
        <x14:dataValidation xr:uid="{00B6001C-00B4-4324-8A5F-00C400C0004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I74</xm:sqref>
        </x14:dataValidation>
        <x14:dataValidation xr:uid="{00BE0000-00E7-4715-8F4C-0047001800D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AI73</xm:sqref>
        </x14:dataValidation>
        <x14:dataValidation xr:uid="{00DD00B5-0070-40E3-B704-00D000B6003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AF73</xm:sqref>
        </x14:dataValidation>
        <x14:dataValidation xr:uid="{00D300E4-0048-4791-9118-0047006A00B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AI72</xm:sqref>
        </x14:dataValidation>
        <x14:dataValidation xr:uid="{003000E2-00CA-4E5D-A926-00AE00A9000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AF72</xm:sqref>
        </x14:dataValidation>
        <x14:dataValidation xr:uid="{004C00B6-0052-4511-821F-0051002900E2}" type="textLength" allowBlank="1" error="Допускается ввод не более 900 символов!" errorStyle="stop" errorTitle="Ошибка" imeMode="noControl" operator="lessThanOrEqual" showDropDown="0" showErrorMessage="1" showInputMessage="1">
          <x14:formula1>
            <xm:f>900</xm:f>
          </x14:formula1>
          <xm:sqref>K72</xm:sqref>
        </x14:dataValidation>
        <x14:dataValidation xr:uid="{00B400C8-00F8-4CF6-B49D-00430086000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J72</xm:sqref>
        </x14:dataValidation>
        <x14:dataValidation xr:uid="{006000C7-0002-4858-A415-001E0010006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I72</xm:sqref>
        </x14:dataValidation>
        <x14:dataValidation xr:uid="{00220039-006E-4B40-B245-008C007500A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AI70</xm:sqref>
        </x14:dataValidation>
        <x14:dataValidation xr:uid="{00E500F4-00D0-48DD-9A34-001A008B009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AF70</xm:sqref>
        </x14:dataValidation>
        <x14:dataValidation xr:uid="{00930001-0098-4630-80E0-00D00038005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AE70</xm:sqref>
        </x14:dataValidation>
        <x14:dataValidation xr:uid="{00CD0060-004E-4221-8E25-0087001F00A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AC70</xm:sqref>
        </x14:dataValidation>
        <x14:dataValidation xr:uid="{00F20026-000F-415A-AC1A-00D600EC00C4}" type="textLength" allowBlank="1" error="Допускается ввод не более 900 символов!" errorStyle="stop" errorTitle="Ошибка" imeMode="noControl" operator="lessThanOrEqual" showDropDown="0" showErrorMessage="1" showInputMessage="1">
          <x14:formula1>
            <xm:f>900</xm:f>
          </x14:formula1>
          <xm:sqref>K70</xm:sqref>
        </x14:dataValidation>
        <x14:dataValidation xr:uid="{0068005C-008F-4611-B267-009A0041009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J70</xm:sqref>
        </x14:dataValidation>
        <x14:dataValidation xr:uid="{006D008A-00B6-4EC5-A0ED-00B5002C00C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I70</xm:sqref>
        </x14:dataValidation>
        <x14:dataValidation xr:uid="{002400C3-00CE-4860-B651-006E001100D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AI69</xm:sqref>
        </x14:dataValidation>
        <x14:dataValidation xr:uid="{00430007-004E-47A9-87E7-0028009900B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AF69</xm:sqref>
        </x14:dataValidation>
        <x14:dataValidation xr:uid="{00F80009-0017-4931-93DA-00BB00A2008F}" type="textLength" allowBlank="1" error="Допускается ввод не более 900 символов!" errorStyle="stop" errorTitle="Ошибка" imeMode="noControl" operator="lessThanOrEqual" showDropDown="0" showErrorMessage="1" showInputMessage="1">
          <x14:formula1>
            <xm:f>900</xm:f>
          </x14:formula1>
          <xm:sqref>K69</xm:sqref>
        </x14:dataValidation>
        <x14:dataValidation xr:uid="{00490076-007A-4F74-BB5D-00EF00BE004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J69</xm:sqref>
        </x14:dataValidation>
        <x14:dataValidation xr:uid="{006E000F-0003-4BB3-8C84-003F00E4008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I69</xm:sqref>
        </x14:dataValidation>
        <x14:dataValidation xr:uid="{00150089-008B-4686-A52F-00830037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AI68</xm:sqref>
        </x14:dataValidation>
        <x14:dataValidation xr:uid="{009F0056-00BF-4B5B-9036-00B60044002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AF68</xm:sqref>
        </x14:dataValidation>
        <x14:dataValidation xr:uid="{004B003A-001F-40BF-BB61-00A80045007D}" type="textLength" allowBlank="1" error="Допускается ввод не более 900 символов!" errorStyle="stop" errorTitle="Ошибка" imeMode="noControl" operator="lessThanOrEqual" showDropDown="0" showErrorMessage="1" showInputMessage="1">
          <x14:formula1>
            <xm:f>900</xm:f>
          </x14:formula1>
          <xm:sqref>M68</xm:sqref>
        </x14:dataValidation>
        <x14:dataValidation xr:uid="{00190024-0046-487D-872E-0036007A0003}" type="textLength" allowBlank="1" error="Допускается ввод не более 900 символов!" errorStyle="stop" errorTitle="Ошибка" imeMode="noControl" operator="lessThanOrEqual" showDropDown="0" showErrorMessage="1" showInputMessage="1">
          <x14:formula1>
            <xm:f>900</xm:f>
          </x14:formula1>
          <xm:sqref>K68</xm:sqref>
        </x14:dataValidation>
        <x14:dataValidation xr:uid="{00600019-00E8-4D33-8C3B-005F00A8007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J68</xm:sqref>
        </x14:dataValidation>
        <x14:dataValidation xr:uid="{000C0027-0014-4D8F-B31D-00BE00CF002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I68</xm:sqref>
        </x14:dataValidation>
        <x14:dataValidation xr:uid="{00F20064-0038-45EE-9BB7-00FE00CF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AI67</xm:sqref>
        </x14:dataValidation>
        <x14:dataValidation xr:uid="{005E0049-00CD-47E0-B2C0-00A8009A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AF67</xm:sqref>
        </x14:dataValidation>
        <x14:dataValidation xr:uid="{00BC0008-007A-4C90-842E-006100A8007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AI66</xm:sqref>
        </x14:dataValidation>
        <x14:dataValidation xr:uid="{003300E5-006A-40DA-A86B-004300C6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AF66</xm:sqref>
        </x14:dataValidation>
        <x14:dataValidation xr:uid="{00CE001A-00B0-481C-9D87-004C00E3003A}" type="textLength" allowBlank="1" error="Допускается ввод не более 900 символов!" errorStyle="stop" errorTitle="Ошибка" imeMode="noControl" operator="lessThanOrEqual" showDropDown="0" showErrorMessage="1" showInputMessage="1">
          <x14:formula1>
            <xm:f>900</xm:f>
          </x14:formula1>
          <xm:sqref>K66</xm:sqref>
        </x14:dataValidation>
        <x14:dataValidation xr:uid="{00050089-0047-4690-848B-00FE00C3004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J66</xm:sqref>
        </x14:dataValidation>
        <x14:dataValidation xr:uid="{00AF003B-00B5-4D65-8650-00AD00EB00E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I66</xm:sqref>
        </x14:dataValidation>
        <x14:dataValidation xr:uid="{00230088-006E-40E9-A13F-0088007E007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AI65</xm:sqref>
        </x14:dataValidation>
        <x14:dataValidation xr:uid="{00D0003C-0066-4485-B6A2-004B00D5005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AF65</xm:sqref>
        </x14:dataValidation>
        <x14:dataValidation xr:uid="{007000BE-0085-4E81-B3DE-00FC003A002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AE65</xm:sqref>
        </x14:dataValidation>
        <x14:dataValidation xr:uid="{009B0085-002A-4D20-9534-00EF006B007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AC65</xm:sqref>
        </x14:dataValidation>
        <x14:dataValidation xr:uid="{00CD00B4-0078-487C-80CE-00F0000E00A8}" type="textLength" allowBlank="1" error="Допускается ввод не более 900 символов!" errorStyle="stop" errorTitle="Ошибка" imeMode="noControl" operator="lessThanOrEqual" showDropDown="0" showErrorMessage="1" showInputMessage="1">
          <x14:formula1>
            <xm:f>900</xm:f>
          </x14:formula1>
          <xm:sqref>K65</xm:sqref>
        </x14:dataValidation>
        <x14:dataValidation xr:uid="{008F00A3-0077-4466-8C31-003B0000004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J65</xm:sqref>
        </x14:dataValidation>
        <x14:dataValidation xr:uid="{009500A2-0006-4B25-BBCD-0048009F00B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I65</xm:sqref>
        </x14:dataValidation>
        <x14:dataValidation xr:uid="{0063002C-00F1-4DBB-B0AB-006B0091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AI64</xm:sqref>
        </x14:dataValidation>
        <x14:dataValidation xr:uid="{00E20048-00A9-4A94-A1A7-00F5001C00F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AF64</xm:sqref>
        </x14:dataValidation>
        <x14:dataValidation xr:uid="{00AB009E-0058-4FFA-A874-00B5008300A9}" type="textLength" allowBlank="1" error="Допускается ввод не более 900 символов!" errorStyle="stop" errorTitle="Ошибка" imeMode="noControl" operator="lessThanOrEqual" showDropDown="0" showErrorMessage="1" showInputMessage="1">
          <x14:formula1>
            <xm:f>900</xm:f>
          </x14:formula1>
          <xm:sqref>K64</xm:sqref>
        </x14:dataValidation>
        <x14:dataValidation xr:uid="{005D00B2-007F-47EC-9188-00DD00E600F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J64</xm:sqref>
        </x14:dataValidation>
        <x14:dataValidation xr:uid="{000E002F-001A-480F-A609-00EE001E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I64</xm:sqref>
        </x14:dataValidation>
        <x14:dataValidation xr:uid="{007700AD-00D1-47CD-A175-00890024003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AI63</xm:sqref>
        </x14:dataValidation>
        <x14:dataValidation xr:uid="{00B200FB-0025-46BA-BA43-00860062005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AF63</xm:sqref>
        </x14:dataValidation>
        <x14:dataValidation xr:uid="{00680055-0082-4058-A194-00CF00D8000B}" type="textLength" allowBlank="1" error="Допускается ввод не более 900 символов!" errorStyle="stop" errorTitle="Ошибка" imeMode="noControl" operator="lessThanOrEqual" showDropDown="0" showErrorMessage="1" showInputMessage="1">
          <x14:formula1>
            <xm:f>900</xm:f>
          </x14:formula1>
          <xm:sqref>M63</xm:sqref>
        </x14:dataValidation>
        <x14:dataValidation xr:uid="{009500BD-0063-4A5E-A4AE-0034004400A0}" type="textLength" allowBlank="1" error="Допускается ввод не более 900 символов!" errorStyle="stop" errorTitle="Ошибка" imeMode="noControl" operator="lessThanOrEqual" showDropDown="0" showErrorMessage="1" showInputMessage="1">
          <x14:formula1>
            <xm:f>900</xm:f>
          </x14:formula1>
          <xm:sqref>K63</xm:sqref>
        </x14:dataValidation>
        <x14:dataValidation xr:uid="{006C00CB-000D-4817-960E-00600046008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J63</xm:sqref>
        </x14:dataValidation>
        <x14:dataValidation xr:uid="{008200DC-00B7-4477-B0CE-00BC0052006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I63</xm:sqref>
        </x14:dataValidation>
        <x14:dataValidation xr:uid="{00CD0050-00D0-412D-B0A1-007A00AB008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AI44</xm:sqref>
        </x14:dataValidation>
        <x14:dataValidation xr:uid="{006E0007-0039-48E7-BCF2-007C0084001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AF44</xm:sqref>
        </x14:dataValidation>
        <x14:dataValidation xr:uid="{00E30003-008E-4874-B604-00C20067007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AE44</xm:sqref>
        </x14:dataValidation>
        <x14:dataValidation xr:uid="{000600D9-00E9-4C76-A25F-000D00BF00E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AC44</xm:sqref>
        </x14:dataValidation>
        <x14:dataValidation xr:uid="{0038008F-003D-4A24-8CA6-00ED00540094}" type="textLength" allowBlank="1" error="Допускается ввод не более 900 символов!" errorStyle="stop" errorTitle="Ошибка" imeMode="noControl" operator="lessThanOrEqual" showDropDown="0" showErrorMessage="1" showInputMessage="1">
          <x14:formula1>
            <xm:f>900</xm:f>
          </x14:formula1>
          <xm:sqref>K44</xm:sqref>
        </x14:dataValidation>
        <x14:dataValidation xr:uid="{00C50016-00B2-4245-82BF-00AA000C00C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J44</xm:sqref>
        </x14:dataValidation>
        <x14:dataValidation xr:uid="{00470071-005F-4567-89A5-005C00D9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I44</xm:sqref>
        </x14:dataValidation>
        <x14:dataValidation xr:uid="{00FC009B-0077-4F67-9E2E-009E007E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AI28</xm:sqref>
        </x14:dataValidation>
        <x14:dataValidation xr:uid="{00880027-004D-4AC6-B14D-00BE0089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AF28</xm:sqref>
        </x14:dataValidation>
        <x14:dataValidation xr:uid="{009D0064-0047-4384-8D9A-003000D2005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AE28</xm:sqref>
        </x14:dataValidation>
        <x14:dataValidation xr:uid="{003E00CE-009D-441F-A08B-002B00C0002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AC28</xm:sqref>
        </x14:dataValidation>
        <x14:dataValidation xr:uid="{00AF007F-006F-49E3-AD73-00D4006C001B}" type="textLength" allowBlank="1" error="Допускается ввод не более 900 символов!" errorStyle="stop" errorTitle="Ошибка" imeMode="noControl" operator="lessThanOrEqual" showDropDown="0" showErrorMessage="1" showInputMessage="1">
          <x14:formula1>
            <xm:f>900</xm:f>
          </x14:formula1>
          <xm:sqref>K28</xm:sqref>
        </x14:dataValidation>
        <x14:dataValidation xr:uid="{00E40047-00C6-4F8A-A06B-009E003D00F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J28</xm:sqref>
        </x14:dataValidation>
        <x14:dataValidation xr:uid="{00DE00B9-00E7-4BBE-B0D6-00830077009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I28</xm:sqref>
        </x14:dataValidation>
        <x14:dataValidation xr:uid="{009D0005-0033-4982-A37F-006500E5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AI56</xm:sqref>
        </x14:dataValidation>
        <x14:dataValidation xr:uid="{00410032-009F-4A48-8309-002000D9009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AF56</xm:sqref>
        </x14:dataValidation>
        <x14:dataValidation xr:uid="{002E004B-0047-4E96-8E88-000000D000D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AI55</xm:sqref>
        </x14:dataValidation>
        <x14:dataValidation xr:uid="{005C005B-0004-49B5-9088-004A00CE00B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AF55</xm:sqref>
        </x14:dataValidation>
        <x14:dataValidation xr:uid="{00940008-0027-42F4-858F-002200C100E9}" type="textLength" allowBlank="1" error="Допускается ввод не более 900 символов!" errorStyle="stop" errorTitle="Ошибка" imeMode="noControl" operator="lessThanOrEqual" showDropDown="0" showErrorMessage="1" showInputMessage="1">
          <x14:formula1>
            <xm:f>900</xm:f>
          </x14:formula1>
          <xm:sqref>K55</xm:sqref>
        </x14:dataValidation>
        <x14:dataValidation xr:uid="{00A5008A-0049-4AC8-BC18-00170029000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J55</xm:sqref>
        </x14:dataValidation>
        <x14:dataValidation xr:uid="{008F00DE-0057-48D1-A993-000C008A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I55</xm:sqref>
        </x14:dataValidation>
        <x14:dataValidation xr:uid="{00160036-0068-4A2D-8B96-000C0029002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AI54</xm:sqref>
        </x14:dataValidation>
        <x14:dataValidation xr:uid="{008000B1-0089-4880-A367-00810058002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AF54</xm:sqref>
        </x14:dataValidation>
        <x14:dataValidation xr:uid="{002B0020-0053-4711-8651-00C900C800B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AE54</xm:sqref>
        </x14:dataValidation>
        <x14:dataValidation xr:uid="{00A8003E-00B9-4683-BA23-00DB002C00D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AC54</xm:sqref>
        </x14:dataValidation>
        <x14:dataValidation xr:uid="{00DB0025-00B8-48B2-BFE3-0082004A00E2}" type="textLength" allowBlank="1" error="Допускается ввод не более 900 символов!" errorStyle="stop" errorTitle="Ошибка" imeMode="noControl" operator="lessThanOrEqual" showDropDown="0" showErrorMessage="1" showInputMessage="1">
          <x14:formula1>
            <xm:f>900</xm:f>
          </x14:formula1>
          <xm:sqref>K54</xm:sqref>
        </x14:dataValidation>
        <x14:dataValidation xr:uid="{00E20011-00AA-4430-B877-00F900A6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J54</xm:sqref>
        </x14:dataValidation>
        <x14:dataValidation xr:uid="{000B00AF-007D-4D2E-86DF-005D00DA007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I54</xm:sqref>
        </x14:dataValidation>
        <x14:dataValidation xr:uid="{002600D4-00F8-4744-9306-00BA008A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AI53</xm:sqref>
        </x14:dataValidation>
        <x14:dataValidation xr:uid="{001F00D0-005B-470E-AACF-00360056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AF53</xm:sqref>
        </x14:dataValidation>
        <x14:dataValidation xr:uid="{00E70014-00C0-4C74-BB28-00AF00C90002}" type="textLength" allowBlank="1" error="Допускается ввод не более 900 символов!" errorStyle="stop" errorTitle="Ошибка" imeMode="noControl" operator="lessThanOrEqual" showDropDown="0" showErrorMessage="1" showInputMessage="1">
          <x14:formula1>
            <xm:f>900</xm:f>
          </x14:formula1>
          <xm:sqref>K53</xm:sqref>
        </x14:dataValidation>
        <x14:dataValidation xr:uid="{009900D4-001B-42EF-95DF-006B0072009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J53</xm:sqref>
        </x14:dataValidation>
        <x14:dataValidation xr:uid="{00C90010-009A-4086-AA79-00C5008E00A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I53</xm:sqref>
        </x14:dataValidation>
        <x14:dataValidation xr:uid="{00A3001E-008E-4DA1-AD89-00BE004600F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AI52</xm:sqref>
        </x14:dataValidation>
        <x14:dataValidation xr:uid="{002900B3-00EA-4B8E-A21E-00D500CD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AF52</xm:sqref>
        </x14:dataValidation>
        <x14:dataValidation xr:uid="{00DF00E4-00C6-4E39-AEE9-00F2001E005C}" type="textLength" allowBlank="1" error="Допускается ввод не более 900 символов!" errorStyle="stop" errorTitle="Ошибка" imeMode="noControl" operator="lessThanOrEqual" showDropDown="0" showErrorMessage="1" showInputMessage="1">
          <x14:formula1>
            <xm:f>900</xm:f>
          </x14:formula1>
          <xm:sqref>M52</xm:sqref>
        </x14:dataValidation>
        <x14:dataValidation xr:uid="{003400A4-00D8-4D44-B544-00C800AA0055}" type="textLength" allowBlank="1" error="Допускается ввод не более 900 символов!" errorStyle="stop" errorTitle="Ошибка" imeMode="noControl" operator="lessThanOrEqual" showDropDown="0" showErrorMessage="1" showInputMessage="1">
          <x14:formula1>
            <xm:f>900</xm:f>
          </x14:formula1>
          <xm:sqref>K52</xm:sqref>
        </x14:dataValidation>
        <x14:dataValidation xr:uid="{00490063-0051-4BF1-98FD-00330062001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J52</xm:sqref>
        </x14:dataValidation>
        <x14:dataValidation xr:uid="{007F00D6-00C8-4623-A86B-00150039001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I52</xm:sqref>
        </x14:dataValidation>
        <x14:dataValidation xr:uid="{00E300FF-00AF-4B8E-8B72-00CA00C800E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AI51</xm:sqref>
        </x14:dataValidation>
        <x14:dataValidation xr:uid="{00BE00D1-0063-49A0-B519-00BF00C7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AF51</xm:sqref>
        </x14:dataValidation>
        <x14:dataValidation xr:uid="{00750000-00E2-4156-8CAB-007E000500C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AI50</xm:sqref>
        </x14:dataValidation>
        <x14:dataValidation xr:uid="{00C300BD-00F8-4EDD-98F6-00220015001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AF50</xm:sqref>
        </x14:dataValidation>
        <x14:dataValidation xr:uid="{008F0032-00E2-4936-B3C4-00E3008700C0}" type="textLength" allowBlank="1" error="Допускается ввод не более 900 символов!" errorStyle="stop" errorTitle="Ошибка" imeMode="noControl" operator="lessThanOrEqual" showDropDown="0" showErrorMessage="1" showInputMessage="1">
          <x14:formula1>
            <xm:f>900</xm:f>
          </x14:formula1>
          <xm:sqref>K50</xm:sqref>
        </x14:dataValidation>
        <x14:dataValidation xr:uid="{001B0008-00FE-4B55-A759-002C00F100A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J50</xm:sqref>
        </x14:dataValidation>
        <x14:dataValidation xr:uid="{008400CF-00D2-4C69-9971-00D20087000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I50</xm:sqref>
        </x14:dataValidation>
        <x14:dataValidation xr:uid="{00AA0087-007F-4DEA-8ABC-00C200F100E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AI49</xm:sqref>
        </x14:dataValidation>
        <x14:dataValidation xr:uid="{00F700CC-002C-414D-9A72-00F9006B000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AF49</xm:sqref>
        </x14:dataValidation>
        <x14:dataValidation xr:uid="{00FA008D-004A-48F7-AAF6-004100F9001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AE49</xm:sqref>
        </x14:dataValidation>
        <x14:dataValidation xr:uid="{001800BE-0022-4D31-A46D-0053005F00D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AC49</xm:sqref>
        </x14:dataValidation>
        <x14:dataValidation xr:uid="{000500A8-0064-4AFF-8039-00DC00800014}" type="textLength" allowBlank="1" error="Допускается ввод не более 900 символов!" errorStyle="stop" errorTitle="Ошибка" imeMode="noControl" operator="lessThanOrEqual" showDropDown="0" showErrorMessage="1" showInputMessage="1">
          <x14:formula1>
            <xm:f>900</xm:f>
          </x14:formula1>
          <xm:sqref>K49</xm:sqref>
        </x14:dataValidation>
        <x14:dataValidation xr:uid="{00EB0014-000F-48CE-8441-004200A200C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J49</xm:sqref>
        </x14:dataValidation>
        <x14:dataValidation xr:uid="{007000F9-00EB-4B9F-95CE-005E0055000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I49</xm:sqref>
        </x14:dataValidation>
        <x14:dataValidation xr:uid="{00830095-0068-446F-A5A1-00AA004C004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AI48</xm:sqref>
        </x14:dataValidation>
        <x14:dataValidation xr:uid="{00A400ED-0029-48D5-81A0-00810071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AF48</xm:sqref>
        </x14:dataValidation>
        <x14:dataValidation xr:uid="{00460085-00D5-4B3E-A4E1-00C1002F00CB}" type="textLength" allowBlank="1" error="Допускается ввод не более 900 символов!" errorStyle="stop" errorTitle="Ошибка" imeMode="noControl" operator="lessThanOrEqual" showDropDown="0" showErrorMessage="1" showInputMessage="1">
          <x14:formula1>
            <xm:f>900</xm:f>
          </x14:formula1>
          <xm:sqref>K48</xm:sqref>
        </x14:dataValidation>
        <x14:dataValidation xr:uid="{0019003A-003E-49CE-B203-004500E3002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J48</xm:sqref>
        </x14:dataValidation>
        <x14:dataValidation xr:uid="{0036007D-002B-4B4D-92AD-009600E5008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I48</xm:sqref>
        </x14:dataValidation>
        <x14:dataValidation xr:uid="{00F30016-000A-4127-8610-001D00FE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AI47</xm:sqref>
        </x14:dataValidation>
        <x14:dataValidation xr:uid="{00D700BF-0011-4DAC-ADD8-008C00D7003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AF47</xm:sqref>
        </x14:dataValidation>
        <x14:dataValidation xr:uid="{00CE00DC-00DB-4A43-9C92-00A1000400F4}" type="textLength" allowBlank="1" error="Допускается ввод не более 900 символов!" errorStyle="stop" errorTitle="Ошибка" imeMode="noControl" operator="lessThanOrEqual" showDropDown="0" showErrorMessage="1" showInputMessage="1">
          <x14:formula1>
            <xm:f>900</xm:f>
          </x14:formula1>
          <xm:sqref>M47</xm:sqref>
        </x14:dataValidation>
        <x14:dataValidation xr:uid="{003A0044-0045-469D-AB81-00C8007200C0}" type="textLength" allowBlank="1" error="Допускается ввод не более 900 символов!" errorStyle="stop" errorTitle="Ошибка" imeMode="noControl" operator="lessThanOrEqual" showDropDown="0" showErrorMessage="1" showInputMessage="1">
          <x14:formula1>
            <xm:f>900</xm:f>
          </x14:formula1>
          <xm:sqref>K47</xm:sqref>
        </x14:dataValidation>
        <x14:dataValidation xr:uid="{00A6005D-00C2-466C-BA75-00AC0061004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J47</xm:sqref>
        </x14:dataValidation>
        <x14:dataValidation xr:uid="{00F0001D-00DD-4DFB-9561-001E00EA009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I47</xm:sqref>
        </x14:dataValidation>
        <x14:dataValidation xr:uid="{005A00F3-008F-4C9A-B9E4-00B300BE00E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AI46</xm:sqref>
        </x14:dataValidation>
        <x14:dataValidation xr:uid="{004300D9-00AC-4B00-A996-006800BB000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AF46</xm:sqref>
        </x14:dataValidation>
        <x14:dataValidation xr:uid="{00E20020-000B-4448-9BEE-00AD0085000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AI45</xm:sqref>
        </x14:dataValidation>
        <x14:dataValidation xr:uid="{00FE00E0-0046-471C-9113-0028003E00F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AF45</xm:sqref>
        </x14:dataValidation>
        <x14:dataValidation xr:uid="{002500F9-0016-4823-A193-002300930004}" type="textLength" allowBlank="1" error="Допускается ввод не более 900 символов!" errorStyle="stop" errorTitle="Ошибка" imeMode="noControl" operator="lessThanOrEqual" showDropDown="0" showErrorMessage="1" showInputMessage="1">
          <x14:formula1>
            <xm:f>900</xm:f>
          </x14:formula1>
          <xm:sqref>K45</xm:sqref>
        </x14:dataValidation>
        <x14:dataValidation xr:uid="{001C0014-009E-470E-8E4D-00C4006100D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J45</xm:sqref>
        </x14:dataValidation>
        <x14:dataValidation xr:uid="{00C1004D-00B6-4DCC-9E09-009600C1002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I45</xm:sqref>
        </x14:dataValidation>
        <x14:dataValidation xr:uid="{00C0000E-0092-46BC-96CD-00B2007600F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AI43</xm:sqref>
        </x14:dataValidation>
        <x14:dataValidation xr:uid="{0018006E-0058-4947-8F98-005F0031002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AF43</xm:sqref>
        </x14:dataValidation>
        <x14:dataValidation xr:uid="{00F400E3-00FD-40D0-A45E-00E9003200B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AE43</xm:sqref>
        </x14:dataValidation>
        <x14:dataValidation xr:uid="{0024004D-00AD-412F-9807-005F007900B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AC43</xm:sqref>
        </x14:dataValidation>
        <x14:dataValidation xr:uid="{00B7009F-0043-4A91-BED5-003400FF0023}" type="textLength" allowBlank="1" error="Допускается ввод не более 900 символов!" errorStyle="stop" errorTitle="Ошибка" imeMode="noControl" operator="lessThanOrEqual" showDropDown="0" showErrorMessage="1" showInputMessage="1">
          <x14:formula1>
            <xm:f>900</xm:f>
          </x14:formula1>
          <xm:sqref>K43</xm:sqref>
        </x14:dataValidation>
        <x14:dataValidation xr:uid="{001000D4-006E-4A56-8F3B-000000FE007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J43</xm:sqref>
        </x14:dataValidation>
        <x14:dataValidation xr:uid="{007A0065-00BB-40BB-BCB5-00D700BE00A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I43</xm:sqref>
        </x14:dataValidation>
        <x14:dataValidation xr:uid="{00950088-0053-4872-93C4-000600C5003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AI42</xm:sqref>
        </x14:dataValidation>
        <x14:dataValidation xr:uid="{0074009B-0013-42FF-94D8-007400BC005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AF42</xm:sqref>
        </x14:dataValidation>
        <x14:dataValidation xr:uid="{00AB0078-0004-490A-A46F-0030009B0012}" type="textLength" allowBlank="1" error="Допускается ввод не более 900 символов!" errorStyle="stop" errorTitle="Ошибка" imeMode="noControl" operator="lessThanOrEqual" showDropDown="0" showErrorMessage="1" showInputMessage="1">
          <x14:formula1>
            <xm:f>900</xm:f>
          </x14:formula1>
          <xm:sqref>K42</xm:sqref>
        </x14:dataValidation>
        <x14:dataValidation xr:uid="{003F00F8-0082-420B-B579-001C005000C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J42</xm:sqref>
        </x14:dataValidation>
        <x14:dataValidation xr:uid="{00A3004E-002B-4851-91EF-00A300FE004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I42</xm:sqref>
        </x14:dataValidation>
        <x14:dataValidation xr:uid="{00E7005B-0022-4DD5-AD3C-008700C2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AI41</xm:sqref>
        </x14:dataValidation>
        <x14:dataValidation xr:uid="{00520072-00C8-4590-9231-0050008B00B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AF41</xm:sqref>
        </x14:dataValidation>
        <x14:dataValidation xr:uid="{00580063-00C9-4C11-B9C9-00D0008F0018}" type="textLength" allowBlank="1" error="Допускается ввод не более 900 символов!" errorStyle="stop" errorTitle="Ошибка" imeMode="noControl" operator="lessThanOrEqual" showDropDown="0" showErrorMessage="1" showInputMessage="1">
          <x14:formula1>
            <xm:f>900</xm:f>
          </x14:formula1>
          <xm:sqref>M41</xm:sqref>
        </x14:dataValidation>
        <x14:dataValidation xr:uid="{001A00BC-005F-4A32-AD25-0011000600C7}" type="textLength" allowBlank="1" error="Допускается ввод не более 900 символов!" errorStyle="stop" errorTitle="Ошибка" imeMode="noControl" operator="lessThanOrEqual" showDropDown="0" showErrorMessage="1" showInputMessage="1">
          <x14:formula1>
            <xm:f>900</xm:f>
          </x14:formula1>
          <xm:sqref>K41</xm:sqref>
        </x14:dataValidation>
        <x14:dataValidation xr:uid="{002300DE-005D-4E65-B611-00010043002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J41</xm:sqref>
        </x14:dataValidation>
        <x14:dataValidation xr:uid="{000F00CB-005D-4CF6-81F1-00EA002E00E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I41</xm:sqref>
        </x14:dataValidation>
        <x14:dataValidation xr:uid="{002C0055-0095-4D64-8E01-0032009B00E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AI40</xm:sqref>
        </x14:dataValidation>
        <x14:dataValidation xr:uid="{00E600E8-0001-4FC5-A8E9-00450066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AF40</xm:sqref>
        </x14:dataValidation>
        <x14:dataValidation xr:uid="{002F00CD-00BA-4346-A460-00DC00E9004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AI39</xm:sqref>
        </x14:dataValidation>
        <x14:dataValidation xr:uid="{000100EE-0072-4D15-B85C-00A700B8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AF39</xm:sqref>
        </x14:dataValidation>
        <x14:dataValidation xr:uid="{0052009E-0053-48B6-8B7C-00FE0020000E}" type="textLength" allowBlank="1" error="Допускается ввод не более 900 символов!" errorStyle="stop" errorTitle="Ошибка" imeMode="noControl" operator="lessThanOrEqual" showDropDown="0" showErrorMessage="1" showInputMessage="1">
          <x14:formula1>
            <xm:f>900</xm:f>
          </x14:formula1>
          <xm:sqref>K39</xm:sqref>
        </x14:dataValidation>
        <x14:dataValidation xr:uid="{002A0064-0008-45E5-A47E-002000E300B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J39</xm:sqref>
        </x14:dataValidation>
        <x14:dataValidation xr:uid="{00E30067-00A2-4DFB-9779-00D4004000F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I39</xm:sqref>
        </x14:dataValidation>
        <x14:dataValidation xr:uid="{008F0070-00B0-4E81-B377-00C2000E005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AI38</xm:sqref>
        </x14:dataValidation>
        <x14:dataValidation xr:uid="{007A00D9-00A0-4CC1-821A-0001006E00D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AF38</xm:sqref>
        </x14:dataValidation>
        <x14:dataValidation xr:uid="{00F20092-005C-4001-865D-00F800F9008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AE38</xm:sqref>
        </x14:dataValidation>
        <x14:dataValidation xr:uid="{0063007B-0091-4B09-A191-002A0067009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AC38</xm:sqref>
        </x14:dataValidation>
        <x14:dataValidation xr:uid="{00BF00B0-0042-45EE-8A62-00D2003D00A0}" type="textLength" allowBlank="1" error="Допускается ввод не более 900 символов!" errorStyle="stop" errorTitle="Ошибка" imeMode="noControl" operator="lessThanOrEqual" showDropDown="0" showErrorMessage="1" showInputMessage="1">
          <x14:formula1>
            <xm:f>900</xm:f>
          </x14:formula1>
          <xm:sqref>K38</xm:sqref>
        </x14:dataValidation>
        <x14:dataValidation xr:uid="{00D500EB-001F-4E51-98F4-004600B100B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J38</xm:sqref>
        </x14:dataValidation>
        <x14:dataValidation xr:uid="{00DB000B-00D0-483F-BA2E-003D00E3001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I38</xm:sqref>
        </x14:dataValidation>
        <x14:dataValidation xr:uid="{006700A3-00EE-47C7-BD4B-00730036003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AI37</xm:sqref>
        </x14:dataValidation>
        <x14:dataValidation xr:uid="{006700D8-0038-4AB7-AD35-00880075002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AF37</xm:sqref>
        </x14:dataValidation>
        <x14:dataValidation xr:uid="{00550010-00C3-4C3D-98A1-00D8001E00EA}" type="textLength" allowBlank="1" error="Допускается ввод не более 900 символов!" errorStyle="stop" errorTitle="Ошибка" imeMode="noControl" operator="lessThanOrEqual" showDropDown="0" showErrorMessage="1" showInputMessage="1">
          <x14:formula1>
            <xm:f>900</xm:f>
          </x14:formula1>
          <xm:sqref>K37</xm:sqref>
        </x14:dataValidation>
        <x14:dataValidation xr:uid="{005500C0-007A-491E-A5C4-006E004E00A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J37</xm:sqref>
        </x14:dataValidation>
        <x14:dataValidation xr:uid="{004D00DF-0038-4B21-81B0-0095003300B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I37</xm:sqref>
        </x14:dataValidation>
        <x14:dataValidation xr:uid="{008A00CB-003F-4CA0-931F-0066006700A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AI36</xm:sqref>
        </x14:dataValidation>
        <x14:dataValidation xr:uid="{000C00F0-00D6-4F66-9876-00C500A3005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AF36</xm:sqref>
        </x14:dataValidation>
        <x14:dataValidation xr:uid="{00890097-00B1-43D9-B539-00F1005F0024}" type="textLength" allowBlank="1" error="Допускается ввод не более 900 символов!" errorStyle="stop" errorTitle="Ошибка" imeMode="noControl" operator="lessThanOrEqual" showDropDown="0" showErrorMessage="1" showInputMessage="1">
          <x14:formula1>
            <xm:f>900</xm:f>
          </x14:formula1>
          <xm:sqref>M36</xm:sqref>
        </x14:dataValidation>
        <x14:dataValidation xr:uid="{00110053-00DF-4764-90D0-0000002C00E5}" type="textLength" allowBlank="1" error="Допускается ввод не более 900 символов!" errorStyle="stop" errorTitle="Ошибка" imeMode="noControl" operator="lessThanOrEqual" showDropDown="0" showErrorMessage="1" showInputMessage="1">
          <x14:formula1>
            <xm:f>900</xm:f>
          </x14:formula1>
          <xm:sqref>K36</xm:sqref>
        </x14:dataValidation>
        <x14:dataValidation xr:uid="{00560071-0040-48F9-8AA4-007500BA004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J36</xm:sqref>
        </x14:dataValidation>
        <x14:dataValidation xr:uid="{00300055-00E2-460C-AF18-00F1003600E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I36</xm:sqref>
        </x14:dataValidation>
        <x14:dataValidation xr:uid="{00DC00A3-0009-44F7-8725-00720046004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AI35</xm:sqref>
        </x14:dataValidation>
        <x14:dataValidation xr:uid="{00CA00AA-0036-4D83-A301-00E300A3003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AF35</xm:sqref>
        </x14:dataValidation>
        <x14:dataValidation xr:uid="{00420040-0022-4C5F-A9B0-00B1001F00F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AI34</xm:sqref>
        </x14:dataValidation>
        <x14:dataValidation xr:uid="{00540095-00E0-4D13-97AB-008B0031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AF34</xm:sqref>
        </x14:dataValidation>
        <x14:dataValidation xr:uid="{004700FA-0011-4111-B739-006E00080026}" type="textLength" allowBlank="1" error="Допускается ввод не более 900 символов!" errorStyle="stop" errorTitle="Ошибка" imeMode="noControl" operator="lessThanOrEqual" showDropDown="0" showErrorMessage="1" showInputMessage="1">
          <x14:formula1>
            <xm:f>900</xm:f>
          </x14:formula1>
          <xm:sqref>K34</xm:sqref>
        </x14:dataValidation>
        <x14:dataValidation xr:uid="{00040002-008B-4614-8FAA-00E000DD00B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J34</xm:sqref>
        </x14:dataValidation>
        <x14:dataValidation xr:uid="{002D004C-002E-40D5-A368-00EE00B300A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I34</xm:sqref>
        </x14:dataValidation>
        <x14:dataValidation xr:uid="{00DF00C7-0028-4EB8-B499-009200D8005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AI33</xm:sqref>
        </x14:dataValidation>
        <x14:dataValidation xr:uid="{00FC0088-00F7-4647-AAD0-00FD0036003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AF33</xm:sqref>
        </x14:dataValidation>
        <x14:dataValidation xr:uid="{009E00ED-0036-43F4-BBEA-0034006900D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AE33</xm:sqref>
        </x14:dataValidation>
        <x14:dataValidation xr:uid="{006900EC-00F5-4709-9647-00A800DB00E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AC33</xm:sqref>
        </x14:dataValidation>
        <x14:dataValidation xr:uid="{00D60064-00A3-4FA6-A63B-00DC007E00CD}" type="textLength" allowBlank="1" error="Допускается ввод не более 900 символов!" errorStyle="stop" errorTitle="Ошибка" imeMode="noControl" operator="lessThanOrEqual" showDropDown="0" showErrorMessage="1" showInputMessage="1">
          <x14:formula1>
            <xm:f>900</xm:f>
          </x14:formula1>
          <xm:sqref>K33</xm:sqref>
        </x14:dataValidation>
        <x14:dataValidation xr:uid="{002E001D-00A0-4959-B461-0018006100D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J33</xm:sqref>
        </x14:dataValidation>
        <x14:dataValidation xr:uid="{0072009C-0004-4788-A396-00170052000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I33</xm:sqref>
        </x14:dataValidation>
        <x14:dataValidation xr:uid="{00060052-001C-4C39-A82A-0030004400E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AI32</xm:sqref>
        </x14:dataValidation>
        <x14:dataValidation xr:uid="{00AB0018-00F0-46D2-88C9-008C002E009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AF32</xm:sqref>
        </x14:dataValidation>
        <x14:dataValidation xr:uid="{00DA00D9-00EA-44D0-A670-00CC00300052}" type="textLength" allowBlank="1" error="Допускается ввод не более 900 символов!" errorStyle="stop" errorTitle="Ошибка" imeMode="noControl" operator="lessThanOrEqual" showDropDown="0" showErrorMessage="1" showInputMessage="1">
          <x14:formula1>
            <xm:f>900</xm:f>
          </x14:formula1>
          <xm:sqref>K32</xm:sqref>
        </x14:dataValidation>
        <x14:dataValidation xr:uid="{00D40036-0073-43F4-A46A-00D700F0003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J32</xm:sqref>
        </x14:dataValidation>
        <x14:dataValidation xr:uid="{001E00F8-0010-4D83-B3E4-00BE006700B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I32</xm:sqref>
        </x14:dataValidation>
        <x14:dataValidation xr:uid="{00C600BC-0078-4174-AF20-00600084003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AI31</xm:sqref>
        </x14:dataValidation>
        <x14:dataValidation xr:uid="{00AF0052-004A-4773-9E3A-00710089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AF31</xm:sqref>
        </x14:dataValidation>
        <x14:dataValidation xr:uid="{00550003-00AA-489D-A2EF-0073002A003A}" type="textLength" allowBlank="1" error="Допускается ввод не более 900 символов!" errorStyle="stop" errorTitle="Ошибка" imeMode="noControl" operator="lessThanOrEqual" showDropDown="0" showErrorMessage="1" showInputMessage="1">
          <x14:formula1>
            <xm:f>900</xm:f>
          </x14:formula1>
          <xm:sqref>M31</xm:sqref>
        </x14:dataValidation>
        <x14:dataValidation xr:uid="{001100B3-003F-40D2-BF56-004700C10011}" type="textLength" allowBlank="1" error="Допускается ввод не более 900 символов!" errorStyle="stop" errorTitle="Ошибка" imeMode="noControl" operator="lessThanOrEqual" showDropDown="0" showErrorMessage="1" showInputMessage="1">
          <x14:formula1>
            <xm:f>900</xm:f>
          </x14:formula1>
          <xm:sqref>K31</xm:sqref>
        </x14:dataValidation>
        <x14:dataValidation xr:uid="{003300FE-00DE-488B-9E8E-0022001300C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J31</xm:sqref>
        </x14:dataValidation>
        <x14:dataValidation xr:uid="{00F40089-00FE-4DBA-BE95-00AB006F006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I31</xm:sqref>
        </x14:dataValidation>
        <x14:dataValidation xr:uid="{00B8001B-0027-49A7-B2AE-002300FD002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AI30</xm:sqref>
        </x14:dataValidation>
        <x14:dataValidation xr:uid="{006400CB-00FF-41A1-B6AC-004C0062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AF30</xm:sqref>
        </x14:dataValidation>
        <x14:dataValidation xr:uid="{003300D0-0099-44CC-89DE-009B00ED001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AI29</xm:sqref>
        </x14:dataValidation>
        <x14:dataValidation xr:uid="{00A200B7-0097-4F7A-A468-000E007C000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AF29</xm:sqref>
        </x14:dataValidation>
        <x14:dataValidation xr:uid="{00EA00F3-0082-4202-984C-006700DB0094}" type="textLength" allowBlank="1" error="Допускается ввод не более 900 символов!" errorStyle="stop" errorTitle="Ошибка" imeMode="noControl" operator="lessThanOrEqual" showDropDown="0" showErrorMessage="1" showInputMessage="1">
          <x14:formula1>
            <xm:f>900</xm:f>
          </x14:formula1>
          <xm:sqref>K29</xm:sqref>
        </x14:dataValidation>
        <x14:dataValidation xr:uid="{005200E9-0070-403F-BC9F-00A5004000E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J29</xm:sqref>
        </x14:dataValidation>
        <x14:dataValidation xr:uid="{0027005D-00C0-491E-ACD3-00EF0085005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I29</xm:sqref>
        </x14:dataValidation>
        <x14:dataValidation xr:uid="{00970058-00A2-4E03-881B-00EA006B003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AI27</xm:sqref>
        </x14:dataValidation>
        <x14:dataValidation xr:uid="{00260069-00C6-4842-9D8E-00D300BF007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AF27</xm:sqref>
        </x14:dataValidation>
        <x14:dataValidation xr:uid="{00DD0098-0095-417F-8843-00AC000E000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AE27</xm:sqref>
        </x14:dataValidation>
        <x14:dataValidation xr:uid="{00830060-0064-4147-AC6A-00070087001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AC27</xm:sqref>
        </x14:dataValidation>
        <x14:dataValidation xr:uid="{006A006A-0091-41ED-B711-0039004B00D0}" type="textLength" allowBlank="1" error="Допускается ввод не более 900 символов!" errorStyle="stop" errorTitle="Ошибка" imeMode="noControl" operator="lessThanOrEqual" showDropDown="0" showErrorMessage="1" showInputMessage="1">
          <x14:formula1>
            <xm:f>900</xm:f>
          </x14:formula1>
          <xm:sqref>K27</xm:sqref>
        </x14:dataValidation>
        <x14:dataValidation xr:uid="{000A00B9-0052-4B04-8172-00E9003D005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J27</xm:sqref>
        </x14:dataValidation>
        <x14:dataValidation xr:uid="{001500BD-00E8-43FB-A1D9-00500065006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I27</xm:sqref>
        </x14:dataValidation>
        <x14:dataValidation xr:uid="{00F8003B-00AF-4C28-AA5B-004E00C4007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AI26</xm:sqref>
        </x14:dataValidation>
        <x14:dataValidation xr:uid="{00570051-0036-4406-AEB4-00CB007400F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AF26</xm:sqref>
        </x14:dataValidation>
        <x14:dataValidation xr:uid="{00ED0082-00A3-488C-A53A-00EA003A0073}" type="textLength" allowBlank="1" error="Допускается ввод не более 900 символов!" errorStyle="stop" errorTitle="Ошибка" imeMode="noControl" operator="lessThanOrEqual" showDropDown="0" showErrorMessage="1" showInputMessage="1">
          <x14:formula1>
            <xm:f>900</xm:f>
          </x14:formula1>
          <xm:sqref>K26</xm:sqref>
        </x14:dataValidation>
        <x14:dataValidation xr:uid="{002B0019-008A-41BB-812E-00CD00D2000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J26</xm:sqref>
        </x14:dataValidation>
        <x14:dataValidation xr:uid="{0011006F-001D-4917-AD83-00E20068004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I26</xm:sqref>
        </x14:dataValidation>
        <x14:dataValidation xr:uid="{00E400EF-0049-4A71-BDAB-00F8003B009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AI25</xm:sqref>
        </x14:dataValidation>
        <x14:dataValidation xr:uid="{008500FD-00DE-457C-A85C-005C00D9008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AF25</xm:sqref>
        </x14:dataValidation>
        <x14:dataValidation xr:uid="{00A30096-00A3-4155-9A26-008900CA00B0}" type="textLength" allowBlank="1" error="Допускается ввод не более 900 символов!" errorStyle="stop" errorTitle="Ошибка" imeMode="noControl" operator="lessThanOrEqual" showDropDown="0" showErrorMessage="1" showInputMessage="1">
          <x14:formula1>
            <xm:f>900</xm:f>
          </x14:formula1>
          <xm:sqref>M25</xm:sqref>
        </x14:dataValidation>
        <x14:dataValidation xr:uid="{00280033-008A-4A96-BC20-001A0079000B}" type="textLength" allowBlank="1" error="Допускается ввод не более 900 символов!" errorStyle="stop" errorTitle="Ошибка" imeMode="noControl" operator="lessThanOrEqual" showDropDown="0" showErrorMessage="1" showInputMessage="1">
          <x14:formula1>
            <xm:f>900</xm:f>
          </x14:formula1>
          <xm:sqref>K25</xm:sqref>
        </x14:dataValidation>
        <x14:dataValidation xr:uid="{00F7001A-00AF-4174-BC4A-00C0002B00C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J25</xm:sqref>
        </x14:dataValidation>
        <x14:dataValidation xr:uid="{0005008A-0003-4754-8351-00060076008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I25</xm:sqref>
        </x14:dataValidation>
        <x14:dataValidation xr:uid="{00C200C6-0007-42B7-9875-0070001400C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AI24</xm:sqref>
        </x14:dataValidation>
        <x14:dataValidation xr:uid="{0030003F-0017-486B-B371-00E400E1008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AF24</xm:sqref>
        </x14:dataValidation>
        <x14:dataValidation xr:uid="{003700AD-0080-47AF-B103-006600FF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AI23</xm:sqref>
        </x14:dataValidation>
        <x14:dataValidation xr:uid="{00850050-00C7-42B7-96F5-003C00B300F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AF23</xm:sqref>
        </x14:dataValidation>
        <x14:dataValidation xr:uid="{00480054-006E-40C8-9544-00A800C100DB}" type="textLength" allowBlank="1" error="Допускается ввод не более 900 символов!" errorStyle="stop" errorTitle="Ошибка" imeMode="noControl" operator="lessThanOrEqual" showDropDown="0" showErrorMessage="1" showInputMessage="1">
          <x14:formula1>
            <xm:f>900</xm:f>
          </x14:formula1>
          <xm:sqref>K23</xm:sqref>
        </x14:dataValidation>
        <x14:dataValidation xr:uid="{009100EA-009D-414F-9568-005E0038004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J23</xm:sqref>
        </x14:dataValidation>
        <x14:dataValidation xr:uid="{00C80083-00F4-4ED1-8760-00470050009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I23</xm:sqref>
        </x14:dataValidation>
        <x14:dataValidation xr:uid="{006200E3-0064-4887-8807-001300C0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xm:sqref>
        </x14:dataValidation>
        <x14:dataValidation xr:uid="{00490035-0048-4DFA-B517-00F4008B002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xm:sqref>
        </x14:dataValidation>
        <x14:dataValidation xr:uid="{00CE0060-00EE-4131-BED7-00040093008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AE22</xm:sqref>
        </x14:dataValidation>
        <x14:dataValidation xr:uid="{004200D8-009D-449B-80E4-001A00A7003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AC22</xm:sqref>
        </x14:dataValidation>
        <x14:dataValidation xr:uid="{00740046-0084-404F-A577-00A100EB005D}" type="textLength" allowBlank="1" error="Допускается ввод не более 900 символов!" errorStyle="stop" errorTitle="Ошибка" imeMode="noControl" operator="lessThanOrEqual" showDropDown="0" showErrorMessage="1" showInputMessage="1">
          <x14:formula1>
            <xm:f>900</xm:f>
          </x14:formula1>
          <xm:sqref>K22</xm:sqref>
        </x14:dataValidation>
        <x14:dataValidation xr:uid="{00020053-0096-4682-963D-0061003A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xm:sqref>
        </x14:dataValidation>
        <x14:dataValidation xr:uid="{00850029-0031-4246-A479-00D10057002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xm:sqref>
        </x14:dataValidation>
        <x14:dataValidation xr:uid="{003E00B6-006D-4BE0-9AA5-0095004300D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xm:sqref>
        </x14:dataValidation>
        <x14:dataValidation xr:uid="{00EB001C-0069-43DB-9C81-00220057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xm:sqref>
        </x14:dataValidation>
        <x14:dataValidation xr:uid="{003E0028-0049-4614-985D-00F5007E00A3}" type="textLength" allowBlank="1" error="Допускается ввод не более 900 символов!" errorStyle="stop" errorTitle="Ошибка" imeMode="noControl" operator="lessThanOrEqual" showDropDown="0" showErrorMessage="1" showInputMessage="1">
          <x14:formula1>
            <xm:f>900</xm:f>
          </x14:formula1>
          <xm:sqref>K21</xm:sqref>
        </x14:dataValidation>
        <x14:dataValidation xr:uid="{0004006B-00C2-462B-AB33-009900FA00A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xm:sqref>
        </x14:dataValidation>
        <x14:dataValidation xr:uid="{00C60024-002D-486D-A607-00770000000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xm:sqref>
        </x14:dataValidation>
        <x14:dataValidation xr:uid="{0053004B-008A-40AF-98AD-006E0046008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xm:sqref>
        </x14:dataValidation>
        <x14:dataValidation xr:uid="{002A005B-00A1-498A-BFA1-00790041000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xm:sqref>
        </x14:dataValidation>
        <x14:dataValidation xr:uid="{00BD00CB-007C-4FB7-8765-001100F5009B}" type="textLength" allowBlank="1" error="Допускается ввод не более 900 символов!" errorStyle="stop" errorTitle="Ошибка" imeMode="noControl" operator="lessThanOrEqual" showDropDown="0" showErrorMessage="1" showInputMessage="1">
          <x14:formula1>
            <xm:f>900</xm:f>
          </x14:formula1>
          <xm:sqref>M20</xm:sqref>
        </x14:dataValidation>
        <x14:dataValidation xr:uid="{00F400B0-00C7-4770-94C5-00A30042007D}" type="textLength" allowBlank="1" error="Допускается ввод не более 900 символов!" errorStyle="stop" errorTitle="Ошибка" imeMode="noControl" operator="lessThanOrEqual" showDropDown="0" showErrorMessage="1" showInputMessage="1">
          <x14:formula1>
            <xm:f>900</xm:f>
          </x14:formula1>
          <xm:sqref>K20</xm:sqref>
        </x14:dataValidation>
        <x14:dataValidation xr:uid="{00B10010-00A0-43A9-A98B-0054001E000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xm:sqref>
        </x14:dataValidation>
        <x14:dataValidation xr:uid="{00C60095-002A-4B2A-8FE7-00CE008900E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xm:sqref>
        </x14:dataValidation>
        <x14:dataValidation xr:uid="{00A00093-0058-4323-B1AD-008D00A6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AI199</xm:sqref>
        </x14:dataValidation>
        <x14:dataValidation xr:uid="{000B00FF-003B-45FD-B5AB-008A0036009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AF199</xm:sqref>
        </x14:dataValidation>
        <x14:dataValidation xr:uid="{00D400B4-00D8-4EF3-B0C7-00C80053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AI198</xm:sqref>
        </x14:dataValidation>
        <x14:dataValidation xr:uid="{00CB0051-00D5-48AC-B087-003F0082006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AF198</xm:sqref>
        </x14:dataValidation>
        <x14:dataValidation xr:uid="{00D1003E-0035-4136-9799-00A200DE007B}" type="textLength" allowBlank="1" error="Допускается ввод не более 900 символов!" errorStyle="stop" errorTitle="Ошибка" imeMode="noControl" operator="lessThanOrEqual" showDropDown="0" showErrorMessage="1" showInputMessage="1">
          <x14:formula1>
            <xm:f>900</xm:f>
          </x14:formula1>
          <xm:sqref>K198</xm:sqref>
        </x14:dataValidation>
        <x14:dataValidation xr:uid="{005D0074-00DA-4F04-B080-00DB00C9006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J198</xm:sqref>
        </x14:dataValidation>
        <x14:dataValidation xr:uid="{007500F6-0014-4714-9DE3-0060003C002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I198</xm:sqref>
        </x14:dataValidation>
        <x14:dataValidation xr:uid="{0086000E-0052-4F0A-91A0-00010035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AI197</xm:sqref>
        </x14:dataValidation>
        <x14:dataValidation xr:uid="{00520038-0063-4AE6-9151-002400B0003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AF197</xm:sqref>
        </x14:dataValidation>
        <x14:dataValidation xr:uid="{001C008D-0030-44EE-976B-00BB0014002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AE197</xm:sqref>
        </x14:dataValidation>
        <x14:dataValidation xr:uid="{009800F6-0034-4A01-BE67-003E00ED006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AC197</xm:sqref>
        </x14:dataValidation>
        <x14:dataValidation xr:uid="{007B00FA-00E9-404A-B93D-00DB00F70069}" type="textLength" allowBlank="1" error="Допускается ввод не более 900 символов!" errorStyle="stop" errorTitle="Ошибка" imeMode="noControl" operator="lessThanOrEqual" showDropDown="0" showErrorMessage="1" showInputMessage="1">
          <x14:formula1>
            <xm:f>900</xm:f>
          </x14:formula1>
          <xm:sqref>K197</xm:sqref>
        </x14:dataValidation>
        <x14:dataValidation xr:uid="{00AD00D2-001B-4981-A1AC-00E2001E009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J197</xm:sqref>
        </x14:dataValidation>
        <x14:dataValidation xr:uid="{002A003A-006B-45BD-BDCD-00DD008D002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I197</xm:sqref>
        </x14:dataValidation>
        <x14:dataValidation xr:uid="{001500F2-00A1-45AC-9BB0-00AB0078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AI196</xm:sqref>
        </x14:dataValidation>
        <x14:dataValidation xr:uid="{0050005E-0083-41B6-AD91-008900CD009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AF196</xm:sqref>
        </x14:dataValidation>
        <x14:dataValidation xr:uid="{008A00D1-00A2-445B-8053-00D0004000A2}" type="textLength" allowBlank="1" error="Допускается ввод не более 900 символов!" errorStyle="stop" errorTitle="Ошибка" imeMode="noControl" operator="lessThanOrEqual" showDropDown="0" showErrorMessage="1" showInputMessage="1">
          <x14:formula1>
            <xm:f>900</xm:f>
          </x14:formula1>
          <xm:sqref>K196</xm:sqref>
        </x14:dataValidation>
        <x14:dataValidation xr:uid="{00720017-00E2-4F19-9DF4-00A800AE003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J196</xm:sqref>
        </x14:dataValidation>
        <x14:dataValidation xr:uid="{00FD001B-00BE-4464-BB17-00CC00C2005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I196</xm:sqref>
        </x14:dataValidation>
        <x14:dataValidation xr:uid="{00CA0092-003E-4C28-978E-00E000A5008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AI195</xm:sqref>
        </x14:dataValidation>
        <x14:dataValidation xr:uid="{00350064-00BF-4D05-BB93-00EE0062007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AF195</xm:sqref>
        </x14:dataValidation>
        <x14:dataValidation xr:uid="{004800F9-003A-4AEE-AABC-0022000C006D}" type="textLength" allowBlank="1" error="Допускается ввод не более 900 символов!" errorStyle="stop" errorTitle="Ошибка" imeMode="noControl" operator="lessThanOrEqual" showDropDown="0" showErrorMessage="1" showInputMessage="1">
          <x14:formula1>
            <xm:f>900</xm:f>
          </x14:formula1>
          <xm:sqref>M195</xm:sqref>
        </x14:dataValidation>
        <x14:dataValidation xr:uid="{000E005D-006A-4083-88AA-004E00C500FC}" type="textLength" allowBlank="1" error="Допускается ввод не более 900 символов!" errorStyle="stop" errorTitle="Ошибка" imeMode="noControl" operator="lessThanOrEqual" showDropDown="0" showErrorMessage="1" showInputMessage="1">
          <x14:formula1>
            <xm:f>900</xm:f>
          </x14:formula1>
          <xm:sqref>K195</xm:sqref>
        </x14:dataValidation>
        <x14:dataValidation xr:uid="{00FA0002-00E1-4F7B-85BF-004F003D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J195</xm:sqref>
        </x14:dataValidation>
        <x14:dataValidation xr:uid="{001C007E-0038-47AF-8EBE-00D400F0004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I195</xm:sqref>
        </x14:dataValidation>
        <x14:dataValidation xr:uid="{00D7007C-009C-49DA-86D5-00A300A0004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AI173</xm:sqref>
        </x14:dataValidation>
        <x14:dataValidation xr:uid="{004300F2-0095-4E34-80BF-003700CA006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AF173</xm:sqref>
        </x14:dataValidation>
        <x14:dataValidation xr:uid="{00670048-007D-4623-8451-007B004200D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AI172</xm:sqref>
        </x14:dataValidation>
        <x14:dataValidation xr:uid="{00990038-002E-4B54-9868-00B0001C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AF172</xm:sqref>
        </x14:dataValidation>
        <x14:dataValidation xr:uid="{00DA0080-0049-4478-B9AE-00CD00DC00CF}" type="textLength" allowBlank="1" error="Допускается ввод не более 900 символов!" errorStyle="stop" errorTitle="Ошибка" imeMode="noControl" operator="lessThanOrEqual" showDropDown="0" showErrorMessage="1" showInputMessage="1">
          <x14:formula1>
            <xm:f>900</xm:f>
          </x14:formula1>
          <xm:sqref>K172</xm:sqref>
        </x14:dataValidation>
        <x14:dataValidation xr:uid="{001F008B-00B1-454D-B073-00BE00B8001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J172</xm:sqref>
        </x14:dataValidation>
        <x14:dataValidation xr:uid="{00F0007E-00B5-4B83-8140-006D000600F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I172</xm:sqref>
        </x14:dataValidation>
        <x14:dataValidation xr:uid="{002C00BF-0045-405D-97A4-000C002E00D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AI171</xm:sqref>
        </x14:dataValidation>
        <x14:dataValidation xr:uid="{00E90073-0056-4ED5-877D-00D5008C002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AF171</xm:sqref>
        </x14:dataValidation>
        <x14:dataValidation xr:uid="{00D6007A-00BC-4FE3-838E-00310032000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AE171</xm:sqref>
        </x14:dataValidation>
        <x14:dataValidation xr:uid="{006F0037-006A-499D-82B2-00EC00E800C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AC171</xm:sqref>
        </x14:dataValidation>
        <x14:dataValidation xr:uid="{00A90022-0054-4188-BB7D-009500430099}" type="textLength" allowBlank="1" error="Допускается ввод не более 900 символов!" errorStyle="stop" errorTitle="Ошибка" imeMode="noControl" operator="lessThanOrEqual" showDropDown="0" showErrorMessage="1" showInputMessage="1">
          <x14:formula1>
            <xm:f>900</xm:f>
          </x14:formula1>
          <xm:sqref>K171</xm:sqref>
        </x14:dataValidation>
        <x14:dataValidation xr:uid="{005B009F-00B6-474D-B212-004300F700E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J171</xm:sqref>
        </x14:dataValidation>
        <x14:dataValidation xr:uid="{005000A1-0031-4E8D-8634-00B600D000E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I171</xm:sqref>
        </x14:dataValidation>
        <x14:dataValidation xr:uid="{00910025-00CD-46F8-A2C3-0096008E001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AI170</xm:sqref>
        </x14:dataValidation>
        <x14:dataValidation xr:uid="{00F00043-00A9-4A0F-818E-008700BA001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AF170</xm:sqref>
        </x14:dataValidation>
        <x14:dataValidation xr:uid="{0025004A-0046-4C3C-8976-00A6008600A1}" type="textLength" allowBlank="1" error="Допускается ввод не более 900 символов!" errorStyle="stop" errorTitle="Ошибка" imeMode="noControl" operator="lessThanOrEqual" showDropDown="0" showErrorMessage="1" showInputMessage="1">
          <x14:formula1>
            <xm:f>900</xm:f>
          </x14:formula1>
          <xm:sqref>K170</xm:sqref>
        </x14:dataValidation>
        <x14:dataValidation xr:uid="{004A00F3-0092-4431-8DFA-00F00000001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J170</xm:sqref>
        </x14:dataValidation>
        <x14:dataValidation xr:uid="{006800AA-0026-4D57-A6EE-0001008A002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I170</xm:sqref>
        </x14:dataValidation>
        <x14:dataValidation xr:uid="{007C00E0-0045-4DDB-B7CE-0002003100E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AI169</xm:sqref>
        </x14:dataValidation>
        <x14:dataValidation xr:uid="{00E3002C-00B4-42CC-8E99-006A0086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AF169</xm:sqref>
        </x14:dataValidation>
        <x14:dataValidation xr:uid="{00CF0031-007A-42AF-85A8-0086001D00B5}" type="textLength" allowBlank="1" error="Допускается ввод не более 900 символов!" errorStyle="stop" errorTitle="Ошибка" imeMode="noControl" operator="lessThanOrEqual" showDropDown="0" showErrorMessage="1" showInputMessage="1">
          <x14:formula1>
            <xm:f>900</xm:f>
          </x14:formula1>
          <xm:sqref>M169</xm:sqref>
        </x14:dataValidation>
        <x14:dataValidation xr:uid="{003900C4-0091-4558-80AF-00E700320004}" type="textLength" allowBlank="1" error="Допускается ввод не более 900 символов!" errorStyle="stop" errorTitle="Ошибка" imeMode="noControl" operator="lessThanOrEqual" showDropDown="0" showErrorMessage="1" showInputMessage="1">
          <x14:formula1>
            <xm:f>900</xm:f>
          </x14:formula1>
          <xm:sqref>K169</xm:sqref>
        </x14:dataValidation>
        <x14:dataValidation xr:uid="{00D6001A-0009-450B-B3AE-002900C600C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J169</xm:sqref>
        </x14:dataValidation>
        <x14:dataValidation xr:uid="{00EE003F-000A-4F39-B71C-00DD0084009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I169</xm:sqref>
        </x14:dataValidation>
        <x14:dataValidation xr:uid="{004400A5-0005-4440-A25A-00D400C6002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AI141</xm:sqref>
        </x14:dataValidation>
        <x14:dataValidation xr:uid="{00E100C9-0063-451E-909D-009F008C003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AF141</xm:sqref>
        </x14:dataValidation>
        <x14:dataValidation xr:uid="{008C000A-0099-40FC-AA34-007F00F3002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AI140</xm:sqref>
        </x14:dataValidation>
        <x14:dataValidation xr:uid="{00190044-0028-40F2-B679-00E900E8001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AF140</xm:sqref>
        </x14:dataValidation>
        <x14:dataValidation xr:uid="{00560072-0094-4F1E-8A76-00EF001900EE}" type="textLength" allowBlank="1" error="Допускается ввод не более 900 символов!" errorStyle="stop" errorTitle="Ошибка" imeMode="noControl" operator="lessThanOrEqual" showDropDown="0" showErrorMessage="1" showInputMessage="1">
          <x14:formula1>
            <xm:f>900</xm:f>
          </x14:formula1>
          <xm:sqref>K140</xm:sqref>
        </x14:dataValidation>
        <x14:dataValidation xr:uid="{009F001F-00AF-4375-A8D2-00E60012002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J140</xm:sqref>
        </x14:dataValidation>
        <x14:dataValidation xr:uid="{0055002B-00DE-4037-9BCD-00D3009E00A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I140</xm:sqref>
        </x14:dataValidation>
        <x14:dataValidation xr:uid="{002B00D1-00F0-473D-BA27-00AB001400C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AI139</xm:sqref>
        </x14:dataValidation>
        <x14:dataValidation xr:uid="{0074007D-00CC-4C54-A9AF-005A00C0000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AF139</xm:sqref>
        </x14:dataValidation>
        <x14:dataValidation xr:uid="{00B500F3-00D2-4513-B9BF-00B3006300D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AE139</xm:sqref>
        </x14:dataValidation>
        <x14:dataValidation xr:uid="{006A00FD-0080-48A4-8A07-005400C6007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AC139</xm:sqref>
        </x14:dataValidation>
        <x14:dataValidation xr:uid="{00A200FD-00F3-4E99-B548-002200A90094}" type="textLength" allowBlank="1" error="Допускается ввод не более 900 символов!" errorStyle="stop" errorTitle="Ошибка" imeMode="noControl" operator="lessThanOrEqual" showDropDown="0" showErrorMessage="1" showInputMessage="1">
          <x14:formula1>
            <xm:f>900</xm:f>
          </x14:formula1>
          <xm:sqref>K139</xm:sqref>
        </x14:dataValidation>
        <x14:dataValidation xr:uid="{0002007C-0047-4F23-B4DE-00C9005700B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J139</xm:sqref>
        </x14:dataValidation>
        <x14:dataValidation xr:uid="{00720073-0049-4501-B0D8-0056002F00A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I139</xm:sqref>
        </x14:dataValidation>
        <x14:dataValidation xr:uid="{00DC001E-0018-4947-B05F-001B00C7000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AI138</xm:sqref>
        </x14:dataValidation>
        <x14:dataValidation xr:uid="{00E800FC-00AA-4B34-A936-00AD004100C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AF138</xm:sqref>
        </x14:dataValidation>
        <x14:dataValidation xr:uid="{00B70027-006B-460D-94C3-00EF00C60001}" type="textLength" allowBlank="1" error="Допускается ввод не более 900 символов!" errorStyle="stop" errorTitle="Ошибка" imeMode="noControl" operator="lessThanOrEqual" showDropDown="0" showErrorMessage="1" showInputMessage="1">
          <x14:formula1>
            <xm:f>900</xm:f>
          </x14:formula1>
          <xm:sqref>K138</xm:sqref>
        </x14:dataValidation>
        <x14:dataValidation xr:uid="{00D5000E-00E8-46C6-A2D4-0075007D009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J138</xm:sqref>
        </x14:dataValidation>
        <x14:dataValidation xr:uid="{000300D3-00A8-4242-9DDB-0089002900A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I138</xm:sqref>
        </x14:dataValidation>
        <x14:dataValidation xr:uid="{002C0005-005A-4F2B-8AD5-005E008000E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AI137</xm:sqref>
        </x14:dataValidation>
        <x14:dataValidation xr:uid="{00FB00E5-0078-4260-A4A7-005100F5002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AF137</xm:sqref>
        </x14:dataValidation>
        <x14:dataValidation xr:uid="{00F10091-00A5-4042-BA2F-0097005A00F5}" type="textLength" allowBlank="1" error="Допускается ввод не более 900 символов!" errorStyle="stop" errorTitle="Ошибка" imeMode="noControl" operator="lessThanOrEqual" showDropDown="0" showErrorMessage="1" showInputMessage="1">
          <x14:formula1>
            <xm:f>900</xm:f>
          </x14:formula1>
          <xm:sqref>M137</xm:sqref>
        </x14:dataValidation>
        <x14:dataValidation xr:uid="{00AB0014-00BB-4AC2-8DA0-00E8001A00CF}" type="textLength" allowBlank="1" error="Допускается ввод не более 900 символов!" errorStyle="stop" errorTitle="Ошибка" imeMode="noControl" operator="lessThanOrEqual" showDropDown="0" showErrorMessage="1" showInputMessage="1">
          <x14:formula1>
            <xm:f>900</xm:f>
          </x14:formula1>
          <xm:sqref>K137</xm:sqref>
        </x14:dataValidation>
        <x14:dataValidation xr:uid="{00ED0093-00CE-4DCD-924F-00C90072003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J137</xm:sqref>
        </x14:dataValidation>
        <x14:dataValidation xr:uid="{0053001F-0000-455D-B0BD-001B00E500C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I137</xm:sqref>
        </x14:dataValidation>
        <x14:dataValidation xr:uid="{002A008D-009F-4C5B-8401-000E00B6005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AI99</xm:sqref>
        </x14:dataValidation>
        <x14:dataValidation xr:uid="{006D0028-0050-4F31-9397-003B007600B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AF99</xm:sqref>
        </x14:dataValidation>
        <x14:dataValidation xr:uid="{0083007D-0068-4CBF-83F3-00D400F100C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AI98</xm:sqref>
        </x14:dataValidation>
        <x14:dataValidation xr:uid="{00F200FD-00C6-4298-9B9C-00A70098004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AF98</xm:sqref>
        </x14:dataValidation>
        <x14:dataValidation xr:uid="{00650002-001B-45AB-9239-008E000C007C}" type="textLength" allowBlank="1" error="Допускается ввод не более 900 символов!" errorStyle="stop" errorTitle="Ошибка" imeMode="noControl" operator="lessThanOrEqual" showDropDown="0" showErrorMessage="1" showInputMessage="1">
          <x14:formula1>
            <xm:f>900</xm:f>
          </x14:formula1>
          <xm:sqref>K98</xm:sqref>
        </x14:dataValidation>
        <x14:dataValidation xr:uid="{00500030-000A-448D-ACBE-00E2003D009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J98</xm:sqref>
        </x14:dataValidation>
        <x14:dataValidation xr:uid="{00BA003D-005C-436D-8200-00DF000500F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I98</xm:sqref>
        </x14:dataValidation>
        <x14:dataValidation xr:uid="{0026007E-0062-4AAA-81A5-006400E400F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AI97</xm:sqref>
        </x14:dataValidation>
        <x14:dataValidation xr:uid="{00B9007F-0000-4528-91B5-00FE000C006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AF97</xm:sqref>
        </x14:dataValidation>
        <x14:dataValidation xr:uid="{0066001B-00AD-486B-9CE0-007C0061003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AE97</xm:sqref>
        </x14:dataValidation>
        <x14:dataValidation xr:uid="{004B00D9-005E-4E57-923F-002000FA00B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AC97</xm:sqref>
        </x14:dataValidation>
        <x14:dataValidation xr:uid="{000D0013-0056-409F-AF90-00D8003D0042}" type="textLength" allowBlank="1" error="Допускается ввод не более 900 символов!" errorStyle="stop" errorTitle="Ошибка" imeMode="noControl" operator="lessThanOrEqual" showDropDown="0" showErrorMessage="1" showInputMessage="1">
          <x14:formula1>
            <xm:f>900</xm:f>
          </x14:formula1>
          <xm:sqref>K97</xm:sqref>
        </x14:dataValidation>
        <x14:dataValidation xr:uid="{004F0044-00A6-4811-AE47-00270011006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J97</xm:sqref>
        </x14:dataValidation>
        <x14:dataValidation xr:uid="{002000D8-0035-4A6E-A3C3-001A00C1000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I97</xm:sqref>
        </x14:dataValidation>
        <x14:dataValidation xr:uid="{009900D2-0018-4356-83CE-003F00F8002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AI96</xm:sqref>
        </x14:dataValidation>
        <x14:dataValidation xr:uid="{00630002-0099-4D00-BE9C-008600AA005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AF96</xm:sqref>
        </x14:dataValidation>
        <x14:dataValidation xr:uid="{00D6000B-0033-4CCF-8D0D-00EE002900AB}" type="textLength" allowBlank="1" error="Допускается ввод не более 900 символов!" errorStyle="stop" errorTitle="Ошибка" imeMode="noControl" operator="lessThanOrEqual" showDropDown="0" showErrorMessage="1" showInputMessage="1">
          <x14:formula1>
            <xm:f>900</xm:f>
          </x14:formula1>
          <xm:sqref>K96</xm:sqref>
        </x14:dataValidation>
        <x14:dataValidation xr:uid="{008A0082-0020-4D5A-AAF5-0048002500F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J96</xm:sqref>
        </x14:dataValidation>
        <x14:dataValidation xr:uid="{002E0008-00E2-44D9-A4D5-001000C1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I96</xm:sqref>
        </x14:dataValidation>
        <x14:dataValidation xr:uid="{00D300F0-0026-4328-BAC2-0023008E008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AI95</xm:sqref>
        </x14:dataValidation>
        <x14:dataValidation xr:uid="{000600F5-009B-4D12-91C2-008F00DF004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AF95</xm:sqref>
        </x14:dataValidation>
        <x14:dataValidation xr:uid="{007700A5-00EA-4E5E-959D-0068003E00C0}" type="textLength" allowBlank="1" error="Допускается ввод не более 900 символов!" errorStyle="stop" errorTitle="Ошибка" imeMode="noControl" operator="lessThanOrEqual" showDropDown="0" showErrorMessage="1" showInputMessage="1">
          <x14:formula1>
            <xm:f>900</xm:f>
          </x14:formula1>
          <xm:sqref>M95</xm:sqref>
        </x14:dataValidation>
        <x14:dataValidation xr:uid="{002400B2-00EF-4A98-831A-00E700B500AB}" type="textLength" allowBlank="1" error="Допускается ввод не более 900 символов!" errorStyle="stop" errorTitle="Ошибка" imeMode="noControl" operator="lessThanOrEqual" showDropDown="0" showErrorMessage="1" showInputMessage="1">
          <x14:formula1>
            <xm:f>900</xm:f>
          </x14:formula1>
          <xm:sqref>K95</xm:sqref>
        </x14:dataValidation>
        <x14:dataValidation xr:uid="{004B0079-00A2-44FC-9163-00B100D6007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J95</xm:sqref>
        </x14:dataValidation>
        <x14:dataValidation xr:uid="{00640099-0060-4BA3-A628-006A0008008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I95</xm:sqref>
        </x14:dataValidation>
        <x14:dataValidation xr:uid="{00960074-0024-43EB-9B55-007F0001009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AI62</xm:sqref>
        </x14:dataValidation>
        <x14:dataValidation xr:uid="{00C80096-00CC-414A-AA2F-001A005B00D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AF62</xm:sqref>
        </x14:dataValidation>
        <x14:dataValidation xr:uid="{006A00EA-00E7-4EE9-80F2-006E004700A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AI61</xm:sqref>
        </x14:dataValidation>
        <x14:dataValidation xr:uid="{005200F7-0096-46B4-9D72-00FD005400F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AF61</xm:sqref>
        </x14:dataValidation>
        <x14:dataValidation xr:uid="{00740018-00C3-489A-BD08-004F00760097}" type="textLength" allowBlank="1" error="Допускается ввод не более 900 символов!" errorStyle="stop" errorTitle="Ошибка" imeMode="noControl" operator="lessThanOrEqual" showDropDown="0" showErrorMessage="1" showInputMessage="1">
          <x14:formula1>
            <xm:f>900</xm:f>
          </x14:formula1>
          <xm:sqref>K61</xm:sqref>
        </x14:dataValidation>
        <x14:dataValidation xr:uid="{00A10031-007B-46FF-BA49-00E50032001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J61</xm:sqref>
        </x14:dataValidation>
        <x14:dataValidation xr:uid="{00770017-002A-4687-8270-0040009F00C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I61</xm:sqref>
        </x14:dataValidation>
        <x14:dataValidation xr:uid="{00420085-0002-46AB-8ACE-000A0014007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AI60</xm:sqref>
        </x14:dataValidation>
        <x14:dataValidation xr:uid="{00B50087-00DD-4397-AB8B-00C500D4007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AF60</xm:sqref>
        </x14:dataValidation>
        <x14:dataValidation xr:uid="{00AB00B0-004F-4AE8-BEE3-001E006C001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AE60</xm:sqref>
        </x14:dataValidation>
        <x14:dataValidation xr:uid="{009900EC-006E-471A-ABB6-005700F000E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AC60</xm:sqref>
        </x14:dataValidation>
        <x14:dataValidation xr:uid="{00710070-0051-46F9-9B8D-00CC00F70083}" type="textLength" allowBlank="1" error="Допускается ввод не более 900 символов!" errorStyle="stop" errorTitle="Ошибка" imeMode="noControl" operator="lessThanOrEqual" showDropDown="0" showErrorMessage="1" showInputMessage="1">
          <x14:formula1>
            <xm:f>900</xm:f>
          </x14:formula1>
          <xm:sqref>K60</xm:sqref>
        </x14:dataValidation>
        <x14:dataValidation xr:uid="{00230073-000B-4C13-895A-00840035002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J60</xm:sqref>
        </x14:dataValidation>
        <x14:dataValidation xr:uid="{00CE000B-00E2-46E0-979D-00320091007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I60</xm:sqref>
        </x14:dataValidation>
        <x14:dataValidation xr:uid="{00540086-0030-43D1-8FD1-0044006200D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AI59</xm:sqref>
        </x14:dataValidation>
        <x14:dataValidation xr:uid="{00CA0092-00F2-41A4-BA3E-00820052002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AF59</xm:sqref>
        </x14:dataValidation>
        <x14:dataValidation xr:uid="{009A005E-00FA-4822-9DA6-008700160028}" type="textLength" allowBlank="1" error="Допускается ввод не более 900 символов!" errorStyle="stop" errorTitle="Ошибка" imeMode="noControl" operator="lessThanOrEqual" showDropDown="0" showErrorMessage="1" showInputMessage="1">
          <x14:formula1>
            <xm:f>900</xm:f>
          </x14:formula1>
          <xm:sqref>K59</xm:sqref>
        </x14:dataValidation>
        <x14:dataValidation xr:uid="{0045003A-0005-4672-81C5-00FA0090008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J59</xm:sqref>
        </x14:dataValidation>
        <x14:dataValidation xr:uid="{00D6008C-00B9-41AE-9CDC-0033007E006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I59</xm:sqref>
        </x14:dataValidation>
        <x14:dataValidation xr:uid="{0029007A-0088-4001-992F-00F6000E000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AI58</xm:sqref>
        </x14:dataValidation>
        <x14:dataValidation xr:uid="{0087005B-00C2-45FC-9F2C-00640001009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AF58</xm:sqref>
        </x14:dataValidation>
        <x14:dataValidation xr:uid="{00C1000A-002D-445A-B347-00F300550052}" type="textLength" allowBlank="1" error="Допускается ввод не более 900 символов!" errorStyle="stop" errorTitle="Ошибка" imeMode="noControl" operator="lessThanOrEqual" showDropDown="0" showErrorMessage="1" showInputMessage="1">
          <x14:formula1>
            <xm:f>900</xm:f>
          </x14:formula1>
          <xm:sqref>M58</xm:sqref>
        </x14:dataValidation>
        <x14:dataValidation xr:uid="{0002002F-0086-4EF6-8469-00FA003D00AB}" type="textLength" allowBlank="1" error="Допускается ввод не более 900 символов!" errorStyle="stop" errorTitle="Ошибка" imeMode="noControl" operator="lessThanOrEqual" showDropDown="0" showErrorMessage="1" showInputMessage="1">
          <x14:formula1>
            <xm:f>900</xm:f>
          </x14:formula1>
          <xm:sqref>K58</xm:sqref>
        </x14:dataValidation>
        <x14:dataValidation xr:uid="{004D00BF-002C-45AE-A4D8-00B20026009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J58</xm:sqref>
        </x14:dataValidation>
        <x14:dataValidation xr:uid="{003700B1-0069-42E5-8095-000E0023002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I58</xm:sqref>
        </x14:dataValidation>
        <x14:dataValidation xr:uid="{007C00DA-0005-42D1-A8DA-00FB00A400B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xm:sqref>
        </x14:dataValidation>
        <x14:dataValidation xr:uid="{00EF003B-0005-495A-8E17-00D600D4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xm:sqref>
        </x14:dataValidation>
        <x14:dataValidation xr:uid="{00480027-0044-4C1A-94BB-008500EE002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xm:sqref>
        </x14:dataValidation>
        <x14:dataValidation xr:uid="{005E0083-0024-4C9F-BD93-00720036006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xm:sqref>
        </x14:dataValidation>
        <x14:dataValidation xr:uid="{00C70016-0050-4584-9C3F-0076007F00C8}" type="textLength" allowBlank="1" error="Допускается ввод не более 900 символов!" errorStyle="stop" errorTitle="Ошибка" imeMode="noControl" operator="lessThanOrEqual" showDropDown="0" showErrorMessage="1" showInputMessage="1">
          <x14:formula1>
            <xm:f>900</xm:f>
          </x14:formula1>
          <xm:sqref>K18</xm:sqref>
        </x14:dataValidation>
        <x14:dataValidation xr:uid="{001D006E-003B-42F2-AF98-000000EC002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xm:sqref>
        </x14:dataValidation>
        <x14:dataValidation xr:uid="{00A0008C-001F-4638-B98F-00F700F4002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xm:sqref>
        </x14:dataValidation>
        <x14:dataValidation xr:uid="{00EB0052-0070-4723-8335-00EC00FF005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xm:sqref>
        </x14:dataValidation>
        <x14:dataValidation xr:uid="{003E003A-009C-4819-9A65-008500C900E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xm:sqref>
        </x14:dataValidation>
        <x14:dataValidation xr:uid="{009F0098-002B-4F76-B59A-00BD003A008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AE17</xm:sqref>
        </x14:dataValidation>
        <x14:dataValidation xr:uid="{000300F8-0070-47AE-BEF4-00E3008F001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AC17</xm:sqref>
        </x14:dataValidation>
        <x14:dataValidation xr:uid="{0043007D-004A-4254-9F14-00F800E4006F}" type="textLength" allowBlank="1" error="Допускается ввод не более 900 символов!" errorStyle="stop" errorTitle="Ошибка" imeMode="noControl" operator="lessThanOrEqual" showDropDown="0" showErrorMessage="1" showInputMessage="1">
          <x14:formula1>
            <xm:f>900</xm:f>
          </x14:formula1>
          <xm:sqref>K17</xm:sqref>
        </x14:dataValidation>
        <x14:dataValidation xr:uid="{0027006B-00F1-4D9F-A1D1-00B70003001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xm:sqref>
        </x14:dataValidation>
        <x14:dataValidation xr:uid="{00730041-003A-4253-8BBD-00A20028002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xm:sqref>
        </x14:dataValidation>
        <x14:dataValidation xr:uid="{0004007B-00C3-4F95-9D93-00CB002500C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xm:sqref>
        </x14:dataValidation>
        <x14:dataValidation xr:uid="{00D1003F-0013-40BE-ACDF-00960073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xm:sqref>
        </x14:dataValidation>
        <x14:dataValidation xr:uid="{001400DD-0069-46E8-A823-00FE00F60016}" type="textLength" allowBlank="1" error="Допускается ввод не более 900 символов!" errorStyle="stop" errorTitle="Ошибка" imeMode="noControl" operator="lessThanOrEqual" showDropDown="0" showErrorMessage="1" showInputMessage="1">
          <x14:formula1>
            <xm:f>900</xm:f>
          </x14:formula1>
          <xm:sqref>K16</xm:sqref>
        </x14:dataValidation>
        <x14:dataValidation xr:uid="{00820058-00F7-48B9-B91B-00B6007F009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xm:sqref>
        </x14:dataValidation>
        <x14:dataValidation xr:uid="{008D00B5-0076-48E6-A6D8-00FA0023001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xm:sqref>
        </x14:dataValidation>
        <x14:dataValidation xr:uid="{00750079-00C9-465F-AF0D-0089004B00E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xm:sqref>
        </x14:dataValidation>
        <x14:dataValidation xr:uid="{007200BB-0008-4EE1-AB5F-002B007700B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xm:sqref>
        </x14:dataValidation>
        <x14:dataValidation xr:uid="{008500C2-00AF-4969-AA50-005700710087}" type="textLength" allowBlank="1" error="Допускается ввод не более 900 символов!" errorStyle="stop" errorTitle="Ошибка" imeMode="noControl" operator="lessThanOrEqual" showDropDown="0" showErrorMessage="1" showInputMessage="1">
          <x14:formula1>
            <xm:f>900</xm:f>
          </x14:formula1>
          <xm:sqref>M15</xm:sqref>
        </x14:dataValidation>
        <x14:dataValidation xr:uid="{001C0046-00EC-4633-8FFF-003700BD00D2}" type="textLength" allowBlank="1" error="Допускается ввод не более 900 символов!" errorStyle="stop" errorTitle="Ошибка" imeMode="noControl" operator="lessThanOrEqual" showDropDown="0" showErrorMessage="1" showInputMessage="1">
          <x14:formula1>
            <xm:f>900</xm:f>
          </x14:formula1>
          <xm:sqref>K15</xm:sqref>
        </x14:dataValidation>
        <x14:dataValidation xr:uid="{0058000C-003D-4F98-8469-00C400CF003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xm:sqref>
        </x14:dataValidation>
        <x14:dataValidation xr:uid="{00C60008-00BB-4C3F-8762-00FF003700B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Q1" activeCellId="0" sqref="Q1:Q59"/>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hidden="1" min="11" max="17" style="50" width="21.7109375"/>
    <col customWidth="1" min="18" max="18" style="50" width="0.140625"/>
    <col customWidth="1" min="19" max="19" style="50" width="1.00390625"/>
    <col customWidth="1" min="20" max="30" style="50" width="8.00390625"/>
    <col hidden="1" min="31" max="31" style="50" width="9.140625"/>
  </cols>
  <sheetData>
    <row r="1" s="53" customFormat="1" ht="10.5" hidden="1" customHeight="1">
      <c r="A1" s="124"/>
      <c r="B1" s="124"/>
      <c r="C1" s="124"/>
      <c r="E1" s="53"/>
      <c r="K1" s="53"/>
      <c r="L1" s="53"/>
      <c r="M1" s="53"/>
      <c r="N1" s="53"/>
      <c r="O1" s="53"/>
      <c r="P1" s="53"/>
      <c r="Q1" s="53"/>
      <c r="R1" s="53"/>
      <c r="AE1" s="53" t="s">
        <v>14</v>
      </c>
    </row>
    <row r="2" ht="10.5" hidden="1" customHeight="1">
      <c r="K2" s="50"/>
      <c r="L2" s="50"/>
      <c r="M2" s="50"/>
      <c r="N2" s="50"/>
      <c r="O2" s="50"/>
      <c r="P2" s="50"/>
      <c r="Q2" s="50"/>
      <c r="R2" s="50"/>
      <c r="AE2" s="50">
        <v>0</v>
      </c>
    </row>
    <row r="3" s="56" customFormat="1" ht="10.5" hidden="1" customHeight="1">
      <c r="A3" s="124"/>
      <c r="B3" s="124"/>
      <c r="C3" s="124"/>
      <c r="D3" s="53"/>
      <c r="E3" s="56"/>
      <c r="K3" s="56"/>
      <c r="L3" s="56"/>
      <c r="M3" s="56"/>
      <c r="N3" s="56"/>
      <c r="O3" s="56"/>
      <c r="P3" s="56"/>
      <c r="Q3" s="56"/>
      <c r="R3" s="56"/>
      <c r="AE3" s="56">
        <v>0</v>
      </c>
    </row>
    <row r="4" ht="3" customHeight="1">
      <c r="K4" s="50"/>
      <c r="L4" s="50"/>
      <c r="M4" s="50"/>
      <c r="N4" s="50"/>
      <c r="O4" s="50"/>
      <c r="P4" s="50"/>
      <c r="Q4" s="50"/>
      <c r="R4" s="50"/>
      <c r="AE4" s="50">
        <v>3</v>
      </c>
    </row>
    <row r="5" ht="27.300000000000001" customHeight="1">
      <c r="F5" s="452"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52"/>
      <c r="H5" s="452"/>
      <c r="I5" s="452"/>
      <c r="J5" s="452"/>
      <c r="K5" s="452"/>
      <c r="L5" s="452"/>
      <c r="M5" s="452"/>
      <c r="N5" s="452"/>
      <c r="O5" s="452"/>
      <c r="P5" s="452"/>
      <c r="Q5" s="452"/>
      <c r="R5" s="452"/>
      <c r="AE5" s="50">
        <v>26</v>
      </c>
    </row>
    <row r="6" ht="10.5" customHeight="1">
      <c r="F6" s="303" t="str">
        <f>IF(org=0,"Не определено",org)</f>
        <v xml:space="preserve">АО "ДГК" СП "Биробиджанская ТЭЦ"</v>
      </c>
      <c r="G6" s="303"/>
      <c r="H6" s="303"/>
      <c r="I6" s="303"/>
      <c r="J6" s="303"/>
      <c r="K6" s="303"/>
      <c r="L6" s="303"/>
      <c r="M6" s="303"/>
      <c r="N6" s="303"/>
      <c r="O6" s="303"/>
      <c r="P6" s="303"/>
      <c r="Q6" s="303"/>
      <c r="R6" s="303"/>
      <c r="AE6" s="50">
        <v>10</v>
      </c>
    </row>
    <row r="7" ht="11.5" customHeight="1">
      <c r="E7" s="91"/>
      <c r="F7" s="976"/>
      <c r="G7" s="976"/>
      <c r="H7" s="976"/>
      <c r="I7" s="976"/>
      <c r="J7" s="976"/>
      <c r="K7" s="976" t="s">
        <v>22</v>
      </c>
      <c r="L7" s="976"/>
      <c r="M7" s="976" t="s">
        <v>22</v>
      </c>
      <c r="N7" s="976" t="s">
        <v>22</v>
      </c>
      <c r="O7" s="976" t="s">
        <v>22</v>
      </c>
      <c r="P7" s="976" t="s">
        <v>22</v>
      </c>
      <c r="Q7" s="976" t="s">
        <v>22</v>
      </c>
      <c r="R7" s="976"/>
      <c r="S7" s="143"/>
      <c r="T7" s="143"/>
      <c r="U7" s="143"/>
      <c r="V7" s="143"/>
      <c r="W7" s="143"/>
      <c r="X7" s="143"/>
      <c r="Y7" s="143"/>
      <c r="Z7" s="143"/>
      <c r="AA7" s="143"/>
      <c r="AB7" s="143"/>
      <c r="AC7" s="143"/>
      <c r="AD7" s="143"/>
      <c r="AE7" s="50">
        <v>11</v>
      </c>
    </row>
    <row r="8" s="57" customFormat="1" ht="4.2000000000000002" customHeight="1">
      <c r="A8" s="531"/>
      <c r="B8" s="531"/>
      <c r="C8" s="531"/>
      <c r="E8" s="167"/>
      <c r="F8" s="977"/>
      <c r="G8" s="977"/>
      <c r="H8" s="977"/>
      <c r="I8" s="977"/>
      <c r="J8" s="977"/>
      <c r="K8" s="977" t="s">
        <v>989</v>
      </c>
      <c r="L8" s="977"/>
      <c r="M8" s="977"/>
      <c r="N8" s="977"/>
      <c r="O8" s="977"/>
      <c r="P8" s="977"/>
      <c r="Q8" s="977"/>
      <c r="R8" s="977"/>
      <c r="S8" s="167"/>
      <c r="T8" s="167"/>
      <c r="U8" s="167"/>
      <c r="V8" s="167"/>
      <c r="W8" s="167"/>
      <c r="X8" s="167"/>
      <c r="Y8" s="167"/>
      <c r="Z8" s="167"/>
      <c r="AA8" s="167"/>
      <c r="AB8" s="167"/>
      <c r="AC8" s="167"/>
      <c r="AD8" s="167"/>
      <c r="AE8" s="57">
        <v>4</v>
      </c>
    </row>
    <row r="9" ht="10.5" customHeight="1">
      <c r="E9" s="91"/>
      <c r="F9" s="978" t="s">
        <v>295</v>
      </c>
      <c r="G9" s="979"/>
      <c r="H9" s="979"/>
      <c r="I9" s="979"/>
      <c r="J9" s="979"/>
      <c r="K9" s="979"/>
      <c r="L9" s="979"/>
      <c r="M9" s="979"/>
      <c r="N9" s="979"/>
      <c r="O9" s="979"/>
      <c r="P9" s="979"/>
      <c r="Q9" s="979"/>
      <c r="R9" s="979"/>
      <c r="S9" s="980"/>
      <c r="T9" s="143"/>
      <c r="U9" s="143"/>
      <c r="V9" s="143"/>
      <c r="W9" s="143"/>
      <c r="X9" s="143"/>
      <c r="Y9" s="143"/>
      <c r="Z9" s="143"/>
      <c r="AA9" s="143"/>
      <c r="AB9" s="143"/>
      <c r="AC9" s="143"/>
      <c r="AD9" s="143"/>
      <c r="AE9" s="50">
        <v>10</v>
      </c>
    </row>
    <row r="10" ht="25.199999999999999" customHeight="1">
      <c r="E10" s="143"/>
      <c r="F10" s="981" t="s">
        <v>88</v>
      </c>
      <c r="G10" s="251" t="s">
        <v>1059</v>
      </c>
      <c r="H10" s="430" t="s">
        <v>1060</v>
      </c>
      <c r="I10" s="430"/>
      <c r="J10" s="430"/>
      <c r="K10" s="430" t="s">
        <v>1060</v>
      </c>
      <c r="L10" s="430"/>
      <c r="M10" s="430"/>
      <c r="N10" s="430"/>
      <c r="O10" s="430"/>
      <c r="P10" s="430"/>
      <c r="Q10" s="430"/>
      <c r="R10" s="430"/>
      <c r="S10" s="982"/>
      <c r="T10" s="143"/>
      <c r="U10" s="143"/>
      <c r="V10" s="143"/>
      <c r="W10" s="143"/>
      <c r="X10" s="143"/>
      <c r="Y10" s="143"/>
      <c r="Z10" s="143"/>
      <c r="AA10" s="143"/>
      <c r="AB10" s="143"/>
      <c r="AC10" s="143"/>
      <c r="AD10" s="143"/>
      <c r="AE10" s="50">
        <v>24</v>
      </c>
    </row>
    <row r="11" ht="25.5" customHeight="1">
      <c r="E11" s="143"/>
      <c r="F11" s="983"/>
      <c r="G11" s="251"/>
      <c r="H11" s="984" t="e">
        <f>INDEX(IP_MAIN_LIST_NAME_IP,MATCH(H8,IP_MAIN_LIST_IP_ID,0))&amp;" ("&amp;INDEX(IP_MAIN_START_DATE,MATCH(H8,IP_MAIN_LIST_IP_ID,0))&amp;"-"&amp;INDEX(IP_MAIN_END_DATE,MATCH(H8,IP_MAIN_LIST_IP_ID,0))&amp;")"</f>
        <v>#VALUE!</v>
      </c>
      <c r="I11" s="984"/>
      <c r="J11" s="984"/>
      <c r="K11" s="984" t="str">
        <f>INDEX(IP_MAIN_LIST_NAME_IP,MATCH(K8,IP_MAIN_LIST_IP_ID,0))&amp;" ("&amp;INDEX(IP_MAIN_START_DATE,MATCH(K8,IP_MAIN_LIST_IP_ID,0))&amp;"-"&amp;INDEX(IP_MAIN_END_DATE,MATCH(K8,IP_MAIN_LIST_IP_ID,0))&amp;")"</f>
        <v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L11" s="984"/>
      <c r="M11" s="984"/>
      <c r="N11" s="984"/>
      <c r="O11" s="984"/>
      <c r="P11" s="984"/>
      <c r="Q11" s="984"/>
      <c r="R11" s="984"/>
      <c r="S11" s="982"/>
      <c r="T11" s="143"/>
      <c r="U11" s="143"/>
      <c r="V11" s="143"/>
      <c r="W11" s="143"/>
      <c r="X11" s="143"/>
      <c r="Y11" s="143"/>
      <c r="Z11" s="143"/>
      <c r="AA11" s="143"/>
      <c r="AB11" s="143"/>
      <c r="AC11" s="143"/>
      <c r="AD11" s="143"/>
      <c r="AE11" s="50">
        <v>24</v>
      </c>
    </row>
    <row r="12" ht="10.5" customHeight="1">
      <c r="F12" s="985"/>
      <c r="G12" s="251"/>
      <c r="H12" s="251" t="s">
        <v>1061</v>
      </c>
      <c r="I12" s="986"/>
      <c r="J12" s="251"/>
      <c r="K12" s="251" t="s">
        <v>1061</v>
      </c>
      <c r="L12" s="986">
        <v>2025</v>
      </c>
      <c r="M12" s="986">
        <v>2026</v>
      </c>
      <c r="N12" s="986">
        <v>2027</v>
      </c>
      <c r="O12" s="986">
        <v>2028</v>
      </c>
      <c r="P12" s="986">
        <v>2029</v>
      </c>
      <c r="Q12" s="986">
        <v>2030</v>
      </c>
      <c r="R12" s="251"/>
      <c r="S12" s="919"/>
      <c r="AE12" s="50">
        <v>10</v>
      </c>
    </row>
    <row r="13" ht="10.5" hidden="1" customHeight="1">
      <c r="F13" s="251">
        <v>1</v>
      </c>
      <c r="G13" s="251">
        <v>2</v>
      </c>
      <c r="H13" s="251">
        <v>3</v>
      </c>
      <c r="I13" s="251">
        <v>4</v>
      </c>
      <c r="J13" s="251">
        <v>5</v>
      </c>
      <c r="K13" s="251">
        <v>3</v>
      </c>
      <c r="L13" s="251">
        <v>4</v>
      </c>
      <c r="M13" s="251">
        <v>4</v>
      </c>
      <c r="N13" s="251">
        <v>4</v>
      </c>
      <c r="O13" s="251">
        <v>4</v>
      </c>
      <c r="P13" s="251">
        <v>4</v>
      </c>
      <c r="Q13" s="251">
        <v>4</v>
      </c>
      <c r="R13" s="251">
        <v>5</v>
      </c>
      <c r="S13" s="919"/>
      <c r="AE13" s="50">
        <v>0</v>
      </c>
    </row>
    <row r="14" ht="11.5" customHeight="1">
      <c r="F14" s="430" t="s">
        <v>1062</v>
      </c>
      <c r="G14" s="841" t="s">
        <v>1063</v>
      </c>
      <c r="H14" s="841"/>
      <c r="I14" s="841"/>
      <c r="J14" s="841"/>
      <c r="K14" s="841"/>
      <c r="L14" s="841"/>
      <c r="M14" s="841"/>
      <c r="N14" s="841"/>
      <c r="O14" s="841"/>
      <c r="P14" s="841"/>
      <c r="Q14" s="841"/>
      <c r="R14" s="841"/>
      <c r="S14" s="919"/>
      <c r="AE14" s="50">
        <v>11</v>
      </c>
    </row>
    <row r="15" ht="11.5" customHeight="1">
      <c r="F15" s="251">
        <v>1</v>
      </c>
      <c r="G15" s="379" t="s">
        <v>1064</v>
      </c>
      <c r="H15" s="987">
        <f t="shared" ref="H15:H58" si="52">SUM(I15:J15)</f>
        <v>0</v>
      </c>
      <c r="I15" s="987">
        <f>SUM(I16:I27)</f>
        <v>0</v>
      </c>
      <c r="J15" s="430"/>
      <c r="K15" s="987">
        <f t="shared" ref="K15:K58" si="53">SUM(L15:R15)</f>
        <v>0</v>
      </c>
      <c r="L15" s="987">
        <f>SUM(L16:L27)</f>
        <v>0</v>
      </c>
      <c r="M15" s="987">
        <f>SUM(M16:M27)</f>
        <v>0</v>
      </c>
      <c r="N15" s="987">
        <f>SUM(N16:N27)</f>
        <v>0</v>
      </c>
      <c r="O15" s="987">
        <f>SUM(O16:O27)</f>
        <v>0</v>
      </c>
      <c r="P15" s="987">
        <f>SUM(P16:P27)</f>
        <v>0</v>
      </c>
      <c r="Q15" s="987">
        <f>SUM(Q16:Q27)</f>
        <v>0</v>
      </c>
      <c r="R15" s="430"/>
      <c r="S15" s="919"/>
      <c r="AE15" s="50">
        <v>11</v>
      </c>
    </row>
    <row r="16" ht="24" customHeight="1">
      <c r="F16" s="251" t="s">
        <v>1065</v>
      </c>
      <c r="G16" s="840" t="s">
        <v>1066</v>
      </c>
      <c r="H16" s="987">
        <f t="shared" si="52"/>
        <v>0</v>
      </c>
      <c r="I16" s="988"/>
      <c r="J16" s="430"/>
      <c r="K16" s="987">
        <f t="shared" si="53"/>
        <v>0</v>
      </c>
      <c r="L16" s="988"/>
      <c r="M16" s="988"/>
      <c r="N16" s="988"/>
      <c r="O16" s="988"/>
      <c r="P16" s="988"/>
      <c r="Q16" s="988"/>
      <c r="R16" s="430"/>
      <c r="S16" s="919"/>
      <c r="AE16" s="50">
        <v>23</v>
      </c>
    </row>
    <row r="17" ht="24" customHeight="1">
      <c r="F17" s="251" t="s">
        <v>1067</v>
      </c>
      <c r="G17" s="840" t="s">
        <v>1068</v>
      </c>
      <c r="H17" s="987">
        <f t="shared" si="52"/>
        <v>0</v>
      </c>
      <c r="I17" s="988"/>
      <c r="J17" s="430"/>
      <c r="K17" s="987">
        <f t="shared" si="53"/>
        <v>0</v>
      </c>
      <c r="L17" s="988"/>
      <c r="M17" s="988"/>
      <c r="N17" s="988"/>
      <c r="O17" s="988"/>
      <c r="P17" s="988"/>
      <c r="Q17" s="988"/>
      <c r="R17" s="430"/>
      <c r="S17" s="919"/>
      <c r="AE17" s="50">
        <v>23</v>
      </c>
    </row>
    <row r="18" ht="35.649999999999999" customHeight="1">
      <c r="F18" s="251" t="s">
        <v>1069</v>
      </c>
      <c r="G18" s="840" t="s">
        <v>1070</v>
      </c>
      <c r="H18" s="987">
        <f t="shared" si="52"/>
        <v>0</v>
      </c>
      <c r="I18" s="988"/>
      <c r="J18" s="430"/>
      <c r="K18" s="987">
        <f t="shared" si="53"/>
        <v>0</v>
      </c>
      <c r="L18" s="988"/>
      <c r="M18" s="988"/>
      <c r="N18" s="988"/>
      <c r="O18" s="988"/>
      <c r="P18" s="988"/>
      <c r="Q18" s="988"/>
      <c r="R18" s="430"/>
      <c r="S18" s="919"/>
      <c r="AE18" s="50">
        <v>34</v>
      </c>
    </row>
    <row r="19" ht="35.649999999999999" customHeight="1">
      <c r="F19" s="251" t="s">
        <v>1071</v>
      </c>
      <c r="G19" s="840" t="s">
        <v>1072</v>
      </c>
      <c r="H19" s="987">
        <f t="shared" si="52"/>
        <v>0</v>
      </c>
      <c r="I19" s="988"/>
      <c r="J19" s="430"/>
      <c r="K19" s="987">
        <f t="shared" si="53"/>
        <v>0</v>
      </c>
      <c r="L19" s="988"/>
      <c r="M19" s="988"/>
      <c r="N19" s="988"/>
      <c r="O19" s="988"/>
      <c r="P19" s="988"/>
      <c r="Q19" s="988"/>
      <c r="R19" s="430"/>
      <c r="S19" s="919"/>
      <c r="AE19" s="50">
        <v>34</v>
      </c>
    </row>
    <row r="20" ht="48.25" customHeight="1">
      <c r="F20" s="251" t="s">
        <v>1073</v>
      </c>
      <c r="G20" s="840" t="s">
        <v>1074</v>
      </c>
      <c r="H20" s="987">
        <f t="shared" si="52"/>
        <v>0</v>
      </c>
      <c r="I20" s="988"/>
      <c r="J20" s="430"/>
      <c r="K20" s="987">
        <f t="shared" si="53"/>
        <v>0</v>
      </c>
      <c r="L20" s="988"/>
      <c r="M20" s="988"/>
      <c r="N20" s="988"/>
      <c r="O20" s="988"/>
      <c r="P20" s="988"/>
      <c r="Q20" s="988"/>
      <c r="R20" s="430"/>
      <c r="S20" s="919"/>
      <c r="AE20" s="50">
        <v>46</v>
      </c>
    </row>
    <row r="21" ht="35.649999999999999" customHeight="1">
      <c r="F21" s="251" t="s">
        <v>1075</v>
      </c>
      <c r="G21" s="840" t="s">
        <v>1076</v>
      </c>
      <c r="H21" s="987">
        <f t="shared" si="52"/>
        <v>0</v>
      </c>
      <c r="I21" s="988"/>
      <c r="J21" s="430"/>
      <c r="K21" s="987">
        <f t="shared" si="53"/>
        <v>0</v>
      </c>
      <c r="L21" s="988"/>
      <c r="M21" s="988"/>
      <c r="N21" s="988"/>
      <c r="O21" s="988"/>
      <c r="P21" s="988"/>
      <c r="Q21" s="988"/>
      <c r="R21" s="430"/>
      <c r="S21" s="919"/>
      <c r="AE21" s="50">
        <v>34</v>
      </c>
    </row>
    <row r="22" ht="35.649999999999999" customHeight="1">
      <c r="F22" s="251" t="s">
        <v>1077</v>
      </c>
      <c r="G22" s="840" t="s">
        <v>1078</v>
      </c>
      <c r="H22" s="987">
        <f t="shared" si="52"/>
        <v>0</v>
      </c>
      <c r="I22" s="988"/>
      <c r="J22" s="430"/>
      <c r="K22" s="987">
        <f t="shared" si="53"/>
        <v>0</v>
      </c>
      <c r="L22" s="988"/>
      <c r="M22" s="988"/>
      <c r="N22" s="988"/>
      <c r="O22" s="988"/>
      <c r="P22" s="988"/>
      <c r="Q22" s="988"/>
      <c r="R22" s="430"/>
      <c r="S22" s="919"/>
      <c r="AE22" s="50">
        <v>34</v>
      </c>
    </row>
    <row r="23" ht="24" customHeight="1">
      <c r="F23" s="251" t="s">
        <v>1079</v>
      </c>
      <c r="G23" s="840" t="s">
        <v>1080</v>
      </c>
      <c r="H23" s="987">
        <f t="shared" si="52"/>
        <v>0</v>
      </c>
      <c r="I23" s="988"/>
      <c r="J23" s="430"/>
      <c r="K23" s="987">
        <f t="shared" si="53"/>
        <v>0</v>
      </c>
      <c r="L23" s="988"/>
      <c r="M23" s="988"/>
      <c r="N23" s="988"/>
      <c r="O23" s="988"/>
      <c r="P23" s="988"/>
      <c r="Q23" s="988"/>
      <c r="R23" s="430"/>
      <c r="S23" s="919"/>
      <c r="AE23" s="50">
        <v>23</v>
      </c>
    </row>
    <row r="24" ht="24" customHeight="1">
      <c r="F24" s="251" t="s">
        <v>1081</v>
      </c>
      <c r="G24" s="840" t="s">
        <v>1082</v>
      </c>
      <c r="H24" s="987">
        <f t="shared" si="52"/>
        <v>0</v>
      </c>
      <c r="I24" s="988"/>
      <c r="J24" s="430"/>
      <c r="K24" s="987">
        <f t="shared" si="53"/>
        <v>0</v>
      </c>
      <c r="L24" s="988"/>
      <c r="M24" s="988"/>
      <c r="N24" s="988"/>
      <c r="O24" s="988"/>
      <c r="P24" s="988"/>
      <c r="Q24" s="988"/>
      <c r="R24" s="430"/>
      <c r="S24" s="919"/>
      <c r="AE24" s="50">
        <v>23</v>
      </c>
    </row>
    <row r="25" ht="35.649999999999999" customHeight="1">
      <c r="F25" s="251" t="s">
        <v>1083</v>
      </c>
      <c r="G25" s="840" t="s">
        <v>1084</v>
      </c>
      <c r="H25" s="987">
        <f t="shared" si="52"/>
        <v>0</v>
      </c>
      <c r="I25" s="988"/>
      <c r="J25" s="430"/>
      <c r="K25" s="987">
        <f t="shared" si="53"/>
        <v>0</v>
      </c>
      <c r="L25" s="988"/>
      <c r="M25" s="988"/>
      <c r="N25" s="988"/>
      <c r="O25" s="988"/>
      <c r="P25" s="988"/>
      <c r="Q25" s="988"/>
      <c r="R25" s="430"/>
      <c r="S25" s="919"/>
      <c r="AE25" s="50">
        <v>34</v>
      </c>
    </row>
    <row r="26" ht="35.649999999999999" customHeight="1">
      <c r="F26" s="251" t="s">
        <v>1085</v>
      </c>
      <c r="G26" s="840" t="s">
        <v>1086</v>
      </c>
      <c r="H26" s="987">
        <f t="shared" si="52"/>
        <v>0</v>
      </c>
      <c r="I26" s="988"/>
      <c r="J26" s="430"/>
      <c r="K26" s="987">
        <f t="shared" si="53"/>
        <v>0</v>
      </c>
      <c r="L26" s="988"/>
      <c r="M26" s="988"/>
      <c r="N26" s="988"/>
      <c r="O26" s="988"/>
      <c r="P26" s="988"/>
      <c r="Q26" s="988"/>
      <c r="R26" s="430"/>
      <c r="S26" s="919"/>
      <c r="AE26" s="50">
        <v>34</v>
      </c>
    </row>
    <row r="27" ht="11.5" customHeight="1">
      <c r="F27" s="251" t="s">
        <v>1087</v>
      </c>
      <c r="G27" s="840" t="s">
        <v>1088</v>
      </c>
      <c r="H27" s="987">
        <f t="shared" si="52"/>
        <v>0</v>
      </c>
      <c r="I27" s="988"/>
      <c r="J27" s="430"/>
      <c r="K27" s="987">
        <f t="shared" si="53"/>
        <v>0</v>
      </c>
      <c r="L27" s="988"/>
      <c r="M27" s="988"/>
      <c r="N27" s="988"/>
      <c r="O27" s="988"/>
      <c r="P27" s="988"/>
      <c r="Q27" s="988"/>
      <c r="R27" s="430"/>
      <c r="S27" s="919"/>
      <c r="AE27" s="50">
        <v>11</v>
      </c>
    </row>
    <row r="28" ht="11.5" customHeight="1">
      <c r="F28" s="251">
        <v>2</v>
      </c>
      <c r="G28" s="379" t="s">
        <v>1089</v>
      </c>
      <c r="H28" s="987">
        <f t="shared" si="52"/>
        <v>0</v>
      </c>
      <c r="I28" s="987">
        <f>SUM(I29:I31)</f>
        <v>0</v>
      </c>
      <c r="J28" s="430"/>
      <c r="K28" s="987">
        <f t="shared" si="53"/>
        <v>0</v>
      </c>
      <c r="L28" s="987">
        <f>SUM(L29:L31)</f>
        <v>0</v>
      </c>
      <c r="M28" s="987">
        <f>SUM(M29:M31)</f>
        <v>0</v>
      </c>
      <c r="N28" s="987">
        <f>SUM(N29:N31)</f>
        <v>0</v>
      </c>
      <c r="O28" s="987">
        <f>SUM(O29:O31)</f>
        <v>0</v>
      </c>
      <c r="P28" s="987">
        <f>SUM(P29:P31)</f>
        <v>0</v>
      </c>
      <c r="Q28" s="987">
        <f>SUM(Q29:Q31)</f>
        <v>0</v>
      </c>
      <c r="R28" s="430"/>
      <c r="S28" s="919"/>
      <c r="AE28" s="50">
        <v>11</v>
      </c>
    </row>
    <row r="29" ht="11.5" customHeight="1">
      <c r="F29" s="251" t="s">
        <v>704</v>
      </c>
      <c r="G29" s="840" t="s">
        <v>1090</v>
      </c>
      <c r="H29" s="987">
        <f t="shared" si="52"/>
        <v>0</v>
      </c>
      <c r="I29" s="988"/>
      <c r="J29" s="430"/>
      <c r="K29" s="987">
        <f t="shared" si="53"/>
        <v>0</v>
      </c>
      <c r="L29" s="988"/>
      <c r="M29" s="988"/>
      <c r="N29" s="988"/>
      <c r="O29" s="988"/>
      <c r="P29" s="988"/>
      <c r="Q29" s="988"/>
      <c r="R29" s="430"/>
      <c r="S29" s="919"/>
      <c r="AE29" s="50">
        <v>11</v>
      </c>
    </row>
    <row r="30" ht="11.5" customHeight="1">
      <c r="F30" s="251" t="s">
        <v>302</v>
      </c>
      <c r="G30" s="840" t="s">
        <v>1091</v>
      </c>
      <c r="H30" s="987">
        <f t="shared" si="52"/>
        <v>0</v>
      </c>
      <c r="I30" s="988"/>
      <c r="J30" s="430"/>
      <c r="K30" s="987">
        <f t="shared" si="53"/>
        <v>0</v>
      </c>
      <c r="L30" s="988"/>
      <c r="M30" s="988"/>
      <c r="N30" s="988"/>
      <c r="O30" s="988"/>
      <c r="P30" s="988"/>
      <c r="Q30" s="988"/>
      <c r="R30" s="430"/>
      <c r="S30" s="919"/>
      <c r="AE30" s="50">
        <v>11</v>
      </c>
    </row>
    <row r="31" ht="11.5" customHeight="1">
      <c r="F31" s="251" t="s">
        <v>305</v>
      </c>
      <c r="G31" s="840" t="s">
        <v>1092</v>
      </c>
      <c r="H31" s="987">
        <f t="shared" si="52"/>
        <v>0</v>
      </c>
      <c r="I31" s="988"/>
      <c r="J31" s="430"/>
      <c r="K31" s="987">
        <f t="shared" si="53"/>
        <v>0</v>
      </c>
      <c r="L31" s="988"/>
      <c r="M31" s="988"/>
      <c r="N31" s="988"/>
      <c r="O31" s="988"/>
      <c r="P31" s="988"/>
      <c r="Q31" s="988"/>
      <c r="R31" s="430"/>
      <c r="S31" s="919"/>
      <c r="AE31" s="50">
        <v>11</v>
      </c>
    </row>
    <row r="32" ht="11.5" customHeight="1">
      <c r="F32" s="251">
        <v>3</v>
      </c>
      <c r="G32" s="379" t="s">
        <v>1093</v>
      </c>
      <c r="H32" s="987">
        <f t="shared" si="52"/>
        <v>0</v>
      </c>
      <c r="I32" s="987">
        <f>SUM(I33:I34)</f>
        <v>0</v>
      </c>
      <c r="J32" s="430"/>
      <c r="K32" s="987">
        <f t="shared" si="53"/>
        <v>0</v>
      </c>
      <c r="L32" s="987">
        <f>SUM(L33:L34)</f>
        <v>0</v>
      </c>
      <c r="M32" s="987">
        <f>SUM(M33:M34)</f>
        <v>0</v>
      </c>
      <c r="N32" s="987">
        <f>SUM(N33:N34)</f>
        <v>0</v>
      </c>
      <c r="O32" s="987">
        <f>SUM(O33:O34)</f>
        <v>0</v>
      </c>
      <c r="P32" s="987">
        <f>SUM(P33:P34)</f>
        <v>0</v>
      </c>
      <c r="Q32" s="987">
        <f>SUM(Q33:Q34)</f>
        <v>0</v>
      </c>
      <c r="R32" s="430"/>
      <c r="S32" s="919"/>
      <c r="AE32" s="50">
        <v>11</v>
      </c>
    </row>
    <row r="33" ht="48.25" customHeight="1">
      <c r="F33" s="251" t="s">
        <v>319</v>
      </c>
      <c r="G33" s="840" t="s">
        <v>1094</v>
      </c>
      <c r="H33" s="987">
        <f t="shared" si="52"/>
        <v>0</v>
      </c>
      <c r="I33" s="988"/>
      <c r="J33" s="430"/>
      <c r="K33" s="987">
        <f t="shared" si="53"/>
        <v>0</v>
      </c>
      <c r="L33" s="988"/>
      <c r="M33" s="988"/>
      <c r="N33" s="988"/>
      <c r="O33" s="988"/>
      <c r="P33" s="988"/>
      <c r="Q33" s="988"/>
      <c r="R33" s="430"/>
      <c r="S33" s="919"/>
      <c r="AE33" s="50">
        <v>46</v>
      </c>
    </row>
    <row r="34" ht="11.5" customHeight="1">
      <c r="F34" s="251" t="s">
        <v>327</v>
      </c>
      <c r="G34" s="840" t="s">
        <v>1095</v>
      </c>
      <c r="H34" s="987">
        <f t="shared" si="52"/>
        <v>0</v>
      </c>
      <c r="I34" s="988"/>
      <c r="J34" s="430"/>
      <c r="K34" s="987">
        <f t="shared" si="53"/>
        <v>0</v>
      </c>
      <c r="L34" s="988"/>
      <c r="M34" s="988"/>
      <c r="N34" s="988"/>
      <c r="O34" s="988"/>
      <c r="P34" s="988"/>
      <c r="Q34" s="988"/>
      <c r="R34" s="430"/>
      <c r="S34" s="919"/>
      <c r="AE34" s="50">
        <v>11</v>
      </c>
    </row>
    <row r="35" ht="11.5" customHeight="1">
      <c r="F35" s="251">
        <v>4</v>
      </c>
      <c r="G35" s="379" t="s">
        <v>1096</v>
      </c>
      <c r="H35" s="987">
        <f t="shared" si="52"/>
        <v>0</v>
      </c>
      <c r="I35" s="988"/>
      <c r="J35" s="430"/>
      <c r="K35" s="987">
        <f t="shared" si="53"/>
        <v>0</v>
      </c>
      <c r="L35" s="988"/>
      <c r="M35" s="988"/>
      <c r="N35" s="988"/>
      <c r="O35" s="988"/>
      <c r="P35" s="988"/>
      <c r="Q35" s="988"/>
      <c r="R35" s="430"/>
      <c r="S35" s="919"/>
      <c r="AE35" s="50">
        <v>11</v>
      </c>
    </row>
    <row r="36" ht="11.5" customHeight="1">
      <c r="F36" s="251"/>
      <c r="G36" s="841" t="s">
        <v>1097</v>
      </c>
      <c r="H36" s="987">
        <f t="shared" si="52"/>
        <v>0</v>
      </c>
      <c r="I36" s="987">
        <f>SUM(I15,I28,I32,I35)</f>
        <v>0</v>
      </c>
      <c r="J36" s="430"/>
      <c r="K36" s="987">
        <f t="shared" si="53"/>
        <v>0</v>
      </c>
      <c r="L36" s="987">
        <f>SUM(L15,L28,L32,L35)</f>
        <v>0</v>
      </c>
      <c r="M36" s="987">
        <f>SUM(M15,M28,M32,M35)</f>
        <v>0</v>
      </c>
      <c r="N36" s="987">
        <f>SUM(N15,N28,N32,N35)</f>
        <v>0</v>
      </c>
      <c r="O36" s="987">
        <f>SUM(O15,O28,O32,O35)</f>
        <v>0</v>
      </c>
      <c r="P36" s="987">
        <f>SUM(P15,P28,P32,P35)</f>
        <v>0</v>
      </c>
      <c r="Q36" s="987">
        <f>SUM(Q15,Q28,Q32,Q35)</f>
        <v>0</v>
      </c>
      <c r="R36" s="430"/>
      <c r="S36" s="919"/>
      <c r="AE36" s="50">
        <v>11</v>
      </c>
    </row>
    <row r="37" ht="29.25" customHeight="1">
      <c r="F37" s="430" t="s">
        <v>1098</v>
      </c>
      <c r="G37" s="364" t="s">
        <v>1099</v>
      </c>
      <c r="H37" s="364"/>
      <c r="I37" s="364"/>
      <c r="J37" s="364"/>
      <c r="K37" s="364"/>
      <c r="L37" s="364"/>
      <c r="M37" s="364"/>
      <c r="N37" s="364"/>
      <c r="O37" s="364"/>
      <c r="P37" s="364"/>
      <c r="Q37" s="364"/>
      <c r="R37" s="364"/>
      <c r="S37" s="919"/>
      <c r="AE37" s="50">
        <v>28</v>
      </c>
    </row>
    <row r="38" ht="24" customHeight="1">
      <c r="F38" s="251" t="s">
        <v>106</v>
      </c>
      <c r="G38" s="379" t="s">
        <v>1100</v>
      </c>
      <c r="H38" s="987">
        <f t="shared" si="52"/>
        <v>0</v>
      </c>
      <c r="I38" s="987">
        <f>SUM(I39,I44,I47)</f>
        <v>0</v>
      </c>
      <c r="J38" s="430"/>
      <c r="K38" s="987">
        <f t="shared" si="53"/>
        <v>0</v>
      </c>
      <c r="L38" s="987">
        <f>SUM(L39,L44,L47)</f>
        <v>0</v>
      </c>
      <c r="M38" s="987">
        <f>SUM(M39,M44,M47)</f>
        <v>0</v>
      </c>
      <c r="N38" s="987">
        <f>SUM(N39,N44,N47)</f>
        <v>0</v>
      </c>
      <c r="O38" s="987">
        <f>SUM(O39,O44,O47)</f>
        <v>0</v>
      </c>
      <c r="P38" s="987">
        <f>SUM(P39,P44,P47)</f>
        <v>0</v>
      </c>
      <c r="Q38" s="987">
        <f>SUM(Q39,Q44,Q47)</f>
        <v>0</v>
      </c>
      <c r="R38" s="430"/>
      <c r="S38" s="919"/>
      <c r="AE38" s="50">
        <v>23</v>
      </c>
    </row>
    <row r="39" ht="11.5" customHeight="1">
      <c r="F39" s="251" t="s">
        <v>1065</v>
      </c>
      <c r="G39" s="840" t="s">
        <v>1064</v>
      </c>
      <c r="H39" s="987">
        <f t="shared" si="52"/>
        <v>0</v>
      </c>
      <c r="I39" s="987">
        <f>SUM(I40:I43)</f>
        <v>0</v>
      </c>
      <c r="J39" s="430"/>
      <c r="K39" s="987">
        <f t="shared" si="53"/>
        <v>0</v>
      </c>
      <c r="L39" s="987">
        <f>SUM(L40:L43)</f>
        <v>0</v>
      </c>
      <c r="M39" s="987">
        <f>SUM(M40:M43)</f>
        <v>0</v>
      </c>
      <c r="N39" s="987">
        <f>SUM(N40:N43)</f>
        <v>0</v>
      </c>
      <c r="O39" s="987">
        <f>SUM(O40:O43)</f>
        <v>0</v>
      </c>
      <c r="P39" s="987">
        <f>SUM(P40:P43)</f>
        <v>0</v>
      </c>
      <c r="Q39" s="987">
        <f>SUM(Q40:Q43)</f>
        <v>0</v>
      </c>
      <c r="R39" s="430"/>
      <c r="S39" s="919"/>
      <c r="AE39" s="50">
        <v>11</v>
      </c>
    </row>
    <row r="40" ht="24" customHeight="1">
      <c r="F40" s="251" t="s">
        <v>1101</v>
      </c>
      <c r="G40" s="989" t="s">
        <v>1102</v>
      </c>
      <c r="H40" s="987">
        <f t="shared" si="52"/>
        <v>0</v>
      </c>
      <c r="I40" s="988"/>
      <c r="J40" s="430"/>
      <c r="K40" s="987">
        <f t="shared" si="53"/>
        <v>0</v>
      </c>
      <c r="L40" s="988"/>
      <c r="M40" s="988"/>
      <c r="N40" s="988"/>
      <c r="O40" s="988"/>
      <c r="P40" s="988"/>
      <c r="Q40" s="988"/>
      <c r="R40" s="430"/>
      <c r="S40" s="919"/>
      <c r="AE40" s="50">
        <v>23</v>
      </c>
    </row>
    <row r="41" ht="11.5" customHeight="1">
      <c r="F41" s="251" t="s">
        <v>1103</v>
      </c>
      <c r="G41" s="989" t="s">
        <v>1104</v>
      </c>
      <c r="H41" s="987">
        <f t="shared" si="52"/>
        <v>0</v>
      </c>
      <c r="I41" s="988"/>
      <c r="J41" s="430"/>
      <c r="K41" s="987">
        <f t="shared" si="53"/>
        <v>0</v>
      </c>
      <c r="L41" s="988"/>
      <c r="M41" s="988"/>
      <c r="N41" s="988"/>
      <c r="O41" s="988"/>
      <c r="P41" s="988"/>
      <c r="Q41" s="988"/>
      <c r="R41" s="430"/>
      <c r="S41" s="919"/>
      <c r="AE41" s="50">
        <v>11</v>
      </c>
    </row>
    <row r="42" ht="11.5" customHeight="1">
      <c r="F42" s="251" t="s">
        <v>1105</v>
      </c>
      <c r="G42" s="989" t="s">
        <v>1106</v>
      </c>
      <c r="H42" s="987">
        <f t="shared" si="52"/>
        <v>0</v>
      </c>
      <c r="I42" s="988"/>
      <c r="J42" s="430"/>
      <c r="K42" s="987">
        <f t="shared" si="53"/>
        <v>0</v>
      </c>
      <c r="L42" s="988"/>
      <c r="M42" s="988"/>
      <c r="N42" s="988"/>
      <c r="O42" s="988"/>
      <c r="P42" s="988"/>
      <c r="Q42" s="988"/>
      <c r="R42" s="430"/>
      <c r="S42" s="919"/>
      <c r="AE42" s="50">
        <v>11</v>
      </c>
    </row>
    <row r="43" ht="35.649999999999999" customHeight="1">
      <c r="F43" s="251" t="s">
        <v>1107</v>
      </c>
      <c r="G43" s="989" t="s">
        <v>1108</v>
      </c>
      <c r="H43" s="987">
        <f t="shared" si="52"/>
        <v>0</v>
      </c>
      <c r="I43" s="988"/>
      <c r="J43" s="430"/>
      <c r="K43" s="987">
        <f t="shared" si="53"/>
        <v>0</v>
      </c>
      <c r="L43" s="988"/>
      <c r="M43" s="988"/>
      <c r="N43" s="988"/>
      <c r="O43" s="988"/>
      <c r="P43" s="988"/>
      <c r="Q43" s="988"/>
      <c r="R43" s="430"/>
      <c r="S43" s="919"/>
      <c r="AE43" s="50">
        <v>34</v>
      </c>
    </row>
    <row r="44" ht="11.5" customHeight="1">
      <c r="F44" s="251" t="s">
        <v>1067</v>
      </c>
      <c r="G44" s="840" t="s">
        <v>1093</v>
      </c>
      <c r="H44" s="987">
        <f t="shared" si="52"/>
        <v>0</v>
      </c>
      <c r="I44" s="987">
        <f>SUM(I45:I46)</f>
        <v>0</v>
      </c>
      <c r="J44" s="430"/>
      <c r="K44" s="987">
        <f t="shared" si="53"/>
        <v>0</v>
      </c>
      <c r="L44" s="987">
        <f>SUM(L45:L46)</f>
        <v>0</v>
      </c>
      <c r="M44" s="987">
        <f>SUM(M45:M46)</f>
        <v>0</v>
      </c>
      <c r="N44" s="987">
        <f>SUM(N45:N46)</f>
        <v>0</v>
      </c>
      <c r="O44" s="987">
        <f>SUM(O45:O46)</f>
        <v>0</v>
      </c>
      <c r="P44" s="987">
        <f>SUM(P45:P46)</f>
        <v>0</v>
      </c>
      <c r="Q44" s="987">
        <f>SUM(Q45:Q46)</f>
        <v>0</v>
      </c>
      <c r="R44" s="430"/>
      <c r="S44" s="919"/>
      <c r="AE44" s="50">
        <v>11</v>
      </c>
    </row>
    <row r="45" ht="48.25" customHeight="1">
      <c r="F45" s="251" t="s">
        <v>1109</v>
      </c>
      <c r="G45" s="989" t="s">
        <v>1094</v>
      </c>
      <c r="H45" s="987">
        <f t="shared" si="52"/>
        <v>0</v>
      </c>
      <c r="I45" s="988"/>
      <c r="J45" s="430"/>
      <c r="K45" s="987">
        <f t="shared" si="53"/>
        <v>0</v>
      </c>
      <c r="L45" s="988"/>
      <c r="M45" s="988"/>
      <c r="N45" s="988"/>
      <c r="O45" s="988"/>
      <c r="P45" s="988"/>
      <c r="Q45" s="988"/>
      <c r="R45" s="430"/>
      <c r="S45" s="919"/>
      <c r="AE45" s="50">
        <v>46</v>
      </c>
    </row>
    <row r="46" ht="11.5" customHeight="1">
      <c r="F46" s="251" t="s">
        <v>1110</v>
      </c>
      <c r="G46" s="989" t="s">
        <v>1095</v>
      </c>
      <c r="H46" s="987">
        <f t="shared" si="52"/>
        <v>0</v>
      </c>
      <c r="I46" s="988"/>
      <c r="J46" s="430"/>
      <c r="K46" s="987">
        <f t="shared" si="53"/>
        <v>0</v>
      </c>
      <c r="L46" s="988"/>
      <c r="M46" s="988"/>
      <c r="N46" s="988"/>
      <c r="O46" s="988"/>
      <c r="P46" s="988"/>
      <c r="Q46" s="988"/>
      <c r="R46" s="430"/>
      <c r="S46" s="919"/>
      <c r="AE46" s="50">
        <v>11</v>
      </c>
    </row>
    <row r="47" ht="11.5" customHeight="1">
      <c r="F47" s="251" t="s">
        <v>1069</v>
      </c>
      <c r="G47" s="840" t="s">
        <v>1111</v>
      </c>
      <c r="H47" s="987">
        <f t="shared" si="52"/>
        <v>0</v>
      </c>
      <c r="I47" s="988"/>
      <c r="J47" s="430"/>
      <c r="K47" s="987">
        <f t="shared" si="53"/>
        <v>0</v>
      </c>
      <c r="L47" s="988"/>
      <c r="M47" s="988"/>
      <c r="N47" s="988"/>
      <c r="O47" s="988"/>
      <c r="P47" s="988"/>
      <c r="Q47" s="988"/>
      <c r="R47" s="430"/>
      <c r="S47" s="919"/>
      <c r="AE47" s="50">
        <v>11</v>
      </c>
    </row>
    <row r="48" ht="24" customHeight="1">
      <c r="F48" s="251" t="s">
        <v>107</v>
      </c>
      <c r="G48" s="379" t="s">
        <v>1112</v>
      </c>
      <c r="H48" s="987">
        <f t="shared" si="52"/>
        <v>0</v>
      </c>
      <c r="I48" s="987">
        <f>SUM(I49,I54,I57)</f>
        <v>0</v>
      </c>
      <c r="J48" s="430"/>
      <c r="K48" s="987">
        <f t="shared" si="53"/>
        <v>0</v>
      </c>
      <c r="L48" s="987">
        <f>SUM(L49,L54,L57)</f>
        <v>0</v>
      </c>
      <c r="M48" s="987">
        <f>SUM(M49,M54,M57)</f>
        <v>0</v>
      </c>
      <c r="N48" s="987">
        <f>SUM(N49,N54,N57)</f>
        <v>0</v>
      </c>
      <c r="O48" s="987">
        <f>SUM(O49,O54,O57)</f>
        <v>0</v>
      </c>
      <c r="P48" s="987">
        <f>SUM(P49,P54,P57)</f>
        <v>0</v>
      </c>
      <c r="Q48" s="987">
        <f>SUM(Q49,Q54,Q57)</f>
        <v>0</v>
      </c>
      <c r="R48" s="430"/>
      <c r="S48" s="919"/>
      <c r="AE48" s="50">
        <v>23</v>
      </c>
    </row>
    <row r="49" ht="11.5" customHeight="1">
      <c r="F49" s="251" t="s">
        <v>704</v>
      </c>
      <c r="G49" s="840" t="s">
        <v>1064</v>
      </c>
      <c r="H49" s="987">
        <f t="shared" si="52"/>
        <v>0</v>
      </c>
      <c r="I49" s="987">
        <f>SUM(I50:I53)</f>
        <v>0</v>
      </c>
      <c r="J49" s="430"/>
      <c r="K49" s="987">
        <f t="shared" si="53"/>
        <v>0</v>
      </c>
      <c r="L49" s="987">
        <f>SUM(L50:L53)</f>
        <v>0</v>
      </c>
      <c r="M49" s="987">
        <f>SUM(M50:M53)</f>
        <v>0</v>
      </c>
      <c r="N49" s="987">
        <f>SUM(N50:N53)</f>
        <v>0</v>
      </c>
      <c r="O49" s="987">
        <f>SUM(O50:O53)</f>
        <v>0</v>
      </c>
      <c r="P49" s="987">
        <f>SUM(P50:P53)</f>
        <v>0</v>
      </c>
      <c r="Q49" s="987">
        <f>SUM(Q50:Q53)</f>
        <v>0</v>
      </c>
      <c r="R49" s="430"/>
      <c r="S49" s="919"/>
      <c r="AE49" s="50">
        <v>11</v>
      </c>
    </row>
    <row r="50" ht="24" customHeight="1">
      <c r="F50" s="251" t="s">
        <v>707</v>
      </c>
      <c r="G50" s="989" t="s">
        <v>1102</v>
      </c>
      <c r="H50" s="987">
        <f t="shared" si="52"/>
        <v>0</v>
      </c>
      <c r="I50" s="988"/>
      <c r="J50" s="430"/>
      <c r="K50" s="987">
        <f t="shared" si="53"/>
        <v>0</v>
      </c>
      <c r="L50" s="988"/>
      <c r="M50" s="988"/>
      <c r="N50" s="988"/>
      <c r="O50" s="988"/>
      <c r="P50" s="988"/>
      <c r="Q50" s="988"/>
      <c r="R50" s="430"/>
      <c r="S50" s="919"/>
      <c r="AE50" s="50">
        <v>23</v>
      </c>
    </row>
    <row r="51" ht="11.5" customHeight="1">
      <c r="F51" s="251" t="s">
        <v>710</v>
      </c>
      <c r="G51" s="989" t="s">
        <v>1104</v>
      </c>
      <c r="H51" s="987">
        <f t="shared" si="52"/>
        <v>0</v>
      </c>
      <c r="I51" s="988"/>
      <c r="J51" s="430"/>
      <c r="K51" s="987">
        <f t="shared" si="53"/>
        <v>0</v>
      </c>
      <c r="L51" s="988"/>
      <c r="M51" s="988"/>
      <c r="N51" s="988"/>
      <c r="O51" s="988"/>
      <c r="P51" s="988"/>
      <c r="Q51" s="988"/>
      <c r="R51" s="430"/>
      <c r="S51" s="919"/>
      <c r="AE51" s="50">
        <v>11</v>
      </c>
    </row>
    <row r="52" ht="11.5" customHeight="1">
      <c r="F52" s="251" t="s">
        <v>1113</v>
      </c>
      <c r="G52" s="989" t="s">
        <v>1106</v>
      </c>
      <c r="H52" s="987">
        <f t="shared" si="52"/>
        <v>0</v>
      </c>
      <c r="I52" s="988"/>
      <c r="J52" s="430"/>
      <c r="K52" s="987">
        <f t="shared" si="53"/>
        <v>0</v>
      </c>
      <c r="L52" s="988"/>
      <c r="M52" s="988"/>
      <c r="N52" s="988"/>
      <c r="O52" s="988"/>
      <c r="P52" s="988"/>
      <c r="Q52" s="988"/>
      <c r="R52" s="430"/>
      <c r="S52" s="919"/>
      <c r="AE52" s="50">
        <v>11</v>
      </c>
    </row>
    <row r="53" ht="35.649999999999999" customHeight="1">
      <c r="F53" s="251" t="s">
        <v>1114</v>
      </c>
      <c r="G53" s="989" t="s">
        <v>1108</v>
      </c>
      <c r="H53" s="987">
        <f t="shared" si="52"/>
        <v>0</v>
      </c>
      <c r="I53" s="988"/>
      <c r="J53" s="430"/>
      <c r="K53" s="987">
        <f t="shared" si="53"/>
        <v>0</v>
      </c>
      <c r="L53" s="988"/>
      <c r="M53" s="988"/>
      <c r="N53" s="988"/>
      <c r="O53" s="988"/>
      <c r="P53" s="988"/>
      <c r="Q53" s="988"/>
      <c r="R53" s="430"/>
      <c r="S53" s="919"/>
      <c r="AE53" s="50">
        <v>34</v>
      </c>
    </row>
    <row r="54" ht="11.5" customHeight="1">
      <c r="F54" s="251" t="s">
        <v>302</v>
      </c>
      <c r="G54" s="840" t="s">
        <v>1093</v>
      </c>
      <c r="H54" s="987">
        <f t="shared" si="52"/>
        <v>0</v>
      </c>
      <c r="I54" s="987">
        <f>SUM(I55:I56)</f>
        <v>0</v>
      </c>
      <c r="J54" s="430"/>
      <c r="K54" s="987">
        <f t="shared" si="53"/>
        <v>0</v>
      </c>
      <c r="L54" s="987">
        <f>SUM(L55:L56)</f>
        <v>0</v>
      </c>
      <c r="M54" s="987">
        <f>SUM(M55:M56)</f>
        <v>0</v>
      </c>
      <c r="N54" s="987">
        <f>SUM(N55:N56)</f>
        <v>0</v>
      </c>
      <c r="O54" s="987">
        <f>SUM(O55:O56)</f>
        <v>0</v>
      </c>
      <c r="P54" s="987">
        <f>SUM(P55:P56)</f>
        <v>0</v>
      </c>
      <c r="Q54" s="987">
        <f>SUM(Q55:Q56)</f>
        <v>0</v>
      </c>
      <c r="R54" s="430"/>
      <c r="S54" s="919"/>
      <c r="AE54" s="50">
        <v>11</v>
      </c>
    </row>
    <row r="55" ht="48.25" customHeight="1">
      <c r="F55" s="251" t="s">
        <v>714</v>
      </c>
      <c r="G55" s="989" t="s">
        <v>1094</v>
      </c>
      <c r="H55" s="987">
        <f t="shared" si="52"/>
        <v>0</v>
      </c>
      <c r="I55" s="988"/>
      <c r="J55" s="430"/>
      <c r="K55" s="987">
        <f t="shared" si="53"/>
        <v>0</v>
      </c>
      <c r="L55" s="988"/>
      <c r="M55" s="988"/>
      <c r="N55" s="988"/>
      <c r="O55" s="988"/>
      <c r="P55" s="988"/>
      <c r="Q55" s="988"/>
      <c r="R55" s="430"/>
      <c r="S55" s="919"/>
      <c r="AE55" s="50">
        <v>46</v>
      </c>
    </row>
    <row r="56" ht="11.5" customHeight="1">
      <c r="F56" s="251" t="s">
        <v>716</v>
      </c>
      <c r="G56" s="989" t="s">
        <v>1095</v>
      </c>
      <c r="H56" s="987">
        <f t="shared" si="52"/>
        <v>0</v>
      </c>
      <c r="I56" s="988"/>
      <c r="J56" s="430"/>
      <c r="K56" s="987">
        <f t="shared" si="53"/>
        <v>0</v>
      </c>
      <c r="L56" s="988"/>
      <c r="M56" s="988"/>
      <c r="N56" s="988"/>
      <c r="O56" s="988"/>
      <c r="P56" s="988"/>
      <c r="Q56" s="988"/>
      <c r="R56" s="430"/>
      <c r="S56" s="919"/>
      <c r="AE56" s="50">
        <v>11</v>
      </c>
    </row>
    <row r="57" ht="11.5" customHeight="1">
      <c r="F57" s="251" t="s">
        <v>305</v>
      </c>
      <c r="G57" s="840" t="s">
        <v>1111</v>
      </c>
      <c r="H57" s="987">
        <f t="shared" si="52"/>
        <v>0</v>
      </c>
      <c r="I57" s="988"/>
      <c r="J57" s="430"/>
      <c r="K57" s="987">
        <f t="shared" si="53"/>
        <v>0</v>
      </c>
      <c r="L57" s="988"/>
      <c r="M57" s="988"/>
      <c r="N57" s="988"/>
      <c r="O57" s="988"/>
      <c r="P57" s="988"/>
      <c r="Q57" s="988"/>
      <c r="R57" s="430"/>
      <c r="S57" s="919"/>
      <c r="AE57" s="50">
        <v>11</v>
      </c>
    </row>
    <row r="58" ht="11.5" customHeight="1">
      <c r="F58" s="251"/>
      <c r="G58" s="364" t="s">
        <v>1097</v>
      </c>
      <c r="H58" s="987">
        <f t="shared" si="52"/>
        <v>0</v>
      </c>
      <c r="I58" s="987">
        <f>SUM(I38,I48)</f>
        <v>0</v>
      </c>
      <c r="J58" s="430"/>
      <c r="K58" s="987">
        <f t="shared" si="53"/>
        <v>0</v>
      </c>
      <c r="L58" s="987">
        <f>SUM(L38,L48)</f>
        <v>0</v>
      </c>
      <c r="M58" s="987">
        <f>SUM(M38,M48)</f>
        <v>0</v>
      </c>
      <c r="N58" s="987">
        <f>SUM(N38,N48)</f>
        <v>0</v>
      </c>
      <c r="O58" s="987">
        <f>SUM(O38,O48)</f>
        <v>0</v>
      </c>
      <c r="P58" s="987">
        <f>SUM(P38,P48)</f>
        <v>0</v>
      </c>
      <c r="Q58" s="987">
        <f>SUM(Q38,Q48)</f>
        <v>0</v>
      </c>
      <c r="R58" s="430"/>
      <c r="S58" s="919"/>
      <c r="AE58" s="50">
        <v>11</v>
      </c>
    </row>
    <row r="59" ht="10.5" hidden="1" customHeight="1">
      <c r="A59" s="124" t="s">
        <v>82</v>
      </c>
      <c r="B59" s="124">
        <v>0</v>
      </c>
      <c r="C59" s="124">
        <v>0</v>
      </c>
      <c r="D59" s="53">
        <v>0</v>
      </c>
      <c r="E59" s="50">
        <v>3</v>
      </c>
      <c r="F59" s="50">
        <v>6</v>
      </c>
      <c r="G59" s="50">
        <v>60</v>
      </c>
      <c r="H59" s="50">
        <v>0</v>
      </c>
      <c r="I59" s="50">
        <v>0</v>
      </c>
      <c r="J59" s="50">
        <v>0</v>
      </c>
      <c r="K59" s="50">
        <v>0</v>
      </c>
      <c r="L59" s="50">
        <v>0</v>
      </c>
      <c r="M59" s="50">
        <v>0</v>
      </c>
      <c r="N59" s="50">
        <v>0</v>
      </c>
      <c r="O59" s="50">
        <v>0</v>
      </c>
      <c r="P59" s="50">
        <v>0</v>
      </c>
      <c r="Q59" s="50">
        <v>0</v>
      </c>
      <c r="R59" s="50">
        <v>0</v>
      </c>
      <c r="S59" s="50">
        <v>1</v>
      </c>
      <c r="T59" s="50">
        <v>8</v>
      </c>
      <c r="U59" s="50">
        <v>8</v>
      </c>
      <c r="V59" s="50">
        <v>8</v>
      </c>
      <c r="W59" s="50">
        <v>8</v>
      </c>
      <c r="X59" s="50">
        <v>8</v>
      </c>
      <c r="Y59" s="50">
        <v>8</v>
      </c>
      <c r="Z59" s="50">
        <v>8</v>
      </c>
      <c r="AA59" s="50">
        <v>8</v>
      </c>
      <c r="AB59" s="50">
        <v>8</v>
      </c>
      <c r="AC59" s="50">
        <v>8</v>
      </c>
      <c r="AD59" s="50">
        <v>8</v>
      </c>
      <c r="AE59" s="50">
        <v>10</v>
      </c>
    </row>
  </sheetData>
  <sheetProtection autoFilter="0" deleteColumns="1" deleteRows="1" formatCells="1" formatColumns="0" formatRows="0" insertColumns="1" insertHyperlinks="1" insertRows="1" objects="0" pivotTables="1" scenarios="0" selectLockedCells="0" selectUnlockedCells="0" sheet="1" sort="1"/>
  <mergeCells count="11">
    <mergeCell ref="F5:J5"/>
    <mergeCell ref="F6:J6"/>
    <mergeCell ref="F9:J9"/>
    <mergeCell ref="F10:F12"/>
    <mergeCell ref="G10:G12"/>
    <mergeCell ref="H10:J10"/>
    <mergeCell ref="K10:R10"/>
    <mergeCell ref="H11:J11"/>
    <mergeCell ref="K11:R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E1001B-00C9-480F-9481-0006005F002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 L16:Q16 L17:Q17 L18:Q18 L19:Q19 L20:Q20 L21:Q21 L22:Q22 L23:Q23 L24:Q24 L25:Q25 L26:Q26 L27:Q27 L29:Q29 L30:Q30 L31:Q31 L33:Q33 L34:Q34 L35:Q35 L40:Q40 L41:Q41 L42:Q42 L43:Q43 L45:Q45 L46:Q46 L47:Q47 L50:Q50 L51:Q51 L52:Q52 L53:Q53 L55:Q55 L56:Q56 L57:Q57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H25" activeCellId="0" sqref="H25"/>
    </sheetView>
  </sheetViews>
  <sheetFormatPr defaultColWidth="9.140625" defaultRowHeight="12" customHeight="1"/>
  <cols>
    <col customWidth="1" hidden="1" min="1" max="1" style="990" width="4.7109375"/>
    <col customWidth="1" hidden="1" min="2" max="2" style="991" width="4.7109375"/>
    <col customWidth="1" hidden="1" min="3" max="4" style="990" width="4.7109375"/>
    <col customWidth="1" min="5" max="5" style="990" width="3.00390625"/>
    <col customWidth="1" min="6" max="6" style="990" width="6.00390625"/>
    <col customWidth="1" min="7" max="7" style="990" width="18.00390625"/>
    <col customWidth="1" min="8" max="8" style="990" width="27.00390625"/>
    <col customWidth="1" min="9" max="9" style="990" width="33.4921875"/>
    <col customWidth="1" hidden="1" min="10" max="14" style="990" width="0.8515625"/>
    <col customWidth="1" min="15" max="28" style="990" width="21.7109375"/>
    <col customWidth="1" min="29" max="71" style="990" width="0.8515625"/>
    <col customWidth="1" hidden="1" min="72" max="79" style="990" width="21.7109375"/>
    <col customWidth="1" hidden="1" min="80" max="81" style="990" width="29.140625"/>
    <col customWidth="1" hidden="1" min="82" max="89" style="990" width="21.7109375"/>
    <col customWidth="1" hidden="1" min="90" max="102" style="990" width="0.7109375"/>
    <col customWidth="1" hidden="1" min="103" max="114" style="990" width="21.7109375"/>
    <col customWidth="1" hidden="1" min="115" max="178" style="990" width="0.7109375"/>
    <col customWidth="1" min="179" max="179" style="990" width="0.140625"/>
    <col customWidth="1" min="180" max="184" style="990" width="8.00390625"/>
    <col hidden="1" min="185" max="185" style="990" width="9.140625"/>
  </cols>
  <sheetData>
    <row r="1" s="992" customFormat="1" ht="12" hidden="1" customHeight="1">
      <c r="B1" s="993"/>
      <c r="C1" s="992"/>
      <c r="D1" s="992"/>
      <c r="GC1" s="992" t="s">
        <v>14</v>
      </c>
    </row>
    <row r="2" s="992" customFormat="1" ht="12" hidden="1" customHeight="1">
      <c r="B2" s="993"/>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2"/>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2">
        <v>0</v>
      </c>
    </row>
    <row r="3" s="992" customFormat="1" ht="12" hidden="1" customHeight="1">
      <c r="B3" s="993"/>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2">
        <v>0</v>
      </c>
    </row>
    <row r="4" ht="10.5" customHeight="1">
      <c r="B4" s="991"/>
      <c r="C4" s="990"/>
      <c r="D4" s="990"/>
      <c r="E4" s="990"/>
      <c r="F4" s="990"/>
      <c r="G4" s="990"/>
      <c r="H4" s="994"/>
      <c r="I4" s="994"/>
      <c r="J4" s="994"/>
      <c r="K4" s="994"/>
      <c r="L4" s="994"/>
      <c r="M4" s="990"/>
      <c r="N4" s="990"/>
      <c r="O4" s="990"/>
      <c r="P4" s="990"/>
      <c r="Q4" s="990"/>
      <c r="R4" s="990"/>
      <c r="S4" s="990"/>
      <c r="T4" s="990"/>
      <c r="U4" s="990"/>
      <c r="V4" s="990"/>
      <c r="W4" s="990"/>
      <c r="X4" s="990"/>
      <c r="Y4" s="990"/>
      <c r="Z4" s="990"/>
      <c r="AA4" s="990"/>
      <c r="AB4" s="990"/>
      <c r="AC4" s="990"/>
      <c r="AD4" s="990"/>
      <c r="AE4" s="990"/>
      <c r="AF4" s="990"/>
      <c r="AG4" s="990"/>
      <c r="AH4" s="990"/>
      <c r="AI4" s="990"/>
      <c r="AJ4" s="990"/>
      <c r="AK4" s="990"/>
      <c r="AL4" s="990"/>
      <c r="AM4" s="990"/>
      <c r="AN4" s="990"/>
      <c r="AO4" s="990"/>
      <c r="AP4" s="990"/>
      <c r="AQ4" s="990"/>
      <c r="AR4" s="990"/>
      <c r="AS4" s="990"/>
      <c r="AT4" s="990"/>
      <c r="AU4" s="990"/>
      <c r="AV4" s="990"/>
      <c r="AW4" s="990"/>
      <c r="AX4" s="990"/>
      <c r="AY4" s="990"/>
      <c r="AZ4" s="990"/>
      <c r="BA4" s="990"/>
      <c r="BB4" s="990"/>
      <c r="BC4" s="990"/>
      <c r="BD4" s="990"/>
      <c r="BE4" s="990"/>
      <c r="BF4" s="990"/>
      <c r="BG4" s="990"/>
      <c r="BH4" s="990"/>
      <c r="BI4" s="990"/>
      <c r="BJ4" s="990"/>
      <c r="BK4" s="990"/>
      <c r="BL4" s="990"/>
      <c r="BM4" s="990"/>
      <c r="BN4" s="990"/>
      <c r="BO4" s="990"/>
      <c r="BP4" s="990"/>
      <c r="BQ4" s="990"/>
      <c r="BR4" s="990"/>
      <c r="BS4" s="990"/>
      <c r="BT4" s="990"/>
      <c r="BU4" s="990"/>
      <c r="BV4" s="990"/>
      <c r="BW4" s="990"/>
      <c r="BX4" s="990"/>
      <c r="BY4" s="990"/>
      <c r="BZ4" s="990"/>
      <c r="CA4" s="990"/>
      <c r="CB4" s="990"/>
      <c r="CC4" s="990"/>
      <c r="CD4" s="990"/>
      <c r="CE4" s="990"/>
      <c r="CF4" s="990"/>
      <c r="CG4" s="990"/>
      <c r="CH4" s="990"/>
      <c r="CI4" s="990"/>
      <c r="CJ4" s="990"/>
      <c r="CK4" s="990"/>
      <c r="CL4" s="990"/>
      <c r="CM4" s="990"/>
      <c r="CN4" s="990"/>
      <c r="CO4" s="990"/>
      <c r="CP4" s="990"/>
      <c r="CQ4" s="990"/>
      <c r="CR4" s="990"/>
      <c r="CS4" s="990"/>
      <c r="CT4" s="990"/>
      <c r="CU4" s="990"/>
      <c r="CV4" s="990"/>
      <c r="CW4" s="990"/>
      <c r="CX4" s="990"/>
      <c r="CY4" s="990"/>
      <c r="CZ4" s="990"/>
      <c r="DA4" s="990"/>
      <c r="DB4" s="990"/>
      <c r="DC4" s="990"/>
      <c r="DD4" s="990"/>
      <c r="DE4" s="990"/>
      <c r="DF4" s="990"/>
      <c r="DG4" s="990"/>
      <c r="DH4" s="990"/>
      <c r="DI4" s="990"/>
      <c r="DJ4" s="990"/>
      <c r="DK4" s="990"/>
      <c r="DL4" s="990"/>
      <c r="DM4" s="990"/>
      <c r="DN4" s="990"/>
      <c r="DO4" s="990"/>
      <c r="DP4" s="990"/>
      <c r="DQ4" s="990"/>
      <c r="DR4" s="990"/>
      <c r="DS4" s="990"/>
      <c r="DT4" s="990"/>
      <c r="DU4" s="990"/>
      <c r="DV4" s="990"/>
      <c r="DW4" s="990"/>
      <c r="DX4" s="990"/>
      <c r="DY4" s="990"/>
      <c r="DZ4" s="990"/>
      <c r="EA4" s="990"/>
      <c r="EB4" s="990"/>
      <c r="EC4" s="990"/>
      <c r="ED4" s="990"/>
      <c r="EE4" s="990"/>
      <c r="EF4" s="990"/>
      <c r="EG4" s="990"/>
      <c r="EH4" s="990"/>
      <c r="EI4" s="990"/>
      <c r="EJ4" s="990"/>
      <c r="EK4" s="990"/>
      <c r="EL4" s="990"/>
      <c r="EM4" s="990"/>
      <c r="EN4" s="990"/>
      <c r="EO4" s="990"/>
      <c r="EP4" s="990"/>
      <c r="EQ4" s="990"/>
      <c r="ER4" s="990"/>
      <c r="ES4" s="990"/>
      <c r="ET4" s="990"/>
      <c r="EU4" s="990"/>
      <c r="EV4" s="990"/>
      <c r="EW4" s="990"/>
      <c r="EX4" s="990"/>
      <c r="EY4" s="990"/>
      <c r="EZ4" s="990"/>
      <c r="FA4" s="990"/>
      <c r="FB4" s="990"/>
      <c r="FC4" s="990"/>
      <c r="FD4" s="990"/>
      <c r="FE4" s="990"/>
      <c r="FF4" s="990"/>
      <c r="FG4" s="990"/>
      <c r="FH4" s="990"/>
      <c r="FI4" s="990"/>
      <c r="FJ4" s="990"/>
      <c r="FK4" s="990"/>
      <c r="FL4" s="990"/>
      <c r="FM4" s="990"/>
      <c r="FN4" s="990"/>
      <c r="FO4" s="990"/>
      <c r="FP4" s="990"/>
      <c r="FQ4" s="990"/>
      <c r="FR4" s="990"/>
      <c r="FS4" s="990"/>
      <c r="FT4" s="990"/>
      <c r="FU4" s="990"/>
      <c r="FV4" s="990"/>
      <c r="FW4" s="990"/>
      <c r="GC4" s="990">
        <v>10</v>
      </c>
    </row>
    <row r="5" s="715" customFormat="1" ht="27.300000000000001" customHeight="1">
      <c r="B5" s="995"/>
      <c r="E5" s="996"/>
      <c r="F5" s="997"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GC5" s="715">
        <v>26</v>
      </c>
    </row>
    <row r="6" s="125" customFormat="1" ht="18.75" customHeight="1">
      <c r="B6" s="774"/>
      <c r="E6" s="359"/>
      <c r="F6" s="408" t="str">
        <f>IF(org=0,"Не определено",org)</f>
        <v xml:space="preserve">АО "ДГК" СП "Биробиджанская ТЭЦ"</v>
      </c>
      <c r="G6" s="409"/>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09"/>
      <c r="AY6" s="409"/>
      <c r="AZ6" s="409"/>
      <c r="BA6" s="409"/>
      <c r="BB6" s="409"/>
      <c r="BC6" s="409"/>
      <c r="BD6" s="409"/>
      <c r="BE6" s="409"/>
      <c r="BF6" s="409"/>
      <c r="BG6" s="409"/>
      <c r="BH6" s="409"/>
      <c r="BI6" s="409"/>
      <c r="BJ6" s="409"/>
      <c r="BK6" s="409"/>
      <c r="BL6" s="409"/>
      <c r="BM6" s="409"/>
      <c r="BN6" s="409"/>
      <c r="BO6" s="409"/>
      <c r="BP6" s="409"/>
      <c r="BQ6" s="409"/>
      <c r="BR6" s="409"/>
      <c r="BS6" s="409"/>
      <c r="GC6" s="125">
        <v>18</v>
      </c>
    </row>
    <row r="7" s="998" customFormat="1" ht="10.5" customHeight="1">
      <c r="B7" s="999"/>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8">
        <v>10</v>
      </c>
    </row>
    <row r="8" s="998" customFormat="1" ht="11.25" hidden="1" customHeight="1">
      <c r="B8" s="999"/>
      <c r="F8" s="125"/>
      <c r="G8" s="51"/>
      <c r="H8" s="143"/>
      <c r="I8" s="143"/>
      <c r="J8" s="143"/>
      <c r="K8" s="143"/>
      <c r="L8" s="143"/>
      <c r="M8" s="125"/>
      <c r="N8" s="125"/>
      <c r="O8" s="1001" t="s">
        <v>1115</v>
      </c>
      <c r="P8" s="1002"/>
      <c r="Q8" s="1002"/>
      <c r="R8" s="1002"/>
      <c r="S8" s="1002"/>
      <c r="T8" s="1002"/>
      <c r="U8" s="1002"/>
      <c r="V8" s="1002"/>
      <c r="W8" s="1002"/>
      <c r="X8" s="1002"/>
      <c r="Y8" s="1002"/>
      <c r="Z8" s="1002"/>
      <c r="AA8" s="1002"/>
      <c r="AB8" s="1002"/>
      <c r="AC8" s="1002"/>
      <c r="AD8" s="1002"/>
      <c r="AE8" s="1002"/>
      <c r="AF8" s="1002"/>
      <c r="AG8" s="1002"/>
      <c r="AH8" s="1002"/>
      <c r="AI8" s="1002"/>
      <c r="AJ8" s="1002"/>
      <c r="AK8" s="1002"/>
      <c r="AL8" s="1002"/>
      <c r="AM8" s="1002"/>
      <c r="AN8" s="1002"/>
      <c r="AO8" s="1002"/>
      <c r="AP8" s="1002"/>
      <c r="AQ8" s="1002"/>
      <c r="AR8" s="1002"/>
      <c r="AS8" s="1002"/>
      <c r="AT8" s="1002"/>
      <c r="AU8" s="1002"/>
      <c r="AV8" s="1002"/>
      <c r="AW8" s="1002"/>
      <c r="AX8" s="1002"/>
      <c r="AY8" s="1002"/>
      <c r="AZ8" s="1002"/>
      <c r="BA8" s="1002"/>
      <c r="BB8" s="1002"/>
      <c r="BC8" s="1002"/>
      <c r="BD8" s="1002"/>
      <c r="BE8" s="1002"/>
      <c r="BF8" s="1002"/>
      <c r="BG8" s="1002"/>
      <c r="BH8" s="1002"/>
      <c r="BI8" s="1002"/>
      <c r="BJ8" s="1002"/>
      <c r="BK8" s="1002"/>
      <c r="BL8" s="1002"/>
      <c r="BM8" s="1002"/>
      <c r="BN8" s="1002"/>
      <c r="BO8" s="1002"/>
      <c r="BP8" s="1002"/>
      <c r="BQ8" s="1002"/>
      <c r="BR8" s="1002"/>
      <c r="BS8" s="1003"/>
      <c r="BT8" s="1004"/>
      <c r="BU8" s="1005"/>
      <c r="BV8" s="1005"/>
      <c r="BW8" s="1005"/>
      <c r="BX8" s="1005"/>
      <c r="BY8" s="1005"/>
      <c r="BZ8" s="1005"/>
      <c r="CA8" s="1005"/>
      <c r="CB8" s="1005"/>
      <c r="CC8" s="1005"/>
      <c r="CD8" s="1005"/>
      <c r="CE8" s="1005"/>
      <c r="CF8" s="1005"/>
      <c r="CG8" s="1005"/>
      <c r="CH8" s="1005"/>
      <c r="CI8" s="1005"/>
      <c r="CJ8" s="1005"/>
      <c r="CK8" s="1005"/>
      <c r="CL8" s="1005"/>
      <c r="CM8" s="1005"/>
      <c r="CN8" s="1005"/>
      <c r="CO8" s="1005"/>
      <c r="CP8" s="1005"/>
      <c r="CQ8" s="1005"/>
      <c r="CR8" s="1005"/>
      <c r="CS8" s="1005"/>
      <c r="CT8" s="1005"/>
      <c r="CU8" s="1005"/>
      <c r="CV8" s="1005"/>
      <c r="CW8" s="1005"/>
      <c r="CX8" s="1006"/>
      <c r="CY8" s="1007"/>
      <c r="CZ8" s="1008"/>
      <c r="DA8" s="1008"/>
      <c r="DB8" s="1008"/>
      <c r="DC8" s="1008"/>
      <c r="DD8" s="1008"/>
      <c r="DE8" s="1008"/>
      <c r="DF8" s="1008"/>
      <c r="DG8" s="1008"/>
      <c r="DH8" s="1008"/>
      <c r="DI8" s="1008"/>
      <c r="DJ8" s="1008"/>
      <c r="DK8" s="1008"/>
      <c r="DL8" s="1008"/>
      <c r="DM8" s="1008"/>
      <c r="DN8" s="1008"/>
      <c r="DO8" s="1008"/>
      <c r="DP8" s="1008"/>
      <c r="DQ8" s="1008"/>
      <c r="DR8" s="1008"/>
      <c r="DS8" s="1008"/>
      <c r="DT8" s="1008"/>
      <c r="DU8" s="1008"/>
      <c r="DV8" s="1008"/>
      <c r="DW8" s="1008"/>
      <c r="DX8" s="1009"/>
      <c r="DY8" s="1010" t="s">
        <v>1116</v>
      </c>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c r="EW8" s="1011"/>
      <c r="EX8" s="1011"/>
      <c r="EY8" s="1011"/>
      <c r="EZ8" s="1011"/>
      <c r="FA8" s="1011"/>
      <c r="FB8" s="1011"/>
      <c r="FC8" s="1011"/>
      <c r="FD8" s="1011"/>
      <c r="FE8" s="1011"/>
      <c r="FF8" s="1011"/>
      <c r="FG8" s="1011"/>
      <c r="FH8" s="1011"/>
      <c r="FI8" s="1011"/>
      <c r="FJ8" s="1011"/>
      <c r="FK8" s="1011"/>
      <c r="FL8" s="1011"/>
      <c r="FM8" s="1011"/>
      <c r="FN8" s="1011"/>
      <c r="FO8" s="1011"/>
      <c r="FP8" s="1011"/>
      <c r="FQ8" s="1011"/>
      <c r="FR8" s="1011"/>
      <c r="FS8" s="1011"/>
      <c r="FT8" s="1011"/>
      <c r="FU8" s="1011"/>
      <c r="FV8" s="1011"/>
      <c r="FW8" s="1012"/>
      <c r="FX8" s="125"/>
      <c r="GC8" s="998">
        <v>0</v>
      </c>
    </row>
    <row r="9" s="998" customFormat="1" ht="11.25" hidden="1" customHeight="1">
      <c r="B9" s="999"/>
      <c r="F9" s="125"/>
      <c r="G9" s="51"/>
      <c r="H9" s="143"/>
      <c r="I9" s="143"/>
      <c r="J9" s="143"/>
      <c r="K9" s="143"/>
      <c r="L9" s="143"/>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1013"/>
      <c r="FX9" s="125"/>
      <c r="GC9" s="998">
        <v>0</v>
      </c>
    </row>
    <row r="10" s="998" customFormat="1" ht="11.5" customHeight="1">
      <c r="B10" s="999"/>
      <c r="F10" s="887" t="s">
        <v>295</v>
      </c>
      <c r="G10" s="1014"/>
      <c r="H10" s="1014"/>
      <c r="I10" s="1014"/>
      <c r="J10" s="1014"/>
      <c r="K10" s="1014"/>
      <c r="L10" s="1014"/>
      <c r="M10" s="1014"/>
      <c r="N10" s="1014"/>
      <c r="O10" s="1014"/>
      <c r="P10" s="1014"/>
      <c r="Q10" s="1014"/>
      <c r="R10" s="1014"/>
      <c r="S10" s="1014"/>
      <c r="T10" s="1014"/>
      <c r="U10" s="1014"/>
      <c r="V10" s="1014"/>
      <c r="W10" s="1014"/>
      <c r="X10" s="1014"/>
      <c r="Y10" s="1014"/>
      <c r="Z10" s="1014"/>
      <c r="AA10" s="1014"/>
      <c r="AB10" s="1014"/>
      <c r="AC10" s="1014"/>
      <c r="AD10" s="1014"/>
      <c r="AE10" s="1014"/>
      <c r="AF10" s="1014"/>
      <c r="AG10" s="1014"/>
      <c r="AH10" s="1014"/>
      <c r="AI10" s="1014"/>
      <c r="AJ10" s="1014"/>
      <c r="AK10" s="1014"/>
      <c r="AL10" s="1014"/>
      <c r="AM10" s="1014"/>
      <c r="AN10" s="1014"/>
      <c r="AO10" s="1014"/>
      <c r="AP10" s="1014"/>
      <c r="AQ10" s="1014"/>
      <c r="AR10" s="1014"/>
      <c r="AS10" s="1014"/>
      <c r="AT10" s="1014"/>
      <c r="AU10" s="1014"/>
      <c r="AV10" s="1014"/>
      <c r="AW10" s="1014"/>
      <c r="AX10" s="1014"/>
      <c r="AY10" s="1014"/>
      <c r="AZ10" s="1014"/>
      <c r="BA10" s="1014"/>
      <c r="BB10" s="1014"/>
      <c r="BC10" s="1014"/>
      <c r="BD10" s="1014"/>
      <c r="BE10" s="1014"/>
      <c r="BF10" s="1014"/>
      <c r="BG10" s="1014"/>
      <c r="BH10" s="1014"/>
      <c r="BI10" s="1014"/>
      <c r="BJ10" s="1014"/>
      <c r="BK10" s="1014"/>
      <c r="BL10" s="1014"/>
      <c r="BM10" s="1014"/>
      <c r="BN10" s="1014"/>
      <c r="BO10" s="1014"/>
      <c r="BP10" s="1014"/>
      <c r="BQ10" s="1014"/>
      <c r="BR10" s="1014"/>
      <c r="BS10" s="1014"/>
      <c r="BT10" s="1014"/>
      <c r="BU10" s="1014"/>
      <c r="BV10" s="1014"/>
      <c r="BW10" s="1014"/>
      <c r="BX10" s="1014"/>
      <c r="BY10" s="1014"/>
      <c r="BZ10" s="1014"/>
      <c r="CA10" s="1014"/>
      <c r="CB10" s="1014"/>
      <c r="CC10" s="1014"/>
      <c r="CD10" s="1014"/>
      <c r="CE10" s="1014"/>
      <c r="CF10" s="1014"/>
      <c r="CG10" s="1014"/>
      <c r="CH10" s="1014"/>
      <c r="CI10" s="1014"/>
      <c r="CJ10" s="1014"/>
      <c r="CK10" s="1014"/>
      <c r="CL10" s="1014"/>
      <c r="CM10" s="1014"/>
      <c r="CN10" s="1014"/>
      <c r="CO10" s="1014"/>
      <c r="CP10" s="1014"/>
      <c r="CQ10" s="1014"/>
      <c r="CR10" s="1014"/>
      <c r="CS10" s="1014"/>
      <c r="CT10" s="1014"/>
      <c r="CU10" s="1014"/>
      <c r="CV10" s="1014"/>
      <c r="CW10" s="1014"/>
      <c r="CX10" s="1014"/>
      <c r="CY10" s="1014"/>
      <c r="CZ10" s="1014"/>
      <c r="DA10" s="1014"/>
      <c r="DB10" s="1014"/>
      <c r="DC10" s="1014"/>
      <c r="DD10" s="1014"/>
      <c r="DE10" s="1014"/>
      <c r="DF10" s="1014"/>
      <c r="DG10" s="1014"/>
      <c r="DH10" s="1014"/>
      <c r="DI10" s="1014"/>
      <c r="DJ10" s="1014"/>
      <c r="DK10" s="1014"/>
      <c r="DL10" s="1014"/>
      <c r="DM10" s="1014"/>
      <c r="DN10" s="1014"/>
      <c r="DO10" s="1014"/>
      <c r="DP10" s="1014"/>
      <c r="DQ10" s="1014"/>
      <c r="DR10" s="1014"/>
      <c r="DS10" s="1014"/>
      <c r="DT10" s="1014"/>
      <c r="DU10" s="1014"/>
      <c r="DV10" s="1014"/>
      <c r="DW10" s="1014"/>
      <c r="DX10" s="1014"/>
      <c r="DY10" s="1014"/>
      <c r="DZ10" s="1014"/>
      <c r="EA10" s="1014"/>
      <c r="EB10" s="1014"/>
      <c r="EC10" s="1014"/>
      <c r="ED10" s="1014"/>
      <c r="EE10" s="1014"/>
      <c r="EF10" s="1014"/>
      <c r="EG10" s="1014"/>
      <c r="EH10" s="1014"/>
      <c r="EI10" s="1014"/>
      <c r="EJ10" s="1014"/>
      <c r="EK10" s="1014"/>
      <c r="EL10" s="1014"/>
      <c r="EM10" s="1014"/>
      <c r="EN10" s="1014"/>
      <c r="EO10" s="1014"/>
      <c r="EP10" s="1014"/>
      <c r="EQ10" s="1014"/>
      <c r="ER10" s="1014"/>
      <c r="ES10" s="1014"/>
      <c r="ET10" s="1014"/>
      <c r="EU10" s="1014"/>
      <c r="EV10" s="1014"/>
      <c r="EW10" s="1014"/>
      <c r="EX10" s="1014"/>
      <c r="EY10" s="1014"/>
      <c r="EZ10" s="1014"/>
      <c r="FA10" s="1014"/>
      <c r="FB10" s="1014"/>
      <c r="FC10" s="1014"/>
      <c r="FD10" s="1014"/>
      <c r="FE10" s="1014"/>
      <c r="FF10" s="1014"/>
      <c r="FG10" s="1014"/>
      <c r="FH10" s="1014"/>
      <c r="FI10" s="1014"/>
      <c r="FJ10" s="1014"/>
      <c r="FK10" s="1014"/>
      <c r="FL10" s="1014"/>
      <c r="FM10" s="1014"/>
      <c r="FN10" s="1014"/>
      <c r="FO10" s="1014"/>
      <c r="FP10" s="1014"/>
      <c r="FQ10" s="1014"/>
      <c r="FR10" s="1014"/>
      <c r="FS10" s="1014"/>
      <c r="FT10" s="1014"/>
      <c r="FU10" s="1014"/>
      <c r="FV10" s="921"/>
      <c r="FW10" s="1013"/>
      <c r="FX10" s="125"/>
      <c r="GC10" s="998">
        <v>11</v>
      </c>
    </row>
    <row r="11" ht="12.75" customHeight="1">
      <c r="E11" s="1015"/>
      <c r="F11" s="345" t="s">
        <v>88</v>
      </c>
      <c r="G11" s="345" t="s">
        <v>1117</v>
      </c>
      <c r="H11" s="345" t="s">
        <v>1118</v>
      </c>
      <c r="I11" s="345" t="s">
        <v>1119</v>
      </c>
      <c r="J11" s="1016"/>
      <c r="K11" s="1016"/>
      <c r="L11" s="1016"/>
      <c r="M11" s="1016"/>
      <c r="N11" s="1016"/>
      <c r="O11" s="347" t="s">
        <v>1120</v>
      </c>
      <c r="P11" s="347"/>
      <c r="Q11" s="347"/>
      <c r="R11" s="347"/>
      <c r="S11" s="347"/>
      <c r="T11" s="347"/>
      <c r="U11" s="347"/>
      <c r="V11" s="347"/>
      <c r="W11" s="347"/>
      <c r="X11" s="347"/>
      <c r="Y11" s="347"/>
      <c r="Z11" s="347"/>
      <c r="AA11" s="347"/>
      <c r="AB11" s="347"/>
      <c r="AC11" s="1017"/>
      <c r="AD11" s="1017"/>
      <c r="AE11" s="1017"/>
      <c r="AF11" s="1017"/>
      <c r="AG11" s="1017"/>
      <c r="AH11" s="1017"/>
      <c r="AI11" s="1017"/>
      <c r="AJ11" s="1017"/>
      <c r="AK11" s="1017"/>
      <c r="AL11" s="1017"/>
      <c r="AM11" s="1017"/>
      <c r="AN11" s="1017"/>
      <c r="AO11" s="1017"/>
      <c r="AP11" s="1017"/>
      <c r="AQ11" s="1017"/>
      <c r="AR11" s="1017"/>
      <c r="AS11" s="1017"/>
      <c r="AT11" s="1017"/>
      <c r="AU11" s="1017"/>
      <c r="AV11" s="1017"/>
      <c r="AW11" s="1017"/>
      <c r="AX11" s="1017"/>
      <c r="AY11" s="1017"/>
      <c r="AZ11" s="1017"/>
      <c r="BA11" s="1017"/>
      <c r="BB11" s="1017"/>
      <c r="BC11" s="1017"/>
      <c r="BD11" s="1017"/>
      <c r="BE11" s="1017"/>
      <c r="BF11" s="1017"/>
      <c r="BG11" s="1017"/>
      <c r="BH11" s="1017"/>
      <c r="BI11" s="1017"/>
      <c r="BJ11" s="1017"/>
      <c r="BK11" s="1017"/>
      <c r="BL11" s="1017"/>
      <c r="BM11" s="1017"/>
      <c r="BN11" s="1017"/>
      <c r="BO11" s="1017"/>
      <c r="BP11" s="1017"/>
      <c r="BQ11" s="1017"/>
      <c r="BR11" s="1017"/>
      <c r="BS11" s="1018"/>
      <c r="BT11" s="825" t="s">
        <v>1120</v>
      </c>
      <c r="BU11" s="826"/>
      <c r="BV11" s="826"/>
      <c r="BW11" s="826"/>
      <c r="BX11" s="826"/>
      <c r="BY11" s="826"/>
      <c r="BZ11" s="826"/>
      <c r="CA11" s="826"/>
      <c r="CB11" s="826"/>
      <c r="CC11" s="826"/>
      <c r="CD11" s="826"/>
      <c r="CE11" s="826"/>
      <c r="CF11" s="826"/>
      <c r="CG11" s="826"/>
      <c r="CH11" s="826"/>
      <c r="CI11" s="826"/>
      <c r="CJ11" s="826"/>
      <c r="CK11" s="1019"/>
      <c r="CL11" s="1020"/>
      <c r="CM11" s="1017"/>
      <c r="CN11" s="1017"/>
      <c r="CO11" s="1017"/>
      <c r="CP11" s="1017"/>
      <c r="CQ11" s="1017"/>
      <c r="CR11" s="1017"/>
      <c r="CS11" s="1017"/>
      <c r="CT11" s="1017"/>
      <c r="CU11" s="1017"/>
      <c r="CV11" s="1017"/>
      <c r="CW11" s="1017"/>
      <c r="CX11" s="1018"/>
      <c r="CY11" s="825" t="s">
        <v>1120</v>
      </c>
      <c r="CZ11" s="826"/>
      <c r="DA11" s="826"/>
      <c r="DB11" s="826"/>
      <c r="DC11" s="826"/>
      <c r="DD11" s="826"/>
      <c r="DE11" s="826"/>
      <c r="DF11" s="826"/>
      <c r="DG11" s="826"/>
      <c r="DH11" s="826"/>
      <c r="DI11" s="826"/>
      <c r="DJ11" s="1019"/>
      <c r="DK11" s="1020"/>
      <c r="DL11" s="1017"/>
      <c r="DM11" s="1017"/>
      <c r="DN11" s="1017"/>
      <c r="DO11" s="1017"/>
      <c r="DP11" s="1017"/>
      <c r="DQ11" s="1017"/>
      <c r="DR11" s="1017"/>
      <c r="DS11" s="1017"/>
      <c r="DT11" s="1017"/>
      <c r="DU11" s="1017"/>
      <c r="DV11" s="1017"/>
      <c r="DW11" s="1017"/>
      <c r="DX11" s="1017"/>
      <c r="DY11" s="1017"/>
      <c r="DZ11" s="1017"/>
      <c r="EA11" s="1017"/>
      <c r="EB11" s="1017"/>
      <c r="EC11" s="1017"/>
      <c r="ED11" s="1017"/>
      <c r="EE11" s="1017"/>
      <c r="EF11" s="1017"/>
      <c r="EG11" s="1017"/>
      <c r="EH11" s="1017"/>
      <c r="EI11" s="1017"/>
      <c r="EJ11" s="1017"/>
      <c r="EK11" s="1017"/>
      <c r="EL11" s="1017"/>
      <c r="EM11" s="1017"/>
      <c r="EN11" s="1017"/>
      <c r="EO11" s="1017"/>
      <c r="EP11" s="1017"/>
      <c r="EQ11" s="1017"/>
      <c r="ER11" s="1017"/>
      <c r="ES11" s="1017"/>
      <c r="ET11" s="1017"/>
      <c r="EU11" s="1017"/>
      <c r="EV11" s="1017"/>
      <c r="EW11" s="1017"/>
      <c r="EX11" s="1017"/>
      <c r="EY11" s="1017"/>
      <c r="EZ11" s="1017"/>
      <c r="FA11" s="1017"/>
      <c r="FB11" s="1017"/>
      <c r="FC11" s="1017"/>
      <c r="FD11" s="1017"/>
      <c r="FE11" s="1017"/>
      <c r="FF11" s="1017"/>
      <c r="FG11" s="1017"/>
      <c r="FH11" s="1017"/>
      <c r="FI11" s="1017"/>
      <c r="FJ11" s="1017"/>
      <c r="FK11" s="1017"/>
      <c r="FL11" s="1017"/>
      <c r="FM11" s="1017"/>
      <c r="FN11" s="1017"/>
      <c r="FO11" s="1017"/>
      <c r="FP11" s="1017"/>
      <c r="FQ11" s="1017"/>
      <c r="FR11" s="1017"/>
      <c r="FS11" s="1017"/>
      <c r="FT11" s="1017"/>
      <c r="FU11" s="1017"/>
      <c r="FV11" s="1017"/>
      <c r="FW11" s="1013"/>
      <c r="FX11" s="60"/>
      <c r="GC11" s="990">
        <v>12</v>
      </c>
    </row>
    <row r="12" ht="12.75" customHeight="1">
      <c r="D12" s="994"/>
      <c r="E12" s="1015"/>
      <c r="F12" s="345"/>
      <c r="G12" s="345"/>
      <c r="H12" s="345"/>
      <c r="I12" s="345"/>
      <c r="J12" s="1016"/>
      <c r="K12" s="1016"/>
      <c r="L12" s="1016"/>
      <c r="M12" s="1016"/>
      <c r="N12" s="1016"/>
      <c r="O12" s="347" t="s">
        <v>1121</v>
      </c>
      <c r="P12" s="347"/>
      <c r="Q12" s="347"/>
      <c r="R12" s="347"/>
      <c r="S12" s="347" t="s">
        <v>1122</v>
      </c>
      <c r="T12" s="347"/>
      <c r="U12" s="347"/>
      <c r="V12" s="347"/>
      <c r="W12" s="347"/>
      <c r="X12" s="347"/>
      <c r="Y12" s="347"/>
      <c r="Z12" s="347"/>
      <c r="AA12" s="347"/>
      <c r="AB12" s="347"/>
      <c r="AC12" s="1017"/>
      <c r="AD12" s="1017"/>
      <c r="AE12" s="1017"/>
      <c r="AF12" s="1017"/>
      <c r="AG12" s="1017"/>
      <c r="AH12" s="1017"/>
      <c r="AI12" s="1017"/>
      <c r="AJ12" s="1017"/>
      <c r="AK12" s="1017"/>
      <c r="AL12" s="1017"/>
      <c r="AM12" s="1017"/>
      <c r="AN12" s="1017"/>
      <c r="AO12" s="1017"/>
      <c r="AP12" s="1017"/>
      <c r="AQ12" s="1017"/>
      <c r="AR12" s="1017"/>
      <c r="AS12" s="1017"/>
      <c r="AT12" s="1017"/>
      <c r="AU12" s="1017"/>
      <c r="AV12" s="1017"/>
      <c r="AW12" s="1017"/>
      <c r="AX12" s="1017"/>
      <c r="AY12" s="1017"/>
      <c r="AZ12" s="1017"/>
      <c r="BA12" s="1017"/>
      <c r="BB12" s="1017"/>
      <c r="BC12" s="1017"/>
      <c r="BD12" s="1017"/>
      <c r="BE12" s="1017"/>
      <c r="BF12" s="1017"/>
      <c r="BG12" s="1017"/>
      <c r="BH12" s="1017"/>
      <c r="BI12" s="1017"/>
      <c r="BJ12" s="1017"/>
      <c r="BK12" s="1017"/>
      <c r="BL12" s="1017"/>
      <c r="BM12" s="1017"/>
      <c r="BN12" s="1017"/>
      <c r="BO12" s="1017"/>
      <c r="BP12" s="1017"/>
      <c r="BQ12" s="1017"/>
      <c r="BR12" s="1017"/>
      <c r="BS12" s="1018"/>
      <c r="BT12" s="825" t="s">
        <v>1123</v>
      </c>
      <c r="BU12" s="826"/>
      <c r="BV12" s="826"/>
      <c r="BW12" s="1019"/>
      <c r="BX12" s="825" t="s">
        <v>1124</v>
      </c>
      <c r="BY12" s="826"/>
      <c r="BZ12" s="826"/>
      <c r="CA12" s="1019"/>
      <c r="CB12" s="825" t="s">
        <v>1125</v>
      </c>
      <c r="CC12" s="1019"/>
      <c r="CD12" s="825" t="s">
        <v>1126</v>
      </c>
      <c r="CE12" s="826"/>
      <c r="CF12" s="826"/>
      <c r="CG12" s="826"/>
      <c r="CH12" s="826"/>
      <c r="CI12" s="826"/>
      <c r="CJ12" s="826"/>
      <c r="CK12" s="1019"/>
      <c r="CL12" s="1020"/>
      <c r="CM12" s="1017"/>
      <c r="CN12" s="1017"/>
      <c r="CO12" s="1017"/>
      <c r="CP12" s="1017"/>
      <c r="CQ12" s="1017"/>
      <c r="CR12" s="1017"/>
      <c r="CS12" s="1017"/>
      <c r="CT12" s="1017"/>
      <c r="CU12" s="1017"/>
      <c r="CV12" s="1017"/>
      <c r="CW12" s="1017"/>
      <c r="CX12" s="1018"/>
      <c r="CY12" s="825" t="s">
        <v>1127</v>
      </c>
      <c r="CZ12" s="826"/>
      <c r="DA12" s="826"/>
      <c r="DB12" s="826"/>
      <c r="DC12" s="826"/>
      <c r="DD12" s="1019"/>
      <c r="DE12" s="825" t="s">
        <v>1128</v>
      </c>
      <c r="DF12" s="1019"/>
      <c r="DG12" s="825" t="s">
        <v>1126</v>
      </c>
      <c r="DH12" s="826"/>
      <c r="DI12" s="826"/>
      <c r="DJ12" s="1019"/>
      <c r="DK12" s="1020"/>
      <c r="DL12" s="1017"/>
      <c r="DM12" s="1017"/>
      <c r="DN12" s="1017"/>
      <c r="DO12" s="1017"/>
      <c r="DP12" s="1017"/>
      <c r="DQ12" s="1017"/>
      <c r="DR12" s="1017"/>
      <c r="DS12" s="1017"/>
      <c r="DT12" s="1017"/>
      <c r="DU12" s="1017"/>
      <c r="DV12" s="1017"/>
      <c r="DW12" s="1017"/>
      <c r="DX12" s="1017"/>
      <c r="DY12" s="1017"/>
      <c r="DZ12" s="1017"/>
      <c r="EA12" s="1017"/>
      <c r="EB12" s="1017"/>
      <c r="EC12" s="1017"/>
      <c r="ED12" s="1017"/>
      <c r="EE12" s="1017"/>
      <c r="EF12" s="1017"/>
      <c r="EG12" s="1017"/>
      <c r="EH12" s="1017"/>
      <c r="EI12" s="1017"/>
      <c r="EJ12" s="1017"/>
      <c r="EK12" s="1017"/>
      <c r="EL12" s="1017"/>
      <c r="EM12" s="1017"/>
      <c r="EN12" s="1017"/>
      <c r="EO12" s="1017"/>
      <c r="EP12" s="1017"/>
      <c r="EQ12" s="1017"/>
      <c r="ER12" s="1017"/>
      <c r="ES12" s="1017"/>
      <c r="ET12" s="1017"/>
      <c r="EU12" s="1017"/>
      <c r="EV12" s="1017"/>
      <c r="EW12" s="1017"/>
      <c r="EX12" s="1017"/>
      <c r="EY12" s="1017"/>
      <c r="EZ12" s="1017"/>
      <c r="FA12" s="1017"/>
      <c r="FB12" s="1017"/>
      <c r="FC12" s="1017"/>
      <c r="FD12" s="1017"/>
      <c r="FE12" s="1017"/>
      <c r="FF12" s="1017"/>
      <c r="FG12" s="1017"/>
      <c r="FH12" s="1017"/>
      <c r="FI12" s="1017"/>
      <c r="FJ12" s="1017"/>
      <c r="FK12" s="1017"/>
      <c r="FL12" s="1017"/>
      <c r="FM12" s="1017"/>
      <c r="FN12" s="1017"/>
      <c r="FO12" s="1017"/>
      <c r="FP12" s="1017"/>
      <c r="FQ12" s="1017"/>
      <c r="FR12" s="1017"/>
      <c r="FS12" s="1017"/>
      <c r="FT12" s="1017"/>
      <c r="FU12" s="1017"/>
      <c r="FV12" s="1017"/>
      <c r="FW12" s="1013"/>
      <c r="FX12" s="60"/>
      <c r="GC12" s="990">
        <v>12</v>
      </c>
    </row>
    <row r="13" ht="37.799999999999997" customHeight="1">
      <c r="D13" s="994"/>
      <c r="E13" s="1015"/>
      <c r="F13" s="345"/>
      <c r="G13" s="345"/>
      <c r="H13" s="345"/>
      <c r="I13" s="345"/>
      <c r="J13" s="1016"/>
      <c r="K13" s="1016"/>
      <c r="L13" s="1016"/>
      <c r="M13" s="1016"/>
      <c r="N13" s="1016"/>
      <c r="O13" s="347" t="s">
        <v>1129</v>
      </c>
      <c r="P13" s="347"/>
      <c r="Q13" s="347"/>
      <c r="R13" s="347"/>
      <c r="S13" s="660" t="s">
        <v>1130</v>
      </c>
      <c r="T13" s="827"/>
      <c r="U13" s="157" t="s">
        <v>1131</v>
      </c>
      <c r="V13" s="157"/>
      <c r="W13" s="157"/>
      <c r="X13" s="157"/>
      <c r="Y13" s="157" t="s">
        <v>1132</v>
      </c>
      <c r="Z13" s="157"/>
      <c r="AA13" s="157"/>
      <c r="AB13" s="157"/>
      <c r="AC13" s="1017"/>
      <c r="AD13" s="1017"/>
      <c r="AE13" s="1017"/>
      <c r="AF13" s="1017"/>
      <c r="AG13" s="1017"/>
      <c r="AH13" s="1017"/>
      <c r="AI13" s="1017"/>
      <c r="AJ13" s="1017"/>
      <c r="AK13" s="1017"/>
      <c r="AL13" s="1017"/>
      <c r="AM13" s="1017"/>
      <c r="AN13" s="1017"/>
      <c r="AO13" s="1017"/>
      <c r="AP13" s="1017"/>
      <c r="AQ13" s="1017"/>
      <c r="AR13" s="1017"/>
      <c r="AS13" s="1017"/>
      <c r="AT13" s="1017"/>
      <c r="AU13" s="1017"/>
      <c r="AV13" s="1017"/>
      <c r="AW13" s="1017"/>
      <c r="AX13" s="1017"/>
      <c r="AY13" s="1017"/>
      <c r="AZ13" s="1017"/>
      <c r="BA13" s="1017"/>
      <c r="BB13" s="1017"/>
      <c r="BC13" s="1017"/>
      <c r="BD13" s="1017"/>
      <c r="BE13" s="1017"/>
      <c r="BF13" s="1017"/>
      <c r="BG13" s="1017"/>
      <c r="BH13" s="1017"/>
      <c r="BI13" s="1017"/>
      <c r="BJ13" s="1017"/>
      <c r="BK13" s="1017"/>
      <c r="BL13" s="1017"/>
      <c r="BM13" s="1017"/>
      <c r="BN13" s="1017"/>
      <c r="BO13" s="1017"/>
      <c r="BP13" s="1017"/>
      <c r="BQ13" s="1017"/>
      <c r="BR13" s="1017"/>
      <c r="BS13" s="1018"/>
      <c r="BT13" s="660" t="s">
        <v>1133</v>
      </c>
      <c r="BU13" s="827"/>
      <c r="BV13" s="660" t="s">
        <v>1134</v>
      </c>
      <c r="BW13" s="827"/>
      <c r="BX13" s="660" t="s">
        <v>1135</v>
      </c>
      <c r="BY13" s="827"/>
      <c r="BZ13" s="660" t="s">
        <v>1136</v>
      </c>
      <c r="CA13" s="827"/>
      <c r="CB13" s="660" t="s">
        <v>1137</v>
      </c>
      <c r="CC13" s="827"/>
      <c r="CD13" s="660" t="s">
        <v>1138</v>
      </c>
      <c r="CE13" s="827"/>
      <c r="CF13" s="660" t="s">
        <v>1139</v>
      </c>
      <c r="CG13" s="827"/>
      <c r="CH13" s="825" t="s">
        <v>1140</v>
      </c>
      <c r="CI13" s="826"/>
      <c r="CJ13" s="826"/>
      <c r="CK13" s="1019"/>
      <c r="CL13" s="1020"/>
      <c r="CM13" s="1017"/>
      <c r="CN13" s="1017"/>
      <c r="CO13" s="1017"/>
      <c r="CP13" s="1017"/>
      <c r="CQ13" s="1017"/>
      <c r="CR13" s="1017"/>
      <c r="CS13" s="1017"/>
      <c r="CT13" s="1017"/>
      <c r="CU13" s="1017"/>
      <c r="CV13" s="1017"/>
      <c r="CW13" s="1017"/>
      <c r="CX13" s="1018"/>
      <c r="CY13" s="660" t="s">
        <v>1141</v>
      </c>
      <c r="CZ13" s="827"/>
      <c r="DA13" s="660" t="s">
        <v>1142</v>
      </c>
      <c r="DB13" s="827"/>
      <c r="DC13" s="660" t="s">
        <v>1143</v>
      </c>
      <c r="DD13" s="827"/>
      <c r="DE13" s="660" t="s">
        <v>1144</v>
      </c>
      <c r="DF13" s="827"/>
      <c r="DG13" s="825" t="s">
        <v>1145</v>
      </c>
      <c r="DH13" s="826"/>
      <c r="DI13" s="826"/>
      <c r="DJ13" s="1019"/>
      <c r="DK13" s="1020"/>
      <c r="DL13" s="1017"/>
      <c r="DM13" s="1017"/>
      <c r="DN13" s="1017"/>
      <c r="DO13" s="1017"/>
      <c r="DP13" s="1017"/>
      <c r="DQ13" s="1017"/>
      <c r="DR13" s="1017"/>
      <c r="DS13" s="1017"/>
      <c r="DT13" s="1017"/>
      <c r="DU13" s="1017"/>
      <c r="DV13" s="1017"/>
      <c r="DW13" s="1017"/>
      <c r="DX13" s="1017"/>
      <c r="DY13" s="1017"/>
      <c r="DZ13" s="1017"/>
      <c r="EA13" s="1017"/>
      <c r="EB13" s="1017"/>
      <c r="EC13" s="1017"/>
      <c r="ED13" s="1017"/>
      <c r="EE13" s="1017"/>
      <c r="EF13" s="1017"/>
      <c r="EG13" s="1017"/>
      <c r="EH13" s="1017"/>
      <c r="EI13" s="1017"/>
      <c r="EJ13" s="1017"/>
      <c r="EK13" s="1017"/>
      <c r="EL13" s="1017"/>
      <c r="EM13" s="1017"/>
      <c r="EN13" s="1017"/>
      <c r="EO13" s="1017"/>
      <c r="EP13" s="1017"/>
      <c r="EQ13" s="1017"/>
      <c r="ER13" s="1017"/>
      <c r="ES13" s="1017"/>
      <c r="ET13" s="1017"/>
      <c r="EU13" s="1017"/>
      <c r="EV13" s="1017"/>
      <c r="EW13" s="1017"/>
      <c r="EX13" s="1017"/>
      <c r="EY13" s="1017"/>
      <c r="EZ13" s="1017"/>
      <c r="FA13" s="1017"/>
      <c r="FB13" s="1017"/>
      <c r="FC13" s="1017"/>
      <c r="FD13" s="1017"/>
      <c r="FE13" s="1017"/>
      <c r="FF13" s="1017"/>
      <c r="FG13" s="1017"/>
      <c r="FH13" s="1017"/>
      <c r="FI13" s="1017"/>
      <c r="FJ13" s="1017"/>
      <c r="FK13" s="1017"/>
      <c r="FL13" s="1017"/>
      <c r="FM13" s="1017"/>
      <c r="FN13" s="1017"/>
      <c r="FO13" s="1017"/>
      <c r="FP13" s="1017"/>
      <c r="FQ13" s="1017"/>
      <c r="FR13" s="1017"/>
      <c r="FS13" s="1017"/>
      <c r="FT13" s="1017"/>
      <c r="FU13" s="1017"/>
      <c r="FV13" s="1017"/>
      <c r="FW13" s="1013"/>
      <c r="FX13" s="60"/>
      <c r="GC13" s="990">
        <v>36</v>
      </c>
    </row>
    <row r="14" ht="37.799999999999997" customHeight="1">
      <c r="D14" s="994"/>
      <c r="E14" s="1015"/>
      <c r="F14" s="345"/>
      <c r="G14" s="345"/>
      <c r="H14" s="345"/>
      <c r="I14" s="345"/>
      <c r="J14" s="1016"/>
      <c r="K14" s="1016"/>
      <c r="L14" s="1016"/>
      <c r="M14" s="1016"/>
      <c r="N14" s="1016"/>
      <c r="O14" s="660" t="s">
        <v>1146</v>
      </c>
      <c r="P14" s="827"/>
      <c r="Q14" s="660" t="s">
        <v>1147</v>
      </c>
      <c r="R14" s="827"/>
      <c r="S14" s="663"/>
      <c r="T14" s="360"/>
      <c r="U14" s="660" t="s">
        <v>831</v>
      </c>
      <c r="V14" s="827"/>
      <c r="W14" s="660" t="s">
        <v>834</v>
      </c>
      <c r="X14" s="827"/>
      <c r="Y14" s="660" t="s">
        <v>831</v>
      </c>
      <c r="Z14" s="827"/>
      <c r="AA14" s="660" t="s">
        <v>841</v>
      </c>
      <c r="AB14" s="827"/>
      <c r="AC14" s="1017"/>
      <c r="AD14" s="1017"/>
      <c r="AE14" s="1017"/>
      <c r="AF14" s="1017"/>
      <c r="AG14" s="1017"/>
      <c r="AH14" s="1017"/>
      <c r="AI14" s="1017"/>
      <c r="AJ14" s="1017"/>
      <c r="AK14" s="1017"/>
      <c r="AL14" s="1017"/>
      <c r="AM14" s="1017"/>
      <c r="AN14" s="1017"/>
      <c r="AO14" s="1017"/>
      <c r="AP14" s="1017"/>
      <c r="AQ14" s="1017"/>
      <c r="AR14" s="1017"/>
      <c r="AS14" s="1017"/>
      <c r="AT14" s="1017"/>
      <c r="AU14" s="1017"/>
      <c r="AV14" s="1017"/>
      <c r="AW14" s="1017"/>
      <c r="AX14" s="1017"/>
      <c r="AY14" s="1017"/>
      <c r="AZ14" s="1017"/>
      <c r="BA14" s="1017"/>
      <c r="BB14" s="1017"/>
      <c r="BC14" s="1017"/>
      <c r="BD14" s="1017"/>
      <c r="BE14" s="1017"/>
      <c r="BF14" s="1017"/>
      <c r="BG14" s="1017"/>
      <c r="BH14" s="1017"/>
      <c r="BI14" s="1017"/>
      <c r="BJ14" s="1017"/>
      <c r="BK14" s="1017"/>
      <c r="BL14" s="1017"/>
      <c r="BM14" s="1017"/>
      <c r="BN14" s="1017"/>
      <c r="BO14" s="1017"/>
      <c r="BP14" s="1017"/>
      <c r="BQ14" s="1017"/>
      <c r="BR14" s="1017"/>
      <c r="BS14" s="1018"/>
      <c r="BT14" s="663"/>
      <c r="BU14" s="360"/>
      <c r="BV14" s="663"/>
      <c r="BW14" s="360"/>
      <c r="BX14" s="663"/>
      <c r="BY14" s="360"/>
      <c r="BZ14" s="663"/>
      <c r="CA14" s="360"/>
      <c r="CB14" s="663"/>
      <c r="CC14" s="360"/>
      <c r="CD14" s="663"/>
      <c r="CE14" s="360"/>
      <c r="CF14" s="663"/>
      <c r="CG14" s="360"/>
      <c r="CH14" s="660" t="s">
        <v>1148</v>
      </c>
      <c r="CI14" s="827"/>
      <c r="CJ14" s="660" t="s">
        <v>1149</v>
      </c>
      <c r="CK14" s="827"/>
      <c r="CL14" s="1020"/>
      <c r="CM14" s="1017"/>
      <c r="CN14" s="1017"/>
      <c r="CO14" s="1017"/>
      <c r="CP14" s="1017"/>
      <c r="CQ14" s="1017"/>
      <c r="CR14" s="1017"/>
      <c r="CS14" s="1017"/>
      <c r="CT14" s="1017"/>
      <c r="CU14" s="1017"/>
      <c r="CV14" s="1017"/>
      <c r="CW14" s="1017"/>
      <c r="CX14" s="1018"/>
      <c r="CY14" s="663"/>
      <c r="CZ14" s="360"/>
      <c r="DA14" s="663"/>
      <c r="DB14" s="360"/>
      <c r="DC14" s="663"/>
      <c r="DD14" s="360"/>
      <c r="DE14" s="663"/>
      <c r="DF14" s="360"/>
      <c r="DG14" s="660" t="s">
        <v>1150</v>
      </c>
      <c r="DH14" s="827"/>
      <c r="DI14" s="660" t="s">
        <v>1151</v>
      </c>
      <c r="DJ14" s="827"/>
      <c r="DK14" s="1020"/>
      <c r="DL14" s="1017"/>
      <c r="DM14" s="1017"/>
      <c r="DN14" s="1017"/>
      <c r="DO14" s="1017"/>
      <c r="DP14" s="1017"/>
      <c r="DQ14" s="1017"/>
      <c r="DR14" s="1017"/>
      <c r="DS14" s="1017"/>
      <c r="DT14" s="1017"/>
      <c r="DU14" s="1017"/>
      <c r="DV14" s="1017"/>
      <c r="DW14" s="1017"/>
      <c r="DX14" s="1017"/>
      <c r="DY14" s="1017"/>
      <c r="DZ14" s="1017"/>
      <c r="EA14" s="1017"/>
      <c r="EB14" s="1017"/>
      <c r="EC14" s="1017"/>
      <c r="ED14" s="1017"/>
      <c r="EE14" s="1017"/>
      <c r="EF14" s="1017"/>
      <c r="EG14" s="1017"/>
      <c r="EH14" s="1017"/>
      <c r="EI14" s="1017"/>
      <c r="EJ14" s="1017"/>
      <c r="EK14" s="1017"/>
      <c r="EL14" s="1017"/>
      <c r="EM14" s="1017"/>
      <c r="EN14" s="1017"/>
      <c r="EO14" s="1017"/>
      <c r="EP14" s="1017"/>
      <c r="EQ14" s="1017"/>
      <c r="ER14" s="1017"/>
      <c r="ES14" s="1017"/>
      <c r="ET14" s="1017"/>
      <c r="EU14" s="1017"/>
      <c r="EV14" s="1017"/>
      <c r="EW14" s="1017"/>
      <c r="EX14" s="1017"/>
      <c r="EY14" s="1017"/>
      <c r="EZ14" s="1017"/>
      <c r="FA14" s="1017"/>
      <c r="FB14" s="1017"/>
      <c r="FC14" s="1017"/>
      <c r="FD14" s="1017"/>
      <c r="FE14" s="1017"/>
      <c r="FF14" s="1017"/>
      <c r="FG14" s="1017"/>
      <c r="FH14" s="1017"/>
      <c r="FI14" s="1017"/>
      <c r="FJ14" s="1017"/>
      <c r="FK14" s="1017"/>
      <c r="FL14" s="1017"/>
      <c r="FM14" s="1017"/>
      <c r="FN14" s="1017"/>
      <c r="FO14" s="1017"/>
      <c r="FP14" s="1017"/>
      <c r="FQ14" s="1017"/>
      <c r="FR14" s="1017"/>
      <c r="FS14" s="1017"/>
      <c r="FT14" s="1017"/>
      <c r="FU14" s="1017"/>
      <c r="FV14" s="1017"/>
      <c r="FW14" s="1013"/>
      <c r="FX14" s="60"/>
      <c r="GC14" s="990">
        <v>36</v>
      </c>
    </row>
    <row r="15" ht="37.799999999999997" customHeight="1">
      <c r="D15" s="994"/>
      <c r="E15" s="1015"/>
      <c r="F15" s="345"/>
      <c r="G15" s="345"/>
      <c r="H15" s="345"/>
      <c r="I15" s="345"/>
      <c r="J15" s="1016"/>
      <c r="K15" s="1016"/>
      <c r="L15" s="1016"/>
      <c r="M15" s="1016"/>
      <c r="N15" s="1016"/>
      <c r="O15" s="669"/>
      <c r="P15" s="693"/>
      <c r="Q15" s="669"/>
      <c r="R15" s="693"/>
      <c r="S15" s="669"/>
      <c r="T15" s="693"/>
      <c r="U15" s="669"/>
      <c r="V15" s="693"/>
      <c r="W15" s="669"/>
      <c r="X15" s="693"/>
      <c r="Y15" s="669"/>
      <c r="Z15" s="693"/>
      <c r="AA15" s="669"/>
      <c r="AB15" s="693"/>
      <c r="AC15" s="1017"/>
      <c r="AD15" s="1017"/>
      <c r="AE15" s="1017"/>
      <c r="AF15" s="1017"/>
      <c r="AG15" s="1017"/>
      <c r="AH15" s="1017"/>
      <c r="AI15" s="1017"/>
      <c r="AJ15" s="1017"/>
      <c r="AK15" s="1017"/>
      <c r="AL15" s="1017"/>
      <c r="AM15" s="1017"/>
      <c r="AN15" s="1017"/>
      <c r="AO15" s="1017"/>
      <c r="AP15" s="1017"/>
      <c r="AQ15" s="1017"/>
      <c r="AR15" s="1017"/>
      <c r="AS15" s="1017"/>
      <c r="AT15" s="1017"/>
      <c r="AU15" s="1017"/>
      <c r="AV15" s="1017"/>
      <c r="AW15" s="1017"/>
      <c r="AX15" s="1017"/>
      <c r="AY15" s="1017"/>
      <c r="AZ15" s="1017"/>
      <c r="BA15" s="1017"/>
      <c r="BB15" s="1017"/>
      <c r="BC15" s="1017"/>
      <c r="BD15" s="1017"/>
      <c r="BE15" s="1017"/>
      <c r="BF15" s="1017"/>
      <c r="BG15" s="1017"/>
      <c r="BH15" s="1017"/>
      <c r="BI15" s="1017"/>
      <c r="BJ15" s="1017"/>
      <c r="BK15" s="1017"/>
      <c r="BL15" s="1017"/>
      <c r="BM15" s="1017"/>
      <c r="BN15" s="1017"/>
      <c r="BO15" s="1017"/>
      <c r="BP15" s="1017"/>
      <c r="BQ15" s="1017"/>
      <c r="BR15" s="1017"/>
      <c r="BS15" s="1018"/>
      <c r="BT15" s="669"/>
      <c r="BU15" s="693"/>
      <c r="BV15" s="669"/>
      <c r="BW15" s="693"/>
      <c r="BX15" s="669"/>
      <c r="BY15" s="693"/>
      <c r="BZ15" s="669"/>
      <c r="CA15" s="693"/>
      <c r="CB15" s="669"/>
      <c r="CC15" s="693"/>
      <c r="CD15" s="669"/>
      <c r="CE15" s="693"/>
      <c r="CF15" s="669"/>
      <c r="CG15" s="693"/>
      <c r="CH15" s="669"/>
      <c r="CI15" s="693"/>
      <c r="CJ15" s="669"/>
      <c r="CK15" s="693"/>
      <c r="CL15" s="1020"/>
      <c r="CM15" s="1017"/>
      <c r="CN15" s="1017"/>
      <c r="CO15" s="1017"/>
      <c r="CP15" s="1017"/>
      <c r="CQ15" s="1017"/>
      <c r="CR15" s="1017"/>
      <c r="CS15" s="1017"/>
      <c r="CT15" s="1017"/>
      <c r="CU15" s="1017"/>
      <c r="CV15" s="1017"/>
      <c r="CW15" s="1017"/>
      <c r="CX15" s="1018"/>
      <c r="CY15" s="669"/>
      <c r="CZ15" s="693"/>
      <c r="DA15" s="669"/>
      <c r="DB15" s="693"/>
      <c r="DC15" s="669"/>
      <c r="DD15" s="693"/>
      <c r="DE15" s="669"/>
      <c r="DF15" s="693"/>
      <c r="DG15" s="669"/>
      <c r="DH15" s="693"/>
      <c r="DI15" s="669"/>
      <c r="DJ15" s="693"/>
      <c r="DK15" s="1020"/>
      <c r="DL15" s="1017"/>
      <c r="DM15" s="1017"/>
      <c r="DN15" s="1017"/>
      <c r="DO15" s="1017"/>
      <c r="DP15" s="1017"/>
      <c r="DQ15" s="1017"/>
      <c r="DR15" s="1017"/>
      <c r="DS15" s="1017"/>
      <c r="DT15" s="1017"/>
      <c r="DU15" s="1017"/>
      <c r="DV15" s="1017"/>
      <c r="DW15" s="1017"/>
      <c r="DX15" s="1017"/>
      <c r="DY15" s="1017"/>
      <c r="DZ15" s="1017"/>
      <c r="EA15" s="1017"/>
      <c r="EB15" s="1017"/>
      <c r="EC15" s="1017"/>
      <c r="ED15" s="1017"/>
      <c r="EE15" s="1017"/>
      <c r="EF15" s="1017"/>
      <c r="EG15" s="1017"/>
      <c r="EH15" s="1017"/>
      <c r="EI15" s="1017"/>
      <c r="EJ15" s="1017"/>
      <c r="EK15" s="1017"/>
      <c r="EL15" s="1017"/>
      <c r="EM15" s="1017"/>
      <c r="EN15" s="1017"/>
      <c r="EO15" s="1017"/>
      <c r="EP15" s="1017"/>
      <c r="EQ15" s="1017"/>
      <c r="ER15" s="1017"/>
      <c r="ES15" s="1017"/>
      <c r="ET15" s="1017"/>
      <c r="EU15" s="1017"/>
      <c r="EV15" s="1017"/>
      <c r="EW15" s="1017"/>
      <c r="EX15" s="1017"/>
      <c r="EY15" s="1017"/>
      <c r="EZ15" s="1017"/>
      <c r="FA15" s="1017"/>
      <c r="FB15" s="1017"/>
      <c r="FC15" s="1017"/>
      <c r="FD15" s="1017"/>
      <c r="FE15" s="1017"/>
      <c r="FF15" s="1017"/>
      <c r="FG15" s="1017"/>
      <c r="FH15" s="1017"/>
      <c r="FI15" s="1017"/>
      <c r="FJ15" s="1017"/>
      <c r="FK15" s="1017"/>
      <c r="FL15" s="1017"/>
      <c r="FM15" s="1017"/>
      <c r="FN15" s="1017"/>
      <c r="FO15" s="1017"/>
      <c r="FP15" s="1017"/>
      <c r="FQ15" s="1017"/>
      <c r="FR15" s="1017"/>
      <c r="FS15" s="1017"/>
      <c r="FT15" s="1017"/>
      <c r="FU15" s="1017"/>
      <c r="FV15" s="1017"/>
      <c r="FW15" s="1013"/>
      <c r="FX15" s="60"/>
      <c r="GC15" s="990">
        <v>36</v>
      </c>
    </row>
    <row r="16" ht="12.75" customHeight="1">
      <c r="D16" s="994"/>
      <c r="E16" s="1015"/>
      <c r="F16" s="345"/>
      <c r="G16" s="345"/>
      <c r="H16" s="345"/>
      <c r="I16" s="345"/>
      <c r="J16" s="1016"/>
      <c r="K16" s="1016"/>
      <c r="L16" s="1016"/>
      <c r="M16" s="1016"/>
      <c r="N16" s="1016"/>
      <c r="O16" s="825" t="s">
        <v>821</v>
      </c>
      <c r="P16" s="1019"/>
      <c r="Q16" s="825" t="s">
        <v>823</v>
      </c>
      <c r="R16" s="1019"/>
      <c r="S16" s="825" t="s">
        <v>827</v>
      </c>
      <c r="T16" s="1019"/>
      <c r="U16" s="825" t="s">
        <v>832</v>
      </c>
      <c r="V16" s="1019"/>
      <c r="W16" s="825" t="s">
        <v>835</v>
      </c>
      <c r="X16" s="1019"/>
      <c r="Y16" s="825" t="s">
        <v>839</v>
      </c>
      <c r="Z16" s="1019"/>
      <c r="AA16" s="825" t="s">
        <v>842</v>
      </c>
      <c r="AB16" s="1019"/>
      <c r="AC16" s="1017"/>
      <c r="AD16" s="1017"/>
      <c r="AE16" s="1017"/>
      <c r="AF16" s="1017"/>
      <c r="AG16" s="1017"/>
      <c r="AH16" s="1017"/>
      <c r="AI16" s="1017"/>
      <c r="AJ16" s="1017"/>
      <c r="AK16" s="1017"/>
      <c r="AL16" s="1017"/>
      <c r="AM16" s="1017"/>
      <c r="AN16" s="1017"/>
      <c r="AO16" s="1017"/>
      <c r="AP16" s="1017"/>
      <c r="AQ16" s="1017"/>
      <c r="AR16" s="1017"/>
      <c r="AS16" s="1017"/>
      <c r="AT16" s="1017"/>
      <c r="AU16" s="1017"/>
      <c r="AV16" s="1017"/>
      <c r="AW16" s="1017"/>
      <c r="AX16" s="1017"/>
      <c r="AY16" s="1017"/>
      <c r="AZ16" s="1017"/>
      <c r="BA16" s="1017"/>
      <c r="BB16" s="1017"/>
      <c r="BC16" s="1017"/>
      <c r="BD16" s="1017"/>
      <c r="BE16" s="1017"/>
      <c r="BF16" s="1017"/>
      <c r="BG16" s="1017"/>
      <c r="BH16" s="1017"/>
      <c r="BI16" s="1017"/>
      <c r="BJ16" s="1017"/>
      <c r="BK16" s="1017"/>
      <c r="BL16" s="1017"/>
      <c r="BM16" s="1017"/>
      <c r="BN16" s="1017"/>
      <c r="BO16" s="1017"/>
      <c r="BP16" s="1017"/>
      <c r="BQ16" s="1017"/>
      <c r="BR16" s="1017"/>
      <c r="BS16" s="1018"/>
      <c r="BT16" s="825" t="s">
        <v>553</v>
      </c>
      <c r="BU16" s="1019"/>
      <c r="BV16" s="825" t="s">
        <v>553</v>
      </c>
      <c r="BW16" s="1019"/>
      <c r="BX16" s="825" t="s">
        <v>553</v>
      </c>
      <c r="BY16" s="1019"/>
      <c r="BZ16" s="825" t="s">
        <v>553</v>
      </c>
      <c r="CA16" s="1019"/>
      <c r="CB16" s="825" t="s">
        <v>1152</v>
      </c>
      <c r="CC16" s="1019"/>
      <c r="CD16" s="825" t="s">
        <v>553</v>
      </c>
      <c r="CE16" s="1019"/>
      <c r="CF16" s="825" t="s">
        <v>1153</v>
      </c>
      <c r="CG16" s="1019"/>
      <c r="CH16" s="825" t="s">
        <v>1154</v>
      </c>
      <c r="CI16" s="1019"/>
      <c r="CJ16" s="825" t="s">
        <v>1154</v>
      </c>
      <c r="CK16" s="1019"/>
      <c r="CL16" s="1020"/>
      <c r="CM16" s="1017"/>
      <c r="CN16" s="1017"/>
      <c r="CO16" s="1017"/>
      <c r="CP16" s="1017"/>
      <c r="CQ16" s="1017"/>
      <c r="CR16" s="1017"/>
      <c r="CS16" s="1017"/>
      <c r="CT16" s="1017"/>
      <c r="CU16" s="1017"/>
      <c r="CV16" s="1017"/>
      <c r="CW16" s="1017"/>
      <c r="CX16" s="1018"/>
      <c r="CY16" s="660" t="s">
        <v>553</v>
      </c>
      <c r="CZ16" s="827"/>
      <c r="DA16" s="660" t="s">
        <v>553</v>
      </c>
      <c r="DB16" s="827"/>
      <c r="DC16" s="660" t="s">
        <v>553</v>
      </c>
      <c r="DD16" s="827"/>
      <c r="DE16" s="825" t="s">
        <v>1152</v>
      </c>
      <c r="DF16" s="1019"/>
      <c r="DG16" s="825" t="s">
        <v>1155</v>
      </c>
      <c r="DH16" s="1019"/>
      <c r="DI16" s="825" t="s">
        <v>1155</v>
      </c>
      <c r="DJ16" s="1019"/>
      <c r="DK16" s="1020"/>
      <c r="DL16" s="1017"/>
      <c r="DM16" s="1017"/>
      <c r="DN16" s="1017"/>
      <c r="DO16" s="1017"/>
      <c r="DP16" s="1017"/>
      <c r="DQ16" s="1017"/>
      <c r="DR16" s="1017"/>
      <c r="DS16" s="1017"/>
      <c r="DT16" s="1017"/>
      <c r="DU16" s="1017"/>
      <c r="DV16" s="1017"/>
      <c r="DW16" s="1017"/>
      <c r="DX16" s="1017"/>
      <c r="DY16" s="1017"/>
      <c r="DZ16" s="1017"/>
      <c r="EA16" s="1017"/>
      <c r="EB16" s="1017"/>
      <c r="EC16" s="1017"/>
      <c r="ED16" s="1017"/>
      <c r="EE16" s="1017"/>
      <c r="EF16" s="1017"/>
      <c r="EG16" s="1017"/>
      <c r="EH16" s="1017"/>
      <c r="EI16" s="1017"/>
      <c r="EJ16" s="1017"/>
      <c r="EK16" s="1017"/>
      <c r="EL16" s="1017"/>
      <c r="EM16" s="1017"/>
      <c r="EN16" s="1017"/>
      <c r="EO16" s="1017"/>
      <c r="EP16" s="1017"/>
      <c r="EQ16" s="1017"/>
      <c r="ER16" s="1017"/>
      <c r="ES16" s="1017"/>
      <c r="ET16" s="1017"/>
      <c r="EU16" s="1017"/>
      <c r="EV16" s="1017"/>
      <c r="EW16" s="1017"/>
      <c r="EX16" s="1017"/>
      <c r="EY16" s="1017"/>
      <c r="EZ16" s="1017"/>
      <c r="FA16" s="1017"/>
      <c r="FB16" s="1017"/>
      <c r="FC16" s="1017"/>
      <c r="FD16" s="1017"/>
      <c r="FE16" s="1017"/>
      <c r="FF16" s="1017"/>
      <c r="FG16" s="1017"/>
      <c r="FH16" s="1017"/>
      <c r="FI16" s="1017"/>
      <c r="FJ16" s="1017"/>
      <c r="FK16" s="1017"/>
      <c r="FL16" s="1017"/>
      <c r="FM16" s="1017"/>
      <c r="FN16" s="1017"/>
      <c r="FO16" s="1017"/>
      <c r="FP16" s="1017"/>
      <c r="FQ16" s="1017"/>
      <c r="FR16" s="1017"/>
      <c r="FS16" s="1017"/>
      <c r="FT16" s="1017"/>
      <c r="FU16" s="1017"/>
      <c r="FV16" s="1017"/>
      <c r="FW16" s="1013"/>
      <c r="FX16" s="60"/>
      <c r="GC16" s="990">
        <v>12</v>
      </c>
    </row>
    <row r="17" ht="15.75" customHeight="1">
      <c r="E17" s="1015"/>
      <c r="F17" s="345"/>
      <c r="G17" s="345"/>
      <c r="H17" s="345"/>
      <c r="I17" s="345"/>
      <c r="J17" s="1016"/>
      <c r="K17" s="1016"/>
      <c r="L17" s="1016"/>
      <c r="M17" s="1016"/>
      <c r="N17" s="1016"/>
      <c r="O17" s="347" t="s">
        <v>1156</v>
      </c>
      <c r="P17" s="347" t="s">
        <v>1157</v>
      </c>
      <c r="Q17" s="347" t="s">
        <v>1156</v>
      </c>
      <c r="R17" s="347" t="s">
        <v>1157</v>
      </c>
      <c r="S17" s="347" t="s">
        <v>1156</v>
      </c>
      <c r="T17" s="347" t="s">
        <v>1157</v>
      </c>
      <c r="U17" s="347" t="s">
        <v>1156</v>
      </c>
      <c r="V17" s="347" t="s">
        <v>1157</v>
      </c>
      <c r="W17" s="347" t="s">
        <v>1156</v>
      </c>
      <c r="X17" s="347" t="s">
        <v>1157</v>
      </c>
      <c r="Y17" s="347" t="s">
        <v>1156</v>
      </c>
      <c r="Z17" s="347" t="s">
        <v>1157</v>
      </c>
      <c r="AA17" s="347" t="s">
        <v>1156</v>
      </c>
      <c r="AB17" s="347" t="s">
        <v>1157</v>
      </c>
      <c r="AC17" s="1017"/>
      <c r="AD17" s="1017"/>
      <c r="AE17" s="1017"/>
      <c r="AF17" s="1017"/>
      <c r="AG17" s="1017"/>
      <c r="AH17" s="1017"/>
      <c r="AI17" s="1017"/>
      <c r="AJ17" s="1017"/>
      <c r="AK17" s="1017"/>
      <c r="AL17" s="1017"/>
      <c r="AM17" s="1017"/>
      <c r="AN17" s="1017"/>
      <c r="AO17" s="1017"/>
      <c r="AP17" s="1017"/>
      <c r="AQ17" s="1017"/>
      <c r="AR17" s="1017"/>
      <c r="AS17" s="1017"/>
      <c r="AT17" s="1017"/>
      <c r="AU17" s="1017"/>
      <c r="AV17" s="1017"/>
      <c r="AW17" s="1017"/>
      <c r="AX17" s="1017"/>
      <c r="AY17" s="1017"/>
      <c r="AZ17" s="1017"/>
      <c r="BA17" s="1017"/>
      <c r="BB17" s="1017"/>
      <c r="BC17" s="1017"/>
      <c r="BD17" s="1017"/>
      <c r="BE17" s="1017"/>
      <c r="BF17" s="1017"/>
      <c r="BG17" s="1017"/>
      <c r="BH17" s="1017"/>
      <c r="BI17" s="1017"/>
      <c r="BJ17" s="1017"/>
      <c r="BK17" s="1017"/>
      <c r="BL17" s="1017"/>
      <c r="BM17" s="1017"/>
      <c r="BN17" s="1017"/>
      <c r="BO17" s="1017"/>
      <c r="BP17" s="1017"/>
      <c r="BQ17" s="1017"/>
      <c r="BR17" s="1017"/>
      <c r="BS17" s="1018"/>
      <c r="BT17" s="347" t="s">
        <v>1156</v>
      </c>
      <c r="BU17" s="347" t="s">
        <v>1157</v>
      </c>
      <c r="BV17" s="347" t="s">
        <v>1156</v>
      </c>
      <c r="BW17" s="347" t="s">
        <v>1157</v>
      </c>
      <c r="BX17" s="347" t="s">
        <v>1156</v>
      </c>
      <c r="BY17" s="347" t="s">
        <v>1157</v>
      </c>
      <c r="BZ17" s="347" t="s">
        <v>1156</v>
      </c>
      <c r="CA17" s="347" t="s">
        <v>1157</v>
      </c>
      <c r="CB17" s="347" t="s">
        <v>1156</v>
      </c>
      <c r="CC17" s="347" t="s">
        <v>1157</v>
      </c>
      <c r="CD17" s="347" t="s">
        <v>1156</v>
      </c>
      <c r="CE17" s="347" t="s">
        <v>1157</v>
      </c>
      <c r="CF17" s="347" t="s">
        <v>1156</v>
      </c>
      <c r="CG17" s="347" t="s">
        <v>1157</v>
      </c>
      <c r="CH17" s="347" t="s">
        <v>1156</v>
      </c>
      <c r="CI17" s="347" t="s">
        <v>1157</v>
      </c>
      <c r="CJ17" s="347" t="s">
        <v>1156</v>
      </c>
      <c r="CK17" s="347" t="s">
        <v>1157</v>
      </c>
      <c r="CL17" s="1020"/>
      <c r="CM17" s="1017"/>
      <c r="CN17" s="1017"/>
      <c r="CO17" s="1017"/>
      <c r="CP17" s="1017"/>
      <c r="CQ17" s="1017"/>
      <c r="CR17" s="1017"/>
      <c r="CS17" s="1017"/>
      <c r="CT17" s="1017"/>
      <c r="CU17" s="1017"/>
      <c r="CV17" s="1017"/>
      <c r="CW17" s="1017"/>
      <c r="CX17" s="1018"/>
      <c r="CY17" s="347" t="s">
        <v>1156</v>
      </c>
      <c r="CZ17" s="347" t="s">
        <v>1157</v>
      </c>
      <c r="DA17" s="347" t="s">
        <v>1156</v>
      </c>
      <c r="DB17" s="347" t="s">
        <v>1157</v>
      </c>
      <c r="DC17" s="347" t="s">
        <v>1156</v>
      </c>
      <c r="DD17" s="347" t="s">
        <v>1157</v>
      </c>
      <c r="DE17" s="347" t="s">
        <v>1156</v>
      </c>
      <c r="DF17" s="347" t="s">
        <v>1157</v>
      </c>
      <c r="DG17" s="347" t="s">
        <v>1156</v>
      </c>
      <c r="DH17" s="347" t="s">
        <v>1157</v>
      </c>
      <c r="DI17" s="347" t="s">
        <v>1156</v>
      </c>
      <c r="DJ17" s="347" t="s">
        <v>1157</v>
      </c>
      <c r="DK17" s="1020"/>
      <c r="DL17" s="1017"/>
      <c r="DM17" s="1017"/>
      <c r="DN17" s="1017"/>
      <c r="DO17" s="1017"/>
      <c r="DP17" s="1017"/>
      <c r="DQ17" s="1017"/>
      <c r="DR17" s="1017"/>
      <c r="DS17" s="1017"/>
      <c r="DT17" s="1017"/>
      <c r="DU17" s="1017"/>
      <c r="DV17" s="1017"/>
      <c r="DW17" s="1017"/>
      <c r="DX17" s="1017"/>
      <c r="DY17" s="1017"/>
      <c r="DZ17" s="1017"/>
      <c r="EA17" s="1017"/>
      <c r="EB17" s="1017"/>
      <c r="EC17" s="1017"/>
      <c r="ED17" s="1017"/>
      <c r="EE17" s="1017"/>
      <c r="EF17" s="1017"/>
      <c r="EG17" s="1017"/>
      <c r="EH17" s="1017"/>
      <c r="EI17" s="1017"/>
      <c r="EJ17" s="1017"/>
      <c r="EK17" s="1017"/>
      <c r="EL17" s="1017"/>
      <c r="EM17" s="1017"/>
      <c r="EN17" s="1017"/>
      <c r="EO17" s="1017"/>
      <c r="EP17" s="1017"/>
      <c r="EQ17" s="1017"/>
      <c r="ER17" s="1017"/>
      <c r="ES17" s="1017"/>
      <c r="ET17" s="1017"/>
      <c r="EU17" s="1017"/>
      <c r="EV17" s="1017"/>
      <c r="EW17" s="1017"/>
      <c r="EX17" s="1017"/>
      <c r="EY17" s="1017"/>
      <c r="EZ17" s="1017"/>
      <c r="FA17" s="1017"/>
      <c r="FB17" s="1017"/>
      <c r="FC17" s="1017"/>
      <c r="FD17" s="1017"/>
      <c r="FE17" s="1017"/>
      <c r="FF17" s="1017"/>
      <c r="FG17" s="1017"/>
      <c r="FH17" s="1017"/>
      <c r="FI17" s="1017"/>
      <c r="FJ17" s="1017"/>
      <c r="FK17" s="1017"/>
      <c r="FL17" s="1017"/>
      <c r="FM17" s="1017"/>
      <c r="FN17" s="1017"/>
      <c r="FO17" s="1017"/>
      <c r="FP17" s="1017"/>
      <c r="FQ17" s="1017"/>
      <c r="FR17" s="1017"/>
      <c r="FS17" s="1017"/>
      <c r="FT17" s="1017"/>
      <c r="FU17" s="1017"/>
      <c r="FV17" s="1017"/>
      <c r="FW17" s="1021"/>
      <c r="FX17" s="60"/>
      <c r="GC17" s="990">
        <v>15</v>
      </c>
    </row>
    <row r="18" s="992" customFormat="1" ht="12" hidden="1" customHeight="1">
      <c r="B18" s="993"/>
      <c r="E18" s="1022"/>
      <c r="F18" s="1023"/>
      <c r="G18" s="1023"/>
      <c r="H18" s="1023"/>
      <c r="I18" s="1023"/>
      <c r="J18" s="1024"/>
      <c r="K18" s="1024"/>
      <c r="L18" s="1024"/>
      <c r="M18" s="1024"/>
      <c r="N18" s="1024"/>
      <c r="O18" s="1023"/>
      <c r="P18" s="1023"/>
      <c r="Q18" s="1023"/>
      <c r="R18" s="1023"/>
      <c r="S18" s="1023"/>
      <c r="T18" s="1023"/>
      <c r="U18" s="1025"/>
      <c r="V18" s="1025"/>
      <c r="W18" s="1025"/>
      <c r="X18" s="1025"/>
      <c r="Y18" s="1025"/>
      <c r="Z18" s="1025"/>
      <c r="AA18" s="1025"/>
      <c r="AB18" s="1023"/>
      <c r="AC18" s="1024"/>
      <c r="AD18" s="1024"/>
      <c r="AE18" s="1024"/>
      <c r="AF18" s="1024"/>
      <c r="AG18" s="1024"/>
      <c r="AH18" s="1024"/>
      <c r="AI18" s="1024"/>
      <c r="AJ18" s="1024"/>
      <c r="AK18" s="1024"/>
      <c r="AL18" s="1024"/>
      <c r="AM18" s="1024"/>
      <c r="AN18" s="1024"/>
      <c r="AO18" s="1024"/>
      <c r="AP18" s="1024"/>
      <c r="AQ18" s="1024"/>
      <c r="AR18" s="1024"/>
      <c r="AS18" s="1024"/>
      <c r="AT18" s="1024"/>
      <c r="AU18" s="1024"/>
      <c r="AV18" s="1024"/>
      <c r="AW18" s="1024"/>
      <c r="AX18" s="1024"/>
      <c r="AY18" s="1024"/>
      <c r="AZ18" s="1024"/>
      <c r="BA18" s="1024"/>
      <c r="BB18" s="1024"/>
      <c r="BC18" s="1024"/>
      <c r="BD18" s="1024"/>
      <c r="BE18" s="1024"/>
      <c r="BF18" s="1024"/>
      <c r="BG18" s="1024"/>
      <c r="BH18" s="1024"/>
      <c r="BI18" s="1024"/>
      <c r="BJ18" s="1024"/>
      <c r="BK18" s="1024"/>
      <c r="BL18" s="1024"/>
      <c r="BM18" s="1024"/>
      <c r="BN18" s="1024"/>
      <c r="BO18" s="1024"/>
      <c r="BP18" s="1024"/>
      <c r="BQ18" s="1024"/>
      <c r="BR18" s="1024"/>
      <c r="BS18" s="1024"/>
      <c r="BT18" s="1026"/>
      <c r="BU18" s="1026"/>
      <c r="BV18" s="1026"/>
      <c r="BW18" s="1026"/>
      <c r="BX18" s="1026"/>
      <c r="BY18" s="1026"/>
      <c r="BZ18" s="1026"/>
      <c r="CA18" s="1026"/>
      <c r="CB18" s="1026"/>
      <c r="CC18" s="1026"/>
      <c r="CD18" s="1026"/>
      <c r="CE18" s="1026"/>
      <c r="CF18" s="1026"/>
      <c r="CG18" s="1026"/>
      <c r="CH18" s="1026"/>
      <c r="CI18" s="1026"/>
      <c r="CJ18" s="1026"/>
      <c r="CK18" s="1026"/>
      <c r="CL18" s="1024"/>
      <c r="CM18" s="1024"/>
      <c r="CN18" s="1024"/>
      <c r="CO18" s="1024"/>
      <c r="CP18" s="1024"/>
      <c r="CQ18" s="1024"/>
      <c r="CR18" s="1024"/>
      <c r="CS18" s="1024"/>
      <c r="CT18" s="1024"/>
      <c r="CU18" s="1024"/>
      <c r="CV18" s="1024"/>
      <c r="CW18" s="1024"/>
      <c r="CX18" s="1024"/>
      <c r="CY18" s="1026"/>
      <c r="CZ18" s="1026"/>
      <c r="DA18" s="1026"/>
      <c r="DB18" s="1026"/>
      <c r="DC18" s="1026"/>
      <c r="DD18" s="1026"/>
      <c r="DE18" s="1026"/>
      <c r="DF18" s="1026"/>
      <c r="DG18" s="1026"/>
      <c r="DH18" s="1026"/>
      <c r="DI18" s="1026"/>
      <c r="DJ18" s="1026"/>
      <c r="DK18" s="1024"/>
      <c r="DL18" s="1024"/>
      <c r="DM18" s="1024"/>
      <c r="DN18" s="1024"/>
      <c r="DO18" s="1024"/>
      <c r="DP18" s="1024"/>
      <c r="DQ18" s="1024"/>
      <c r="DR18" s="1024"/>
      <c r="DS18" s="1024"/>
      <c r="DT18" s="1024"/>
      <c r="DU18" s="1024"/>
      <c r="DV18" s="1024"/>
      <c r="DW18" s="1024"/>
      <c r="DX18" s="1024"/>
      <c r="DY18" s="1024"/>
      <c r="DZ18" s="1024"/>
      <c r="EA18" s="1024"/>
      <c r="EB18" s="1024"/>
      <c r="EC18" s="1024"/>
      <c r="ED18" s="1024"/>
      <c r="EE18" s="1024"/>
      <c r="EF18" s="1024"/>
      <c r="EG18" s="1024"/>
      <c r="EH18" s="1024"/>
      <c r="EI18" s="1024"/>
      <c r="EJ18" s="1024"/>
      <c r="EK18" s="1024"/>
      <c r="EL18" s="1024"/>
      <c r="EM18" s="1024"/>
      <c r="EN18" s="1024"/>
      <c r="EO18" s="1024"/>
      <c r="EP18" s="1024"/>
      <c r="EQ18" s="1024"/>
      <c r="ER18" s="1024"/>
      <c r="ES18" s="1024"/>
      <c r="ET18" s="1024"/>
      <c r="EU18" s="1024"/>
      <c r="EV18" s="1024"/>
      <c r="EW18" s="1024"/>
      <c r="EX18" s="1024"/>
      <c r="EY18" s="1024"/>
      <c r="EZ18" s="1024"/>
      <c r="FA18" s="1024"/>
      <c r="FB18" s="1024"/>
      <c r="FC18" s="1024"/>
      <c r="FD18" s="1024"/>
      <c r="FE18" s="1024"/>
      <c r="FF18" s="1024"/>
      <c r="FG18" s="1024"/>
      <c r="FH18" s="1024"/>
      <c r="FI18" s="1024"/>
      <c r="FJ18" s="1024"/>
      <c r="FK18" s="1024"/>
      <c r="FL18" s="1024"/>
      <c r="FM18" s="1024"/>
      <c r="FN18" s="1024"/>
      <c r="FO18" s="1024"/>
      <c r="FP18" s="1024"/>
      <c r="FQ18" s="1024"/>
      <c r="FR18" s="1024"/>
      <c r="FS18" s="1024"/>
      <c r="FT18" s="1024"/>
      <c r="FU18" s="1024"/>
      <c r="FV18" s="1024"/>
      <c r="FW18" s="1023"/>
      <c r="FX18" s="1027"/>
      <c r="GC18" s="992">
        <v>0</v>
      </c>
    </row>
    <row r="19" s="992" customFormat="1" ht="11.25" hidden="1" customHeight="1">
      <c r="B19" s="993"/>
      <c r="E19" s="1022"/>
      <c r="F19" s="1023"/>
      <c r="G19" s="1023"/>
      <c r="H19" s="1023"/>
      <c r="I19" s="1023"/>
      <c r="J19" s="1023"/>
      <c r="K19" s="1023"/>
      <c r="L19" s="1023"/>
      <c r="M19" s="1023"/>
      <c r="N19" s="1023"/>
      <c r="O19" s="1023"/>
      <c r="P19" s="1023"/>
      <c r="Q19" s="1023"/>
      <c r="R19" s="1023"/>
      <c r="S19" s="1023"/>
      <c r="T19" s="1023"/>
      <c r="U19" s="1025"/>
      <c r="V19" s="1025"/>
      <c r="W19" s="1025"/>
      <c r="X19" s="1025"/>
      <c r="Y19" s="1025"/>
      <c r="Z19" s="1025"/>
      <c r="AA19" s="1025"/>
      <c r="AB19" s="1023"/>
      <c r="AC19" s="1023"/>
      <c r="AD19" s="1023"/>
      <c r="AE19" s="1023"/>
      <c r="AF19" s="1023"/>
      <c r="AG19" s="1023"/>
      <c r="AH19" s="1023"/>
      <c r="AI19" s="1023"/>
      <c r="AJ19" s="1023"/>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23"/>
      <c r="CG19" s="1023"/>
      <c r="CH19" s="1023"/>
      <c r="CI19" s="1023"/>
      <c r="CJ19" s="1023"/>
      <c r="CK19" s="1023"/>
      <c r="CL19" s="1023"/>
      <c r="CM19" s="1023"/>
      <c r="CN19" s="1023"/>
      <c r="CO19" s="1023"/>
      <c r="CP19" s="1023"/>
      <c r="CQ19" s="1023"/>
      <c r="CR19" s="1023"/>
      <c r="CS19" s="1023"/>
      <c r="CT19" s="1023"/>
      <c r="CU19" s="1023"/>
      <c r="CV19" s="1023"/>
      <c r="CW19" s="1023"/>
      <c r="CX19" s="1023"/>
      <c r="CY19" s="1023"/>
      <c r="CZ19" s="1023"/>
      <c r="DA19" s="1023"/>
      <c r="DB19" s="1023"/>
      <c r="DC19" s="1023"/>
      <c r="DD19" s="1023"/>
      <c r="DE19" s="1023"/>
      <c r="DF19" s="1023"/>
      <c r="DG19" s="1023"/>
      <c r="DH19" s="1023"/>
      <c r="DI19" s="1023"/>
      <c r="DJ19" s="1023"/>
      <c r="DK19" s="1023"/>
      <c r="DL19" s="1023"/>
      <c r="DM19" s="1023"/>
      <c r="DN19" s="1023"/>
      <c r="DO19" s="1023"/>
      <c r="DP19" s="1023"/>
      <c r="DQ19" s="1023"/>
      <c r="DR19" s="1023"/>
      <c r="DS19" s="1023"/>
      <c r="DT19" s="1023"/>
      <c r="DU19" s="1023"/>
      <c r="DV19" s="1023"/>
      <c r="DW19" s="1023"/>
      <c r="DX19" s="1023"/>
      <c r="DY19" s="1023"/>
      <c r="DZ19" s="1023"/>
      <c r="EA19" s="1023"/>
      <c r="EB19" s="1023"/>
      <c r="EC19" s="1023"/>
      <c r="ED19" s="1023"/>
      <c r="EE19" s="1023"/>
      <c r="EF19" s="1023"/>
      <c r="EG19" s="1023"/>
      <c r="EH19" s="1023"/>
      <c r="EI19" s="1023"/>
      <c r="EJ19" s="1023"/>
      <c r="EK19" s="1023"/>
      <c r="EL19" s="1023"/>
      <c r="EM19" s="1023"/>
      <c r="EN19" s="1023"/>
      <c r="EO19" s="1023"/>
      <c r="EP19" s="1023"/>
      <c r="EQ19" s="1023"/>
      <c r="ER19" s="1023"/>
      <c r="ES19" s="1023"/>
      <c r="ET19" s="1023"/>
      <c r="EU19" s="1023"/>
      <c r="EV19" s="1023"/>
      <c r="EW19" s="1023"/>
      <c r="EX19" s="1023"/>
      <c r="EY19" s="1023"/>
      <c r="EZ19" s="1023"/>
      <c r="FA19" s="1023"/>
      <c r="FB19" s="1023"/>
      <c r="FC19" s="1023"/>
      <c r="FD19" s="1023"/>
      <c r="FE19" s="1023"/>
      <c r="FF19" s="1023"/>
      <c r="FG19" s="1023"/>
      <c r="FH19" s="1023"/>
      <c r="FI19" s="1023"/>
      <c r="FJ19" s="1023"/>
      <c r="FK19" s="1023"/>
      <c r="FL19" s="1023"/>
      <c r="FM19" s="1023"/>
      <c r="FN19" s="1023"/>
      <c r="FO19" s="1023"/>
      <c r="FP19" s="1023"/>
      <c r="FQ19" s="1023"/>
      <c r="FR19" s="1023"/>
      <c r="FS19" s="1023"/>
      <c r="FT19" s="1023"/>
      <c r="FU19" s="1023"/>
      <c r="FV19" s="1023"/>
      <c r="FW19" s="1023"/>
      <c r="FX19" s="1027"/>
      <c r="GC19" s="992">
        <v>0</v>
      </c>
    </row>
    <row r="20" s="992" customFormat="1" ht="11.25" hidden="1" customHeight="1">
      <c r="B20" s="993"/>
      <c r="D20" s="992"/>
      <c r="E20" s="1022"/>
      <c r="F20" s="1028" t="s">
        <v>371</v>
      </c>
      <c r="G20" s="327"/>
      <c r="H20" s="1029"/>
      <c r="I20" s="1029"/>
      <c r="J20" s="1029"/>
      <c r="K20" s="1029"/>
      <c r="L20" s="1029"/>
      <c r="M20" s="1029"/>
      <c r="N20" s="1029"/>
      <c r="O20" s="327"/>
      <c r="P20" s="327"/>
      <c r="Q20" s="327"/>
      <c r="R20" s="327"/>
      <c r="S20" s="327"/>
      <c r="T20" s="327"/>
      <c r="U20" s="1030"/>
      <c r="V20" s="1030"/>
      <c r="W20" s="1030"/>
      <c r="X20" s="1030"/>
      <c r="Y20" s="1030"/>
      <c r="Z20" s="1030"/>
      <c r="AA20" s="1030"/>
      <c r="AB20" s="327"/>
      <c r="AC20" s="1029"/>
      <c r="AD20" s="1029"/>
      <c r="AE20" s="1029"/>
      <c r="AF20" s="1029"/>
      <c r="AG20" s="1029"/>
      <c r="AH20" s="1029"/>
      <c r="AI20" s="1029"/>
      <c r="AJ20" s="1029"/>
      <c r="AK20" s="1029"/>
      <c r="AL20" s="1029"/>
      <c r="AM20" s="1029"/>
      <c r="AN20" s="1029"/>
      <c r="AO20" s="1029"/>
      <c r="AP20" s="1029"/>
      <c r="AQ20" s="1029"/>
      <c r="AR20" s="1029"/>
      <c r="AS20" s="1029"/>
      <c r="AT20" s="1029"/>
      <c r="AU20" s="1029"/>
      <c r="AV20" s="1029"/>
      <c r="AW20" s="1029"/>
      <c r="AX20" s="1029"/>
      <c r="AY20" s="1029"/>
      <c r="AZ20" s="1029"/>
      <c r="BA20" s="1029"/>
      <c r="BB20" s="1029"/>
      <c r="BC20" s="1029"/>
      <c r="BD20" s="1029"/>
      <c r="BE20" s="1029"/>
      <c r="BF20" s="1029"/>
      <c r="BG20" s="1029"/>
      <c r="BH20" s="1029"/>
      <c r="BI20" s="1029"/>
      <c r="BJ20" s="1029"/>
      <c r="BK20" s="1029"/>
      <c r="BL20" s="1029"/>
      <c r="BM20" s="1029"/>
      <c r="BN20" s="1029"/>
      <c r="BO20" s="1029"/>
      <c r="BP20" s="1029"/>
      <c r="BQ20" s="1029"/>
      <c r="BR20" s="1029"/>
      <c r="BS20" s="1029"/>
      <c r="BT20" s="1029"/>
      <c r="BU20" s="1029"/>
      <c r="BV20" s="1029"/>
      <c r="BW20" s="1029"/>
      <c r="BX20" s="1029"/>
      <c r="BY20" s="1029"/>
      <c r="BZ20" s="1029"/>
      <c r="CA20" s="1029"/>
      <c r="CB20" s="1029"/>
      <c r="CC20" s="1029"/>
      <c r="CD20" s="1029"/>
      <c r="CE20" s="1029"/>
      <c r="CF20" s="1029"/>
      <c r="CG20" s="1029"/>
      <c r="CH20" s="1029"/>
      <c r="CI20" s="1029"/>
      <c r="CJ20" s="1029"/>
      <c r="CK20" s="1029"/>
      <c r="CL20" s="1031"/>
      <c r="CM20" s="1031"/>
      <c r="CN20" s="1031"/>
      <c r="CO20" s="1031"/>
      <c r="CP20" s="1031"/>
      <c r="CQ20" s="1031"/>
      <c r="CR20" s="1031"/>
      <c r="CS20" s="1031"/>
      <c r="CT20" s="1031"/>
      <c r="CU20" s="1031"/>
      <c r="CV20" s="1031"/>
      <c r="CW20" s="1031"/>
      <c r="CX20" s="1031"/>
      <c r="CY20" s="1031"/>
      <c r="CZ20" s="1031"/>
      <c r="DA20" s="1031"/>
      <c r="DB20" s="1031"/>
      <c r="DC20" s="1031"/>
      <c r="DD20" s="1031"/>
      <c r="DE20" s="1031"/>
      <c r="DF20" s="1031"/>
      <c r="DG20" s="1031"/>
      <c r="DH20" s="1031"/>
      <c r="DI20" s="1031"/>
      <c r="DJ20" s="1031"/>
      <c r="DK20" s="1031"/>
      <c r="DL20" s="1031"/>
      <c r="DM20" s="1031"/>
      <c r="DN20" s="1031"/>
      <c r="DO20" s="1031"/>
      <c r="DP20" s="1031"/>
      <c r="DQ20" s="1031"/>
      <c r="DR20" s="1031"/>
      <c r="DS20" s="1031"/>
      <c r="DT20" s="1031"/>
      <c r="DU20" s="1031"/>
      <c r="DV20" s="1031"/>
      <c r="DW20" s="1031"/>
      <c r="DX20" s="1031"/>
      <c r="DY20" s="1031"/>
      <c r="DZ20" s="1031"/>
      <c r="EA20" s="1031"/>
      <c r="EB20" s="1031"/>
      <c r="EC20" s="1031"/>
      <c r="ED20" s="1031"/>
      <c r="EE20" s="1031"/>
      <c r="EF20" s="1031"/>
      <c r="EG20" s="1031"/>
      <c r="EH20" s="1031"/>
      <c r="EI20" s="1031"/>
      <c r="EJ20" s="1031"/>
      <c r="EK20" s="1031"/>
      <c r="EL20" s="1031"/>
      <c r="EM20" s="1031"/>
      <c r="EN20" s="1031"/>
      <c r="EO20" s="1031"/>
      <c r="EP20" s="1031"/>
      <c r="EQ20" s="1031"/>
      <c r="ER20" s="1031"/>
      <c r="ES20" s="1031"/>
      <c r="ET20" s="1031"/>
      <c r="EU20" s="1031"/>
      <c r="EV20" s="1031"/>
      <c r="EW20" s="1031"/>
      <c r="EX20" s="1031"/>
      <c r="EY20" s="1031"/>
      <c r="EZ20" s="1031"/>
      <c r="FA20" s="1031"/>
      <c r="FB20" s="1031"/>
      <c r="FC20" s="1031"/>
      <c r="FD20" s="1031"/>
      <c r="FE20" s="1031"/>
      <c r="FF20" s="1031"/>
      <c r="FG20" s="1031"/>
      <c r="FH20" s="1031"/>
      <c r="FI20" s="1031"/>
      <c r="FJ20" s="1031"/>
      <c r="FK20" s="1031"/>
      <c r="FL20" s="1031"/>
      <c r="FM20" s="1031"/>
      <c r="FN20" s="1031"/>
      <c r="FO20" s="1031"/>
      <c r="FP20" s="1031"/>
      <c r="FQ20" s="1031"/>
      <c r="FR20" s="1031"/>
      <c r="FS20" s="1031"/>
      <c r="FT20" s="1031"/>
      <c r="FU20" s="1031"/>
      <c r="FV20" s="1031"/>
      <c r="FW20" s="1031"/>
      <c r="FX20" s="1027"/>
      <c r="GC20" s="992">
        <v>0</v>
      </c>
    </row>
    <row r="21" s="992" customFormat="1" ht="21" customHeight="1">
      <c r="A21" s="531" t="s">
        <v>989</v>
      </c>
      <c r="B21" s="993"/>
      <c r="C21" s="992"/>
      <c r="D21" s="992"/>
      <c r="E21" s="1022" t="s">
        <v>22</v>
      </c>
      <c r="F21" s="1032" t="str">
        <f>INDEX(IP_MAIN_LIST_NAME_IP,MATCH(A21,IP_MAIN_LIST_IP_ID,0))&amp;" ("&amp;INDEX(IP_MAIN_START_DATE,MATCH(A21,IP_MAIN_LIST_IP_ID,0))&amp;"-"&amp;INDEX(IP_MAIN_END_DATE,MATCH(A21,IP_MAIN_LIST_IP_ID,0))&amp;")"</f>
        <v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21" s="1033"/>
      <c r="H21" s="1034"/>
      <c r="I21" s="1034"/>
      <c r="J21" s="1034"/>
      <c r="K21" s="1034"/>
      <c r="L21" s="1034"/>
      <c r="M21" s="1034"/>
      <c r="N21" s="1034"/>
      <c r="O21" s="1033"/>
      <c r="P21" s="1033"/>
      <c r="Q21" s="1033"/>
      <c r="R21" s="1033"/>
      <c r="S21" s="1033"/>
      <c r="T21" s="1033"/>
      <c r="U21" s="1035"/>
      <c r="V21" s="1035"/>
      <c r="W21" s="1035"/>
      <c r="X21" s="1035"/>
      <c r="Y21" s="1035"/>
      <c r="Z21" s="1035"/>
      <c r="AA21" s="1035"/>
      <c r="AB21" s="1033"/>
      <c r="AC21" s="1034"/>
      <c r="AD21" s="1034"/>
      <c r="AE21" s="1034"/>
      <c r="AF21" s="1034"/>
      <c r="AG21" s="1034"/>
      <c r="AH21" s="1034"/>
      <c r="AI21" s="1034"/>
      <c r="AJ21" s="1034"/>
      <c r="AK21" s="1034"/>
      <c r="AL21" s="1034"/>
      <c r="AM21" s="1034"/>
      <c r="AN21" s="1034"/>
      <c r="AO21" s="1034"/>
      <c r="AP21" s="1034"/>
      <c r="AQ21" s="1034"/>
      <c r="AR21" s="1034"/>
      <c r="AS21" s="1034"/>
      <c r="AT21" s="1034"/>
      <c r="AU21" s="1034"/>
      <c r="AV21" s="1034"/>
      <c r="AW21" s="1034"/>
      <c r="AX21" s="1034"/>
      <c r="AY21" s="1034"/>
      <c r="AZ21" s="1034"/>
      <c r="BA21" s="1034"/>
      <c r="BB21" s="1034"/>
      <c r="BC21" s="1034"/>
      <c r="BD21" s="1034"/>
      <c r="BE21" s="1034"/>
      <c r="BF21" s="1034"/>
      <c r="BG21" s="1034"/>
      <c r="BH21" s="1034"/>
      <c r="BI21" s="1034"/>
      <c r="BJ21" s="1034"/>
      <c r="BK21" s="1034"/>
      <c r="BL21" s="1034"/>
      <c r="BM21" s="1034"/>
      <c r="BN21" s="1034"/>
      <c r="BO21" s="1034"/>
      <c r="BP21" s="1034"/>
      <c r="BQ21" s="1034"/>
      <c r="BR21" s="1034"/>
      <c r="BS21" s="1034"/>
      <c r="BT21" s="1034"/>
      <c r="BU21" s="1034"/>
      <c r="BV21" s="1034"/>
      <c r="BW21" s="1034"/>
      <c r="BX21" s="1034"/>
      <c r="BY21" s="1034"/>
      <c r="BZ21" s="1034"/>
      <c r="CA21" s="1034"/>
      <c r="CB21" s="1034"/>
      <c r="CC21" s="1034"/>
      <c r="CD21" s="1034"/>
      <c r="CE21" s="1034"/>
      <c r="CF21" s="1034"/>
      <c r="CG21" s="1034"/>
      <c r="CH21" s="1034"/>
      <c r="CI21" s="1034"/>
      <c r="CJ21" s="1034"/>
      <c r="CK21" s="1034"/>
      <c r="CL21" s="1036"/>
      <c r="CM21" s="1036"/>
      <c r="CN21" s="1036"/>
      <c r="CO21" s="1036"/>
      <c r="CP21" s="1036"/>
      <c r="CQ21" s="1036"/>
      <c r="CR21" s="1036"/>
      <c r="CS21" s="1036"/>
      <c r="CT21" s="1036"/>
      <c r="CU21" s="1036"/>
      <c r="CV21" s="1036"/>
      <c r="CW21" s="1036"/>
      <c r="CX21" s="1036"/>
      <c r="CY21" s="1036"/>
      <c r="CZ21" s="1036"/>
      <c r="DA21" s="1036"/>
      <c r="DB21" s="1036"/>
      <c r="DC21" s="1036"/>
      <c r="DD21" s="1036"/>
      <c r="DE21" s="1036"/>
      <c r="DF21" s="1036"/>
      <c r="DG21" s="1036"/>
      <c r="DH21" s="1036"/>
      <c r="DI21" s="1036"/>
      <c r="DJ21" s="1036"/>
      <c r="DK21" s="1036"/>
      <c r="DL21" s="1036"/>
      <c r="DM21" s="1036"/>
      <c r="DN21" s="1036"/>
      <c r="DO21" s="1036"/>
      <c r="DP21" s="1036"/>
      <c r="DQ21" s="1036"/>
      <c r="DR21" s="1036"/>
      <c r="DS21" s="1036"/>
      <c r="DT21" s="1036"/>
      <c r="DU21" s="1036"/>
      <c r="DV21" s="1036"/>
      <c r="DW21" s="1036"/>
      <c r="DX21" s="1036"/>
      <c r="DY21" s="1036"/>
      <c r="DZ21" s="1036"/>
      <c r="EA21" s="1036"/>
      <c r="EB21" s="1036"/>
      <c r="EC21" s="1036"/>
      <c r="ED21" s="1036"/>
      <c r="EE21" s="1036"/>
      <c r="EF21" s="1036"/>
      <c r="EG21" s="1036"/>
      <c r="EH21" s="1036"/>
      <c r="EI21" s="1036"/>
      <c r="EJ21" s="1036"/>
      <c r="EK21" s="1036"/>
      <c r="EL21" s="1036"/>
      <c r="EM21" s="1036"/>
      <c r="EN21" s="1036"/>
      <c r="EO21" s="1036"/>
      <c r="EP21" s="1036"/>
      <c r="EQ21" s="1036"/>
      <c r="ER21" s="1036"/>
      <c r="ES21" s="1036"/>
      <c r="ET21" s="1036"/>
      <c r="EU21" s="1036"/>
      <c r="EV21" s="1036"/>
      <c r="EW21" s="1036"/>
      <c r="EX21" s="1036"/>
      <c r="EY21" s="1036"/>
      <c r="EZ21" s="1036"/>
      <c r="FA21" s="1036"/>
      <c r="FB21" s="1036"/>
      <c r="FC21" s="1036"/>
      <c r="FD21" s="1036"/>
      <c r="FE21" s="1036"/>
      <c r="FF21" s="1036"/>
      <c r="FG21" s="1036"/>
      <c r="FH21" s="1036"/>
      <c r="FI21" s="1036"/>
      <c r="FJ21" s="1036"/>
      <c r="FK21" s="1036"/>
      <c r="FL21" s="1036"/>
      <c r="FM21" s="1036"/>
      <c r="FN21" s="1036"/>
      <c r="FO21" s="1036"/>
      <c r="FP21" s="1036"/>
      <c r="FQ21" s="1036"/>
      <c r="FR21" s="1036"/>
      <c r="FS21" s="1036"/>
      <c r="FT21" s="1036"/>
      <c r="FU21" s="1036"/>
      <c r="FV21" s="1037"/>
      <c r="FW21" s="1031"/>
      <c r="FX21" s="1027"/>
      <c r="FY21" s="992"/>
      <c r="FZ21" s="992"/>
      <c r="GA21" s="992"/>
      <c r="GB21" s="992"/>
    </row>
    <row r="22" s="992" customFormat="1" ht="24.75" customHeight="1">
      <c r="A22" s="992" t="s">
        <v>989</v>
      </c>
      <c r="B22" s="993"/>
      <c r="C22" s="992"/>
      <c r="D22" s="992"/>
      <c r="E22" s="63"/>
      <c r="F22" s="828">
        <v>1</v>
      </c>
      <c r="G22" s="116" t="s">
        <v>981</v>
      </c>
      <c r="H22" s="109" t="s">
        <v>1158</v>
      </c>
      <c r="I22" s="1038" t="s">
        <v>1159</v>
      </c>
      <c r="J22" s="1039"/>
      <c r="K22" s="1039"/>
      <c r="L22" s="1039"/>
      <c r="M22" s="1039"/>
      <c r="N22" s="1039"/>
      <c r="O22" s="1040"/>
      <c r="P22" s="1040"/>
      <c r="Q22" s="1040"/>
      <c r="R22" s="1040"/>
      <c r="S22" s="1040">
        <v>194.37</v>
      </c>
      <c r="T22" s="1040"/>
      <c r="U22" s="1040">
        <v>14.02</v>
      </c>
      <c r="V22" s="1040"/>
      <c r="W22" s="1040">
        <v>23.800000000000001</v>
      </c>
      <c r="X22" s="1040"/>
      <c r="Y22" s="1040">
        <v>169575.02499999999</v>
      </c>
      <c r="Z22" s="1040"/>
      <c r="AA22" s="1040">
        <v>288000</v>
      </c>
      <c r="AB22" s="1040"/>
      <c r="AC22" s="1039"/>
      <c r="AD22" s="1039"/>
      <c r="AE22" s="1039"/>
      <c r="AF22" s="1039"/>
      <c r="AG22" s="1039"/>
      <c r="AH22" s="1039"/>
      <c r="AI22" s="1039"/>
      <c r="AJ22" s="1039"/>
      <c r="AK22" s="1039"/>
      <c r="AL22" s="1039"/>
      <c r="AM22" s="1039"/>
      <c r="AN22" s="1039"/>
      <c r="AO22" s="1039"/>
      <c r="AP22" s="1039"/>
      <c r="AQ22" s="1039"/>
      <c r="AR22" s="1039"/>
      <c r="AS22" s="1039"/>
      <c r="AT22" s="1039"/>
      <c r="AU22" s="1039"/>
      <c r="AV22" s="1039"/>
      <c r="AW22" s="1039"/>
      <c r="AX22" s="1039"/>
      <c r="AY22" s="1039"/>
      <c r="AZ22" s="1039"/>
      <c r="BA22" s="1039"/>
      <c r="BB22" s="1039"/>
      <c r="BC22" s="1039"/>
      <c r="BD22" s="1039"/>
      <c r="BE22" s="1039"/>
      <c r="BF22" s="1039"/>
      <c r="BG22" s="1039"/>
      <c r="BH22" s="1039"/>
      <c r="BI22" s="1039"/>
      <c r="BJ22" s="1039"/>
      <c r="BK22" s="1039"/>
      <c r="BL22" s="1039"/>
      <c r="BM22" s="1039"/>
      <c r="BN22" s="1039"/>
      <c r="BO22" s="1039"/>
      <c r="BP22" s="1039"/>
      <c r="BQ22" s="1039"/>
      <c r="BR22" s="1039"/>
      <c r="BS22" s="1039"/>
      <c r="BT22" s="1040"/>
      <c r="BU22" s="1040"/>
      <c r="BV22" s="1040"/>
      <c r="BW22" s="1040"/>
      <c r="BX22" s="1040"/>
      <c r="BY22" s="1040"/>
      <c r="BZ22" s="1040"/>
      <c r="CA22" s="1040"/>
      <c r="CB22" s="1040"/>
      <c r="CC22" s="1040"/>
      <c r="CD22" s="1040"/>
      <c r="CE22" s="1040"/>
      <c r="CF22" s="1040"/>
      <c r="CG22" s="1040"/>
      <c r="CH22" s="1040"/>
      <c r="CI22" s="1040"/>
      <c r="CJ22" s="1040"/>
      <c r="CK22" s="1040"/>
      <c r="CL22" s="1039"/>
      <c r="CM22" s="1039"/>
      <c r="CN22" s="1039"/>
      <c r="CO22" s="1039"/>
      <c r="CP22" s="1039"/>
      <c r="CQ22" s="1039"/>
      <c r="CR22" s="1039"/>
      <c r="CS22" s="1039"/>
      <c r="CT22" s="1039"/>
      <c r="CU22" s="1039"/>
      <c r="CV22" s="1039"/>
      <c r="CW22" s="1039"/>
      <c r="CX22" s="1039"/>
      <c r="CY22" s="1040"/>
      <c r="CZ22" s="1040"/>
      <c r="DA22" s="1040"/>
      <c r="DB22" s="1040"/>
      <c r="DC22" s="1040"/>
      <c r="DD22" s="1040"/>
      <c r="DE22" s="1040"/>
      <c r="DF22" s="1040"/>
      <c r="DG22" s="1040"/>
      <c r="DH22" s="1040"/>
      <c r="DI22" s="1040"/>
      <c r="DJ22" s="1040"/>
      <c r="DK22" s="1039"/>
      <c r="DL22" s="1039"/>
      <c r="DM22" s="1039"/>
      <c r="DN22" s="1039"/>
      <c r="DO22" s="1039"/>
      <c r="DP22" s="1039"/>
      <c r="DQ22" s="1039"/>
      <c r="DR22" s="1039"/>
      <c r="DS22" s="1039"/>
      <c r="DT22" s="1039"/>
      <c r="DU22" s="1039"/>
      <c r="DV22" s="1039"/>
      <c r="DW22" s="1039"/>
      <c r="DX22" s="1039"/>
      <c r="DY22" s="1039"/>
      <c r="DZ22" s="1039"/>
      <c r="EA22" s="1039"/>
      <c r="EB22" s="1039"/>
      <c r="EC22" s="1039"/>
      <c r="ED22" s="1039"/>
      <c r="EE22" s="1039"/>
      <c r="EF22" s="1039"/>
      <c r="EG22" s="1039"/>
      <c r="EH22" s="1039"/>
      <c r="EI22" s="1039"/>
      <c r="EJ22" s="1039"/>
      <c r="EK22" s="1039"/>
      <c r="EL22" s="1039"/>
      <c r="EM22" s="1039"/>
      <c r="EN22" s="1039"/>
      <c r="EO22" s="1039"/>
      <c r="EP22" s="1039"/>
      <c r="EQ22" s="1039"/>
      <c r="ER22" s="1039"/>
      <c r="ES22" s="1039"/>
      <c r="ET22" s="1039"/>
      <c r="EU22" s="1039"/>
      <c r="EV22" s="1039"/>
      <c r="EW22" s="1039"/>
      <c r="EX22" s="1039"/>
      <c r="EY22" s="1039"/>
      <c r="EZ22" s="1039"/>
      <c r="FA22" s="1039"/>
      <c r="FB22" s="1039"/>
      <c r="FC22" s="1039"/>
      <c r="FD22" s="1039"/>
      <c r="FE22" s="1039"/>
      <c r="FF22" s="1039"/>
      <c r="FG22" s="1039"/>
      <c r="FH22" s="1039"/>
      <c r="FI22" s="1039"/>
      <c r="FJ22" s="1039"/>
      <c r="FK22" s="1039"/>
      <c r="FL22" s="1039"/>
      <c r="FM22" s="1039"/>
      <c r="FN22" s="1039"/>
      <c r="FO22" s="1039"/>
      <c r="FP22" s="1039"/>
      <c r="FQ22" s="1039"/>
      <c r="FR22" s="1039"/>
      <c r="FS22" s="1039"/>
      <c r="FT22" s="1039"/>
      <c r="FU22" s="1039"/>
      <c r="FV22" s="1039"/>
      <c r="FW22" s="1039"/>
      <c r="FX22" s="1027"/>
      <c r="FY22" s="992"/>
      <c r="FZ22" s="992"/>
      <c r="GA22" s="992"/>
      <c r="GB22" s="992"/>
    </row>
    <row r="23" s="992" customFormat="1" ht="12" customHeight="1">
      <c r="A23" s="992" t="s">
        <v>989</v>
      </c>
      <c r="B23" s="993"/>
      <c r="C23" s="992"/>
      <c r="D23" s="992"/>
      <c r="E23" s="992"/>
      <c r="F23" s="1041"/>
      <c r="G23" s="973" t="s">
        <v>1160</v>
      </c>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973"/>
      <c r="AM23" s="973"/>
      <c r="AN23" s="973"/>
      <c r="AO23" s="973"/>
      <c r="AP23" s="973"/>
      <c r="AQ23" s="973"/>
      <c r="AR23" s="973"/>
      <c r="AS23" s="973"/>
      <c r="AT23" s="973"/>
      <c r="AU23" s="973"/>
      <c r="AV23" s="973"/>
      <c r="AW23" s="973"/>
      <c r="AX23" s="973"/>
      <c r="AY23" s="973"/>
      <c r="AZ23" s="973"/>
      <c r="BA23" s="973"/>
      <c r="BB23" s="973"/>
      <c r="BC23" s="973"/>
      <c r="BD23" s="973"/>
      <c r="BE23" s="973"/>
      <c r="BF23" s="973"/>
      <c r="BG23" s="973"/>
      <c r="BH23" s="973"/>
      <c r="BI23" s="973"/>
      <c r="BJ23" s="973"/>
      <c r="BK23" s="973"/>
      <c r="BL23" s="973"/>
      <c r="BM23" s="973"/>
      <c r="BN23" s="973"/>
      <c r="BO23" s="973"/>
      <c r="BP23" s="973"/>
      <c r="BQ23" s="973"/>
      <c r="BR23" s="973"/>
      <c r="BS23" s="973"/>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DY23" s="973"/>
      <c r="DZ23" s="973"/>
      <c r="EA23" s="973"/>
      <c r="EB23" s="973"/>
      <c r="EC23" s="973"/>
      <c r="ED23" s="973"/>
      <c r="EE23" s="973"/>
      <c r="EF23" s="973"/>
      <c r="EG23" s="973"/>
      <c r="EH23" s="973"/>
      <c r="EI23" s="973"/>
      <c r="EJ23" s="973"/>
      <c r="EK23" s="973"/>
      <c r="EL23" s="973"/>
      <c r="EM23" s="973"/>
      <c r="EN23" s="973"/>
      <c r="EO23" s="973"/>
      <c r="EP23" s="973"/>
      <c r="EQ23" s="973"/>
      <c r="ER23" s="973"/>
      <c r="ES23" s="973"/>
      <c r="ET23" s="973"/>
      <c r="EU23" s="973"/>
      <c r="EV23" s="973"/>
      <c r="EW23" s="973"/>
      <c r="EX23" s="973"/>
      <c r="EY23" s="973"/>
      <c r="EZ23" s="973"/>
      <c r="FA23" s="973"/>
      <c r="FB23" s="973"/>
      <c r="FC23" s="973"/>
      <c r="FD23" s="973"/>
      <c r="FE23" s="973"/>
      <c r="FF23" s="973"/>
      <c r="FG23" s="973"/>
      <c r="FH23" s="973"/>
      <c r="FI23" s="973"/>
      <c r="FJ23" s="973"/>
      <c r="FK23" s="973"/>
      <c r="FL23" s="973"/>
      <c r="FM23" s="973"/>
      <c r="FN23" s="973"/>
      <c r="FO23" s="973"/>
      <c r="FP23" s="973"/>
      <c r="FQ23" s="973"/>
      <c r="FR23" s="973"/>
      <c r="FS23" s="973"/>
      <c r="FT23" s="973"/>
      <c r="FU23" s="973"/>
      <c r="FV23" s="973"/>
      <c r="FW23" s="1042"/>
      <c r="FX23" s="143"/>
      <c r="FY23" s="994"/>
      <c r="FZ23" s="994"/>
      <c r="GA23" s="994"/>
      <c r="GB23" s="994"/>
    </row>
    <row r="24" s="992" customFormat="1" ht="12.75" customHeight="1">
      <c r="A24" s="994"/>
      <c r="B24" s="994"/>
      <c r="C24" s="994"/>
      <c r="D24" s="994"/>
      <c r="E24" s="994"/>
      <c r="F24" s="1022"/>
      <c r="G24" s="1022"/>
      <c r="H24" s="1022"/>
      <c r="I24" s="1022"/>
      <c r="J24" s="1022"/>
      <c r="K24" s="1022"/>
      <c r="L24" s="1022"/>
      <c r="M24" s="1022"/>
      <c r="N24" s="1022"/>
      <c r="O24" s="1022"/>
      <c r="P24" s="1022"/>
      <c r="Q24" s="1022"/>
      <c r="R24" s="1022"/>
      <c r="S24" s="1043"/>
      <c r="T24" s="1043"/>
      <c r="U24" s="1022"/>
      <c r="V24" s="1022"/>
      <c r="W24" s="1022"/>
      <c r="X24" s="1022"/>
      <c r="Y24" s="1022"/>
      <c r="Z24" s="1022"/>
      <c r="AA24" s="1022"/>
      <c r="AB24" s="1022"/>
      <c r="AC24" s="1022"/>
      <c r="AD24" s="1022"/>
      <c r="AE24" s="1022"/>
      <c r="AF24" s="1022"/>
      <c r="AG24" s="1022"/>
      <c r="AH24" s="1022"/>
      <c r="AI24" s="1022"/>
      <c r="AJ24" s="1022"/>
      <c r="AK24" s="1022"/>
      <c r="AL24" s="1022"/>
      <c r="AM24" s="1022"/>
      <c r="AN24" s="1022"/>
      <c r="AO24" s="1022"/>
      <c r="AP24" s="1022"/>
      <c r="AQ24" s="1022"/>
      <c r="AR24" s="1022"/>
      <c r="AS24" s="1022"/>
      <c r="AT24" s="1022"/>
      <c r="AU24" s="1022"/>
      <c r="AV24" s="1022"/>
      <c r="AW24" s="1022"/>
      <c r="AX24" s="1022"/>
      <c r="AY24" s="1022"/>
      <c r="AZ24" s="1022"/>
      <c r="BA24" s="1022"/>
      <c r="BB24" s="1022"/>
      <c r="BC24" s="1022"/>
      <c r="BD24" s="1022"/>
      <c r="BE24" s="1022"/>
      <c r="BF24" s="1022"/>
      <c r="BG24" s="1022"/>
      <c r="BH24" s="1022"/>
      <c r="BI24" s="1022"/>
      <c r="BJ24" s="1022"/>
      <c r="BK24" s="1022"/>
      <c r="BL24" s="1022"/>
      <c r="BM24" s="1022"/>
      <c r="BN24" s="1022"/>
      <c r="BO24" s="1022"/>
      <c r="BP24" s="1022"/>
      <c r="BQ24" s="1022"/>
      <c r="BR24" s="1022"/>
      <c r="BS24" s="1022"/>
      <c r="BT24" s="1022"/>
      <c r="BU24" s="1022"/>
      <c r="BV24" s="1022"/>
      <c r="BW24" s="1022"/>
      <c r="BX24" s="1022"/>
      <c r="BY24" s="1022"/>
      <c r="BZ24" s="1022"/>
      <c r="CA24" s="1022"/>
      <c r="CB24" s="1022"/>
      <c r="CC24" s="1022"/>
      <c r="CD24" s="1022"/>
      <c r="CE24" s="1022"/>
      <c r="CF24" s="1022"/>
      <c r="CG24" s="1022"/>
      <c r="CH24" s="1022"/>
      <c r="CI24" s="1022"/>
      <c r="CJ24" s="1022"/>
      <c r="CK24" s="1022"/>
      <c r="CL24" s="1022"/>
      <c r="CM24" s="1022"/>
      <c r="CN24" s="1022"/>
      <c r="CO24" s="1022"/>
      <c r="CP24" s="1022"/>
      <c r="CQ24" s="1022"/>
      <c r="CR24" s="1022"/>
      <c r="CS24" s="1022"/>
      <c r="CT24" s="1022"/>
      <c r="CU24" s="1022"/>
      <c r="CV24" s="1022"/>
      <c r="CW24" s="1022"/>
      <c r="CX24" s="1022"/>
      <c r="CY24" s="1022"/>
      <c r="CZ24" s="1022"/>
      <c r="DA24" s="1022"/>
      <c r="DB24" s="1022"/>
      <c r="DC24" s="1022"/>
      <c r="DD24" s="1022"/>
      <c r="DE24" s="1022"/>
      <c r="DF24" s="1022"/>
      <c r="DG24" s="1022"/>
      <c r="DH24" s="1022"/>
      <c r="DI24" s="1022"/>
      <c r="DJ24" s="1022"/>
      <c r="DK24" s="1022"/>
      <c r="DL24" s="1022"/>
      <c r="DM24" s="1022"/>
      <c r="DN24" s="1022"/>
      <c r="DO24" s="1022"/>
      <c r="DP24" s="1022"/>
      <c r="DQ24" s="1022"/>
      <c r="DR24" s="1022"/>
      <c r="DS24" s="1022"/>
      <c r="DT24" s="1022"/>
      <c r="DU24" s="1022"/>
      <c r="DV24" s="1022"/>
      <c r="DW24" s="1022"/>
      <c r="DX24" s="1022"/>
      <c r="DY24" s="1022"/>
      <c r="DZ24" s="1022"/>
      <c r="EA24" s="1022"/>
      <c r="EB24" s="1022"/>
      <c r="EC24" s="1022"/>
      <c r="ED24" s="1022"/>
      <c r="EE24" s="1022"/>
      <c r="EF24" s="1022"/>
      <c r="EG24" s="1022"/>
      <c r="EH24" s="1022"/>
      <c r="EI24" s="1022"/>
      <c r="EJ24" s="1022"/>
      <c r="EK24" s="1022"/>
      <c r="EL24" s="1022"/>
      <c r="EM24" s="1022"/>
      <c r="EN24" s="1022"/>
      <c r="EO24" s="1022"/>
      <c r="EP24" s="1022"/>
      <c r="EQ24" s="1022"/>
      <c r="ER24" s="1022"/>
      <c r="ES24" s="1022"/>
      <c r="ET24" s="1022"/>
      <c r="EU24" s="1022"/>
      <c r="EV24" s="1022"/>
      <c r="EW24" s="1022"/>
      <c r="EX24" s="1022"/>
      <c r="EY24" s="1022"/>
      <c r="EZ24" s="1022"/>
      <c r="FA24" s="1022"/>
      <c r="FB24" s="1022"/>
      <c r="FC24" s="1022"/>
      <c r="FD24" s="1022"/>
      <c r="FE24" s="1022"/>
      <c r="FF24" s="1022"/>
      <c r="FG24" s="1022"/>
      <c r="FH24" s="1022"/>
      <c r="FI24" s="1022"/>
      <c r="FJ24" s="1022"/>
      <c r="FK24" s="1022"/>
      <c r="FL24" s="1022"/>
      <c r="FM24" s="1022"/>
      <c r="FN24" s="1022"/>
      <c r="FO24" s="1022"/>
      <c r="FP24" s="1022"/>
      <c r="FQ24" s="1022"/>
      <c r="FR24" s="1022"/>
      <c r="FS24" s="1022"/>
      <c r="FT24" s="1022"/>
      <c r="FU24" s="1022"/>
      <c r="FV24" s="1022"/>
      <c r="FW24" s="1022"/>
      <c r="FX24" s="994"/>
      <c r="FY24" s="994"/>
      <c r="FZ24" s="994"/>
      <c r="GA24" s="994"/>
      <c r="GB24" s="994"/>
      <c r="GC24" s="992">
        <v>12</v>
      </c>
    </row>
    <row r="25" s="992" customFormat="1" ht="12.75" customHeight="1">
      <c r="A25" s="994"/>
      <c r="B25" s="994"/>
      <c r="C25" s="994"/>
      <c r="D25" s="994"/>
      <c r="E25" s="994"/>
      <c r="FX25" s="994"/>
      <c r="FY25" s="994"/>
      <c r="FZ25" s="994"/>
      <c r="GA25" s="994"/>
      <c r="GB25" s="994"/>
      <c r="GC25" s="992">
        <v>12</v>
      </c>
    </row>
    <row r="26" s="990" customFormat="1" ht="12.75" customHeight="1">
      <c r="A26" s="994"/>
      <c r="B26" s="994"/>
      <c r="C26" s="994"/>
      <c r="D26" s="994"/>
      <c r="E26" s="994"/>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180"/>
      <c r="AQ26" s="180"/>
      <c r="AR26" s="180"/>
      <c r="AS26" s="180"/>
      <c r="AT26" s="180"/>
      <c r="AU26" s="180"/>
      <c r="AV26" s="180"/>
      <c r="AW26" s="180"/>
      <c r="AX26" s="180"/>
      <c r="AY26" s="180"/>
      <c r="AZ26" s="180"/>
      <c r="BA26" s="180"/>
      <c r="BB26" s="180"/>
      <c r="BC26" s="180"/>
      <c r="BD26" s="180"/>
      <c r="BE26" s="180"/>
      <c r="BF26" s="180"/>
      <c r="BG26" s="180"/>
      <c r="BH26" s="180"/>
      <c r="BI26" s="180"/>
      <c r="BJ26" s="180"/>
      <c r="BK26" s="180"/>
      <c r="BL26" s="180"/>
      <c r="BM26" s="180"/>
      <c r="BN26" s="180"/>
      <c r="BO26" s="180"/>
      <c r="BP26" s="180"/>
      <c r="BQ26" s="180"/>
      <c r="BR26" s="180"/>
      <c r="BS26" s="180"/>
      <c r="BT26" s="1044"/>
      <c r="BU26" s="1044"/>
      <c r="BV26" s="1044"/>
      <c r="BW26" s="1044"/>
      <c r="BX26" s="1044"/>
      <c r="BY26" s="1044"/>
      <c r="BZ26" s="1044"/>
      <c r="CA26" s="1044"/>
      <c r="CB26" s="1044"/>
      <c r="CC26" s="1044"/>
      <c r="CD26" s="1044"/>
      <c r="CE26" s="1044"/>
      <c r="CF26" s="1044"/>
      <c r="CG26" s="1044"/>
      <c r="CH26" s="1044"/>
      <c r="CI26" s="1044"/>
      <c r="CJ26" s="1044"/>
      <c r="CK26" s="1044"/>
      <c r="CL26" s="1044"/>
      <c r="CM26" s="1044"/>
      <c r="CN26" s="1044"/>
      <c r="CO26" s="1044"/>
      <c r="CP26" s="1044"/>
      <c r="CQ26" s="1044"/>
      <c r="CR26" s="1044"/>
      <c r="CS26" s="1044"/>
      <c r="CT26" s="1044"/>
      <c r="CU26" s="1044"/>
      <c r="CV26" s="1044"/>
      <c r="CW26" s="1044"/>
      <c r="CX26" s="1044"/>
      <c r="CY26" s="1044"/>
      <c r="CZ26" s="1044"/>
      <c r="DA26" s="1044"/>
      <c r="DB26" s="1044"/>
      <c r="DC26" s="1044"/>
      <c r="DD26" s="1044"/>
      <c r="DE26" s="1044"/>
      <c r="DF26" s="1044"/>
      <c r="DG26" s="1044"/>
      <c r="DH26" s="1044"/>
      <c r="DI26" s="1044"/>
      <c r="DJ26" s="1044"/>
      <c r="DK26" s="1044"/>
      <c r="DL26" s="1044"/>
      <c r="DM26" s="1044"/>
      <c r="DN26" s="1044"/>
      <c r="DO26" s="1044"/>
      <c r="DP26" s="1044"/>
      <c r="DQ26" s="1044"/>
      <c r="DR26" s="1044"/>
      <c r="DS26" s="1044"/>
      <c r="DT26" s="1044"/>
      <c r="DU26" s="1044"/>
      <c r="DV26" s="1044"/>
      <c r="DW26" s="1044"/>
      <c r="DX26" s="1044"/>
      <c r="FX26" s="994"/>
      <c r="FY26" s="994"/>
      <c r="FZ26" s="994"/>
      <c r="GA26" s="994"/>
      <c r="GB26" s="994"/>
      <c r="GC26" s="990">
        <v>12</v>
      </c>
    </row>
    <row r="27" ht="12.75" customHeight="1">
      <c r="S27" s="994"/>
      <c r="T27" s="994"/>
      <c r="U27" s="994"/>
      <c r="V27" s="994"/>
      <c r="W27" s="994"/>
      <c r="X27" s="994"/>
      <c r="Y27" s="994"/>
      <c r="Z27" s="994"/>
      <c r="AA27" s="994"/>
      <c r="AB27" s="994"/>
      <c r="FX27" s="994"/>
      <c r="FY27" s="994"/>
      <c r="FZ27" s="994"/>
      <c r="GA27" s="994"/>
      <c r="GB27" s="994"/>
      <c r="GC27" s="990">
        <v>12</v>
      </c>
    </row>
    <row r="28" ht="12" hidden="1" customHeight="1">
      <c r="A28" s="990" t="s">
        <v>82</v>
      </c>
      <c r="B28" s="991">
        <v>0</v>
      </c>
      <c r="C28" s="990">
        <v>0</v>
      </c>
      <c r="D28" s="990">
        <v>0</v>
      </c>
      <c r="E28" s="990">
        <v>3</v>
      </c>
      <c r="F28" s="990">
        <v>6</v>
      </c>
      <c r="G28" s="990">
        <v>18</v>
      </c>
      <c r="H28" s="990">
        <v>27</v>
      </c>
      <c r="I28" s="990">
        <v>18</v>
      </c>
      <c r="J28" s="990">
        <v>0</v>
      </c>
      <c r="K28" s="990">
        <v>0</v>
      </c>
      <c r="L28" s="990">
        <v>0</v>
      </c>
      <c r="M28" s="990">
        <v>0</v>
      </c>
      <c r="N28" s="990">
        <v>0</v>
      </c>
      <c r="O28" s="990">
        <v>0</v>
      </c>
      <c r="P28" s="990">
        <v>0</v>
      </c>
      <c r="Q28" s="990">
        <v>0</v>
      </c>
      <c r="R28" s="990">
        <v>0</v>
      </c>
      <c r="S28" s="990">
        <v>0</v>
      </c>
      <c r="T28" s="990">
        <v>0</v>
      </c>
      <c r="U28" s="990">
        <v>0</v>
      </c>
      <c r="V28" s="990">
        <v>0</v>
      </c>
      <c r="W28" s="990">
        <v>0</v>
      </c>
      <c r="X28" s="990">
        <v>0</v>
      </c>
      <c r="Y28" s="990">
        <v>0</v>
      </c>
      <c r="Z28" s="990">
        <v>0</v>
      </c>
      <c r="AA28" s="990">
        <v>0</v>
      </c>
      <c r="AB28" s="990">
        <v>0</v>
      </c>
      <c r="AC28" s="990">
        <v>0</v>
      </c>
      <c r="AD28" s="990">
        <v>0</v>
      </c>
      <c r="AE28" s="990">
        <v>0</v>
      </c>
      <c r="AF28" s="990">
        <v>0</v>
      </c>
      <c r="AG28" s="990">
        <v>0</v>
      </c>
      <c r="AH28" s="990">
        <v>0</v>
      </c>
      <c r="AI28" s="990">
        <v>0</v>
      </c>
      <c r="AJ28" s="990">
        <v>0</v>
      </c>
      <c r="AK28" s="990">
        <v>0</v>
      </c>
      <c r="AL28" s="990">
        <v>0</v>
      </c>
      <c r="AM28" s="990">
        <v>0</v>
      </c>
      <c r="AN28" s="990">
        <v>0</v>
      </c>
      <c r="AO28" s="990">
        <v>0</v>
      </c>
      <c r="AP28" s="990">
        <v>0</v>
      </c>
      <c r="AQ28" s="990">
        <v>0</v>
      </c>
      <c r="AR28" s="990">
        <v>0</v>
      </c>
      <c r="AS28" s="990">
        <v>0</v>
      </c>
      <c r="AT28" s="990">
        <v>0</v>
      </c>
      <c r="AU28" s="990">
        <v>0</v>
      </c>
      <c r="AV28" s="990">
        <v>0</v>
      </c>
      <c r="AW28" s="990">
        <v>0</v>
      </c>
      <c r="AX28" s="990">
        <v>0</v>
      </c>
      <c r="AY28" s="990">
        <v>0</v>
      </c>
      <c r="AZ28" s="990">
        <v>0</v>
      </c>
      <c r="BA28" s="990">
        <v>0</v>
      </c>
      <c r="BB28" s="990">
        <v>0</v>
      </c>
      <c r="BC28" s="990">
        <v>0</v>
      </c>
      <c r="BD28" s="990">
        <v>0</v>
      </c>
      <c r="BE28" s="990">
        <v>0</v>
      </c>
      <c r="BF28" s="990">
        <v>0</v>
      </c>
      <c r="BG28" s="990">
        <v>0</v>
      </c>
      <c r="BH28" s="990">
        <v>0</v>
      </c>
      <c r="BI28" s="990">
        <v>0</v>
      </c>
      <c r="BJ28" s="990">
        <v>0</v>
      </c>
      <c r="BK28" s="990">
        <v>0</v>
      </c>
      <c r="BL28" s="990">
        <v>0</v>
      </c>
      <c r="BM28" s="990">
        <v>0</v>
      </c>
      <c r="BN28" s="990">
        <v>0</v>
      </c>
      <c r="BO28" s="990">
        <v>0</v>
      </c>
      <c r="BP28" s="990">
        <v>0</v>
      </c>
      <c r="BQ28" s="990">
        <v>0</v>
      </c>
      <c r="BR28" s="990">
        <v>0</v>
      </c>
      <c r="BS28" s="990">
        <v>0</v>
      </c>
      <c r="BT28" s="990">
        <v>0</v>
      </c>
      <c r="BU28" s="990">
        <v>0</v>
      </c>
      <c r="BV28" s="990">
        <v>0</v>
      </c>
      <c r="BW28" s="990">
        <v>0</v>
      </c>
      <c r="BX28" s="990">
        <v>0</v>
      </c>
      <c r="BY28" s="990">
        <v>0</v>
      </c>
      <c r="BZ28" s="990">
        <v>0</v>
      </c>
      <c r="CA28" s="990">
        <v>0</v>
      </c>
      <c r="CB28" s="990">
        <v>0</v>
      </c>
      <c r="CC28" s="990">
        <v>0</v>
      </c>
      <c r="CD28" s="990">
        <v>0</v>
      </c>
      <c r="CE28" s="990">
        <v>0</v>
      </c>
      <c r="CF28" s="990">
        <v>0</v>
      </c>
      <c r="CG28" s="990">
        <v>0</v>
      </c>
      <c r="CH28" s="990">
        <v>0</v>
      </c>
      <c r="CI28" s="990">
        <v>0</v>
      </c>
      <c r="CJ28" s="990">
        <v>0</v>
      </c>
      <c r="CK28" s="990">
        <v>0</v>
      </c>
      <c r="CL28" s="990">
        <v>0</v>
      </c>
      <c r="CM28" s="990">
        <v>0</v>
      </c>
      <c r="CN28" s="990">
        <v>0</v>
      </c>
      <c r="CO28" s="990">
        <v>0</v>
      </c>
      <c r="CP28" s="990">
        <v>0</v>
      </c>
      <c r="CQ28" s="990">
        <v>0</v>
      </c>
      <c r="CR28" s="990">
        <v>0</v>
      </c>
      <c r="CS28" s="990">
        <v>0</v>
      </c>
      <c r="CT28" s="990">
        <v>0</v>
      </c>
      <c r="CU28" s="990">
        <v>0</v>
      </c>
      <c r="CV28" s="990">
        <v>0</v>
      </c>
      <c r="CW28" s="990">
        <v>0</v>
      </c>
      <c r="CX28" s="990">
        <v>0</v>
      </c>
      <c r="CY28" s="990">
        <v>0</v>
      </c>
      <c r="CZ28" s="990">
        <v>0</v>
      </c>
      <c r="DA28" s="990">
        <v>0</v>
      </c>
      <c r="DB28" s="990">
        <v>0</v>
      </c>
      <c r="DC28" s="990">
        <v>0</v>
      </c>
      <c r="DD28" s="990">
        <v>0</v>
      </c>
      <c r="DE28" s="990">
        <v>0</v>
      </c>
      <c r="DF28" s="990">
        <v>0</v>
      </c>
      <c r="DG28" s="990">
        <v>0</v>
      </c>
      <c r="DH28" s="990">
        <v>0</v>
      </c>
      <c r="DI28" s="990">
        <v>0</v>
      </c>
      <c r="DJ28" s="990">
        <v>0</v>
      </c>
      <c r="DK28" s="990">
        <v>0</v>
      </c>
      <c r="DL28" s="990">
        <v>0</v>
      </c>
      <c r="DM28" s="990">
        <v>0</v>
      </c>
      <c r="DN28" s="990">
        <v>0</v>
      </c>
      <c r="DO28" s="990">
        <v>0</v>
      </c>
      <c r="DP28" s="990">
        <v>0</v>
      </c>
      <c r="DQ28" s="990">
        <v>0</v>
      </c>
      <c r="DR28" s="990">
        <v>0</v>
      </c>
      <c r="DS28" s="990">
        <v>0</v>
      </c>
      <c r="DT28" s="990">
        <v>0</v>
      </c>
      <c r="DU28" s="990">
        <v>0</v>
      </c>
      <c r="DV28" s="990">
        <v>0</v>
      </c>
      <c r="DW28" s="990">
        <v>0</v>
      </c>
      <c r="DX28" s="990">
        <v>0</v>
      </c>
      <c r="DY28" s="990">
        <v>0</v>
      </c>
      <c r="DZ28" s="990">
        <v>0</v>
      </c>
      <c r="EA28" s="990">
        <v>0</v>
      </c>
      <c r="EB28" s="990">
        <v>0</v>
      </c>
      <c r="EC28" s="990">
        <v>0</v>
      </c>
      <c r="ED28" s="990">
        <v>0</v>
      </c>
      <c r="EE28" s="990">
        <v>0</v>
      </c>
      <c r="EF28" s="990">
        <v>0</v>
      </c>
      <c r="EG28" s="990">
        <v>0</v>
      </c>
      <c r="EH28" s="990">
        <v>0</v>
      </c>
      <c r="EI28" s="990">
        <v>0</v>
      </c>
      <c r="EJ28" s="990">
        <v>0</v>
      </c>
      <c r="EK28" s="990">
        <v>0</v>
      </c>
      <c r="EL28" s="990">
        <v>0</v>
      </c>
      <c r="EM28" s="990">
        <v>0</v>
      </c>
      <c r="EN28" s="990">
        <v>0</v>
      </c>
      <c r="EO28" s="990">
        <v>0</v>
      </c>
      <c r="EP28" s="990">
        <v>0</v>
      </c>
      <c r="EQ28" s="990">
        <v>0</v>
      </c>
      <c r="ER28" s="990">
        <v>0</v>
      </c>
      <c r="ES28" s="990">
        <v>0</v>
      </c>
      <c r="ET28" s="990">
        <v>0</v>
      </c>
      <c r="EU28" s="990">
        <v>0</v>
      </c>
      <c r="EV28" s="990">
        <v>0</v>
      </c>
      <c r="EW28" s="990">
        <v>0</v>
      </c>
      <c r="EX28" s="990">
        <v>0</v>
      </c>
      <c r="EY28" s="990">
        <v>0</v>
      </c>
      <c r="EZ28" s="990">
        <v>0</v>
      </c>
      <c r="FA28" s="990">
        <v>0</v>
      </c>
      <c r="FB28" s="990">
        <v>0</v>
      </c>
      <c r="FC28" s="990">
        <v>0</v>
      </c>
      <c r="FD28" s="990">
        <v>0</v>
      </c>
      <c r="FE28" s="990">
        <v>0</v>
      </c>
      <c r="FF28" s="990">
        <v>0</v>
      </c>
      <c r="FG28" s="990">
        <v>0</v>
      </c>
      <c r="FH28" s="990">
        <v>0</v>
      </c>
      <c r="FI28" s="990">
        <v>0</v>
      </c>
      <c r="FJ28" s="990">
        <v>0</v>
      </c>
      <c r="FK28" s="990">
        <v>0</v>
      </c>
      <c r="FL28" s="990">
        <v>0</v>
      </c>
      <c r="FM28" s="990">
        <v>0</v>
      </c>
      <c r="FN28" s="990">
        <v>0</v>
      </c>
      <c r="FO28" s="990">
        <v>0</v>
      </c>
      <c r="FP28" s="990">
        <v>0</v>
      </c>
      <c r="FQ28" s="990">
        <v>0</v>
      </c>
      <c r="FR28" s="990">
        <v>0</v>
      </c>
      <c r="FS28" s="990">
        <v>0</v>
      </c>
      <c r="FT28" s="990">
        <v>0</v>
      </c>
      <c r="FU28" s="990">
        <v>0</v>
      </c>
      <c r="FV28" s="990">
        <v>0</v>
      </c>
      <c r="FW28" s="990">
        <v>0</v>
      </c>
      <c r="FX28" s="990">
        <v>8</v>
      </c>
      <c r="FY28" s="990">
        <v>8</v>
      </c>
      <c r="FZ28" s="990">
        <v>8</v>
      </c>
      <c r="GA28" s="990">
        <v>8</v>
      </c>
      <c r="GB28" s="990">
        <v>8</v>
      </c>
      <c r="GC28" s="990">
        <v>12</v>
      </c>
    </row>
  </sheetData>
  <sheetProtection autoFilter="0" deleteColumns="1" deleteRows="1" formatCells="1" formatColumns="0" formatRows="0" insertColumns="1" insertHyperlinks="1" insertRows="1" objects="0" pivotTables="1" scenarios="0" selectLockedCells="0" selectUnlockedCells="0" sheet="1" sort="1"/>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6" disablePrompts="0">
        <x14:dataValidation xr:uid="{007600D5-00E0-4E3E-B08C-009A0052008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DJ22</xm:sqref>
        </x14:dataValidation>
        <x14:dataValidation xr:uid="{008B00A0-001A-40D6-8063-000D009900A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DI22</xm:sqref>
        </x14:dataValidation>
        <x14:dataValidation xr:uid="{00870057-0028-4F5A-AAED-0020009F005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DH22</xm:sqref>
        </x14:dataValidation>
        <x14:dataValidation xr:uid="{00AD0078-0037-4827-A95E-001C005E008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DG22</xm:sqref>
        </x14:dataValidation>
        <x14:dataValidation xr:uid="{00A2003E-003B-44F2-8E3E-00660012008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DF22</xm:sqref>
        </x14:dataValidation>
        <x14:dataValidation xr:uid="{00B70036-008A-4266-8B94-00EA004C00D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DE22</xm:sqref>
        </x14:dataValidation>
        <x14:dataValidation xr:uid="{0007000B-00A0-4A7F-B8FE-00480057002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DD22</xm:sqref>
        </x14:dataValidation>
        <x14:dataValidation xr:uid="{00E800D2-0017-445F-959B-009E002700F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DC22</xm:sqref>
        </x14:dataValidation>
        <x14:dataValidation xr:uid="{004800BE-00EF-4673-911D-00B00038002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DB22</xm:sqref>
        </x14:dataValidation>
        <x14:dataValidation xr:uid="{005B0058-002A-4032-84E6-00F400A8003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DA22</xm:sqref>
        </x14:dataValidation>
        <x14:dataValidation xr:uid="{003F0008-00EA-4341-ADA2-00DF00A1008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CZ22</xm:sqref>
        </x14:dataValidation>
        <x14:dataValidation xr:uid="{00E70059-0036-4DBE-89FB-006400A7001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CY22</xm:sqref>
        </x14:dataValidation>
        <x14:dataValidation xr:uid="{0034002A-00C1-48F9-94CB-0003000A006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CK22</xm:sqref>
        </x14:dataValidation>
        <x14:dataValidation xr:uid="{00CA00F7-002D-4748-9A97-00D5001E006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CJ22</xm:sqref>
        </x14:dataValidation>
        <x14:dataValidation xr:uid="{00D3004E-00D3-47C1-BF00-00CB00D600C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CI22</xm:sqref>
        </x14:dataValidation>
        <x14:dataValidation xr:uid="{00560020-009D-48E8-A548-004400B2007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CH22</xm:sqref>
        </x14:dataValidation>
        <x14:dataValidation xr:uid="{004E00D4-0062-41E5-B6F1-0038002300A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CG22</xm:sqref>
        </x14:dataValidation>
        <x14:dataValidation xr:uid="{00A50092-00E1-4AD7-B464-00EA00A9008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CF22</xm:sqref>
        </x14:dataValidation>
        <x14:dataValidation xr:uid="{00AB004B-0003-4931-9DB0-00B5005D00B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CE22</xm:sqref>
        </x14:dataValidation>
        <x14:dataValidation xr:uid="{00D400F5-0004-482D-BDD2-00E4008F00B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CD22</xm:sqref>
        </x14:dataValidation>
        <x14:dataValidation xr:uid="{000F005B-0049-418F-960D-0075002D002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CC22</xm:sqref>
        </x14:dataValidation>
        <x14:dataValidation xr:uid="{00DD006F-006A-4926-800D-00D7004500F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CB22</xm:sqref>
        </x14:dataValidation>
        <x14:dataValidation xr:uid="{00DE00A4-00A1-4B28-9BC9-0056002400C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CA22</xm:sqref>
        </x14:dataValidation>
        <x14:dataValidation xr:uid="{00B30032-0071-438C-93BA-007C0088003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BZ22</xm:sqref>
        </x14:dataValidation>
        <x14:dataValidation xr:uid="{00E4003C-001B-4AF1-8748-00C000A7009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BY22</xm:sqref>
        </x14:dataValidation>
        <x14:dataValidation xr:uid="{00450063-001D-407E-9C07-00AE0014006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BX22</xm:sqref>
        </x14:dataValidation>
        <x14:dataValidation xr:uid="{008C0048-00E2-405B-8C1B-003E00B9004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BW22</xm:sqref>
        </x14:dataValidation>
        <x14:dataValidation xr:uid="{00D400A9-001C-4936-BA50-00EA00C4006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BV22</xm:sqref>
        </x14:dataValidation>
        <x14:dataValidation xr:uid="{00E40099-003E-4584-81BC-0002006900C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BU22</xm:sqref>
        </x14:dataValidation>
        <x14:dataValidation xr:uid="{00A60016-00CE-4664-882B-006A0047005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BT22</xm:sqref>
        </x14:dataValidation>
        <x14:dataValidation xr:uid="{00A0006E-0058-4A36-BFA1-00100054008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AB22</xm:sqref>
        </x14:dataValidation>
        <x14:dataValidation xr:uid="{00390027-003F-4075-A49D-00960058001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AA22</xm:sqref>
        </x14:dataValidation>
        <x14:dataValidation xr:uid="{00BA0012-0087-4C68-B79D-00EE002900A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Z22</xm:sqref>
        </x14:dataValidation>
        <x14:dataValidation xr:uid="{00D200D9-00A1-4B4A-9FCC-008B007C00C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Y22</xm:sqref>
        </x14:dataValidation>
        <x14:dataValidation xr:uid="{005F00CB-0023-4D42-942B-00B400E900F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X22</xm:sqref>
        </x14:dataValidation>
        <x14:dataValidation xr:uid="{00490029-00D9-4DA0-BA75-00B20061007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W22</xm:sqref>
        </x14:dataValidation>
        <x14:dataValidation xr:uid="{006C0025-0089-449E-B9AB-00770017000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V22</xm:sqref>
        </x14:dataValidation>
        <x14:dataValidation xr:uid="{00460022-0078-4651-9AF0-009F00B0000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U22</xm:sqref>
        </x14:dataValidation>
        <x14:dataValidation xr:uid="{00750002-003C-40F9-AC42-007100D6006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T22</xm:sqref>
        </x14:dataValidation>
        <x14:dataValidation xr:uid="{00910087-008F-448E-AF43-006500B4009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S22</xm:sqref>
        </x14:dataValidation>
        <x14:dataValidation xr:uid="{008D00B1-0021-4487-9D24-00FC00FE00A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R22</xm:sqref>
        </x14:dataValidation>
        <x14:dataValidation xr:uid="{002A006A-00FF-40C8-B031-00DD005000D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Q22</xm:sqref>
        </x14:dataValidation>
        <x14:dataValidation xr:uid="{00B50044-00D0-4318-A0C5-00CD00DB00D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P22</xm:sqref>
        </x14:dataValidation>
        <x14:dataValidation xr:uid="{00DF00A3-007B-4D38-8AF7-00F300A9008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O22</xm:sqref>
        </x14:dataValidation>
        <x14:dataValidation xr:uid="{0093008E-00D5-4BC1-B67B-0024009F0079}" type="textLength" allowBlank="1" error="Допускается ввод не более 900 символов!" errorStyle="stop" errorTitle="Ошибка" imeMode="noControl" operator="lessThanOrEqual" showDropDown="0" showErrorMessage="1" showInputMessage="1">
          <x14:formula1>
            <xm:f>900</xm:f>
          </x14:formula1>
          <xm:sqref>I22</xm:sqref>
        </x14:dataValidation>
        <x14:dataValidation xr:uid="{003F0018-0020-4F6A-A74C-00B6006B0026}"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H22</xm:sqref>
        </x14:dataValidation>
      </x14:dataValidations>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6"/>
      <c r="S1" s="53" t="s">
        <v>14</v>
      </c>
    </row>
    <row r="2" ht="22.5" hidden="1" customHeight="1">
      <c r="C2" s="1045" t="s">
        <v>684</v>
      </c>
      <c r="D2" s="218"/>
      <c r="E2" s="448"/>
      <c r="F2" s="157" t="str">
        <f>IF(TEMPLATE_SPHERE="HEAT","Гкал/час","тыс. куб. м/сутки")</f>
        <v>Гкал/час</v>
      </c>
      <c r="G2" s="847"/>
      <c r="H2" s="847"/>
      <c r="I2" s="485"/>
      <c r="S2" s="50">
        <v>0</v>
      </c>
    </row>
    <row r="3" s="53" customFormat="1" ht="15" hidden="1" customHeight="1">
      <c r="C3" s="114"/>
      <c r="R3" s="166"/>
      <c r="S3" s="53">
        <v>0</v>
      </c>
    </row>
    <row r="4" ht="15.75" customHeight="1">
      <c r="C4" s="149"/>
      <c r="D4" s="50"/>
      <c r="E4" s="50"/>
      <c r="F4" s="50"/>
      <c r="G4" s="50"/>
      <c r="H4" s="50"/>
      <c r="S4" s="50">
        <v>15</v>
      </c>
    </row>
    <row r="5" ht="39.75" customHeight="1">
      <c r="C5" s="149"/>
      <c r="D5" s="452"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52"/>
      <c r="F5" s="452"/>
      <c r="G5" s="452"/>
      <c r="H5" s="452"/>
      <c r="I5" s="53"/>
      <c r="S5" s="50">
        <v>38</v>
      </c>
    </row>
    <row r="6" ht="15.75" customHeight="1">
      <c r="C6" s="149"/>
      <c r="D6" s="303" t="str">
        <f>IF(org=0,"Не определено",org)</f>
        <v xml:space="preserve">АО "ДГК" СП "Биробиджанская ТЭЦ"</v>
      </c>
      <c r="E6" s="303"/>
      <c r="F6" s="303"/>
      <c r="G6" s="303"/>
      <c r="H6" s="303"/>
      <c r="I6" s="53"/>
      <c r="S6" s="50">
        <v>15</v>
      </c>
    </row>
    <row r="7" s="50" customFormat="1" ht="15.75" customHeight="1">
      <c r="A7" s="56"/>
      <c r="C7" s="149"/>
      <c r="D7" s="86"/>
      <c r="E7" s="86"/>
      <c r="F7" s="86"/>
      <c r="G7" s="86"/>
      <c r="H7" s="341"/>
      <c r="I7" s="53"/>
      <c r="R7" s="115"/>
      <c r="S7" s="50">
        <v>15</v>
      </c>
    </row>
    <row r="8" ht="1.05" customHeight="1">
      <c r="C8" s="149"/>
      <c r="D8" s="50"/>
      <c r="E8" s="50"/>
      <c r="F8" s="50"/>
      <c r="G8" s="50"/>
      <c r="H8" s="53" t="s">
        <v>114</v>
      </c>
      <c r="S8" s="50">
        <v>1</v>
      </c>
    </row>
    <row r="9" ht="15.75" customHeight="1">
      <c r="C9" s="149"/>
      <c r="D9" s="721"/>
      <c r="E9" s="722" t="s">
        <v>102</v>
      </c>
      <c r="F9" s="723"/>
      <c r="G9" s="878" t="str">
        <f>IF(G8="","",INDEX(DIFFERENTIATION_UNMERGE_VD,MATCH(G8,DIFFERENTIATION_ID_DIFF,0)))</f>
        <v/>
      </c>
      <c r="H9" s="878">
        <f>IF(H8="","",INDEX(DIFFERENTIATION_UNMERGE_VD,MATCH(H8,DIFFERENTIATION_ID_DIFF,0)))</f>
        <v>0</v>
      </c>
      <c r="I9" s="157" t="s">
        <v>296</v>
      </c>
      <c r="S9" s="50">
        <v>15</v>
      </c>
    </row>
    <row r="10" s="50" customFormat="1" ht="15.75" customHeight="1">
      <c r="A10" s="56"/>
      <c r="C10" s="149"/>
      <c r="D10" s="721"/>
      <c r="E10" s="722" t="s">
        <v>559</v>
      </c>
      <c r="F10" s="723"/>
      <c r="G10" s="878" t="str">
        <f>IF(G8="","",INDEX(DIFFERENTIATION_UNMERGE_AREA,MATCH(G8,DIFFERENTIATION_ID_DIFF,0)))</f>
        <v/>
      </c>
      <c r="H10" s="878" t="str">
        <f>IF(H8="","",INDEX(DIFFERENTIATION_UNMERGE_AREA,MATCH(H8,DIFFERENTIATION_ID_DIFF,0)))</f>
        <v/>
      </c>
      <c r="I10" s="157"/>
      <c r="R10" s="115"/>
      <c r="S10" s="50">
        <v>15</v>
      </c>
    </row>
    <row r="11" s="50" customFormat="1" ht="15.75" customHeight="1">
      <c r="A11" s="56"/>
      <c r="C11" s="149"/>
      <c r="D11" s="721"/>
      <c r="E11" s="722" t="s">
        <v>560</v>
      </c>
      <c r="F11" s="723"/>
      <c r="G11" s="878" t="str">
        <f>IF(G8="","",INDEX(DIFFERENTIATION_UNMERGE_SYSTEM,MATCH(G8,DIFFERENTIATION_ID_DIFF,0)))</f>
        <v/>
      </c>
      <c r="H11" s="878" t="str">
        <f>IF(H8="","",INDEX(DIFFERENTIATION_UNMERGE_SYSTEM,MATCH(H8,DIFFERENTIATION_ID_DIFF,0)))</f>
        <v xml:space="preserve">без дифференциации</v>
      </c>
      <c r="I11" s="157"/>
      <c r="R11" s="115"/>
      <c r="S11" s="50">
        <v>15</v>
      </c>
    </row>
    <row r="12" s="50" customFormat="1" ht="15.75" customHeight="1">
      <c r="A12" s="56"/>
      <c r="C12" s="149"/>
      <c r="D12" s="725" t="s">
        <v>295</v>
      </c>
      <c r="E12" s="726"/>
      <c r="F12" s="726"/>
      <c r="G12" s="722"/>
      <c r="H12" s="722"/>
      <c r="I12" s="157"/>
      <c r="R12" s="115"/>
      <c r="S12" s="50">
        <v>15</v>
      </c>
    </row>
    <row r="13" ht="35.649999999999999" customHeight="1">
      <c r="C13" s="149"/>
      <c r="D13" s="157" t="s">
        <v>88</v>
      </c>
      <c r="E13" s="157" t="s">
        <v>297</v>
      </c>
      <c r="F13" s="157" t="s">
        <v>561</v>
      </c>
      <c r="G13" s="73" t="s">
        <v>298</v>
      </c>
      <c r="H13" s="73" t="s">
        <v>298</v>
      </c>
      <c r="I13" s="157"/>
      <c r="S13" s="50">
        <v>34</v>
      </c>
    </row>
    <row r="14" ht="15" hidden="1" customHeight="1">
      <c r="C14" s="149"/>
      <c r="D14" s="206" t="s">
        <v>106</v>
      </c>
      <c r="E14" s="206" t="s">
        <v>107</v>
      </c>
      <c r="F14" s="206" t="s">
        <v>90</v>
      </c>
      <c r="G14" s="149" t="str">
        <f>G1&amp;".1"</f>
        <v>.1</v>
      </c>
      <c r="H14" s="149" t="str">
        <f>H1&amp;".1"</f>
        <v>4.1</v>
      </c>
      <c r="I14" s="485"/>
      <c r="S14" s="50">
        <v>0</v>
      </c>
    </row>
    <row r="15" ht="15.75" customHeight="1">
      <c r="A15" s="50"/>
      <c r="C15" s="128"/>
      <c r="D15" s="157">
        <v>1</v>
      </c>
      <c r="E15" s="255" t="str">
        <f>TP_P_A</f>
        <v xml:space="preserve">Количество поданных заявок</v>
      </c>
      <c r="F15" s="157" t="s">
        <v>1161</v>
      </c>
      <c r="G15" s="1046"/>
      <c r="H15" s="1046"/>
      <c r="I15" s="822"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8"/>
      <c r="D16" s="157">
        <v>2</v>
      </c>
      <c r="E16" s="255" t="str">
        <f>TP_P_B</f>
        <v xml:space="preserve">Количество рассмотренных заявок</v>
      </c>
      <c r="F16" s="157" t="s">
        <v>1161</v>
      </c>
      <c r="G16" s="1046"/>
      <c r="H16" s="1046"/>
      <c r="I16" s="822"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8"/>
      <c r="D17" s="157">
        <v>3</v>
      </c>
      <c r="E17" s="255"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7" t="s">
        <v>1161</v>
      </c>
      <c r="G17" s="1046"/>
      <c r="H17" s="1046"/>
      <c r="I17" s="822" t="str">
        <f>TP_P_NOTE_V</f>
        <v xml:space="preserve">Указывается количество заявок с решением об отказе в течение отчетного квартала.</v>
      </c>
      <c r="S17" s="50">
        <v>74</v>
      </c>
    </row>
    <row r="18" ht="54.75" customHeight="1">
      <c r="A18" s="50"/>
      <c r="C18" s="128"/>
      <c r="D18" s="157">
        <v>4</v>
      </c>
      <c r="E18" s="255" t="str">
        <f>TP_P_V_1</f>
        <v xml:space="preserve">Причины отказа в заключении договора о подключении (технологическом присоединении) к системе теплоснабжения</v>
      </c>
      <c r="F18" s="157" t="s">
        <v>301</v>
      </c>
      <c r="G18" s="679"/>
      <c r="H18" s="679"/>
      <c r="I18" s="255"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8"/>
      <c r="D19" s="157">
        <v>5</v>
      </c>
      <c r="E19" s="255" t="str">
        <f>TP_P_G</f>
        <v xml:space="preserve">Резерв мощности источников тепловой энергии, входящих в систему теплоснабжения, в течение одного квартала, в том числе:</v>
      </c>
      <c r="F19" s="157" t="str">
        <f>IF(TEMPLATE_SPHERE="HEAT","Гкал/час","тыс. куб. м/сутки")</f>
        <v>Гкал/час</v>
      </c>
      <c r="G19" s="1047">
        <f>SUM(G20:G22)</f>
        <v>0</v>
      </c>
      <c r="H19" s="1047">
        <f>SUM(H20:H22)</f>
        <v>0</v>
      </c>
      <c r="I19" s="822"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
        <v>57</v>
      </c>
    </row>
    <row r="20" ht="15" hidden="1" customHeight="1">
      <c r="D20" s="50" t="s">
        <v>1162</v>
      </c>
      <c r="E20" s="86"/>
      <c r="F20" s="50"/>
      <c r="G20" s="50"/>
      <c r="H20" s="50"/>
      <c r="I20" s="1048"/>
      <c r="S20" s="50">
        <v>0</v>
      </c>
    </row>
    <row r="21" ht="29.25" customHeight="1">
      <c r="C21" s="128"/>
      <c r="D21" s="218" t="s">
        <v>308</v>
      </c>
      <c r="E21" s="95"/>
      <c r="F21" s="157" t="str">
        <f>IF(TEMPLATE_SPHERE="HEAT","Гкал/час","тыс. куб. м/сутки")</f>
        <v>Гкал/час</v>
      </c>
      <c r="G21" s="847"/>
      <c r="H21" s="847"/>
      <c r="I21" s="28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
        <v>28</v>
      </c>
    </row>
    <row r="22" ht="15.75" customHeight="1">
      <c r="A22" s="50"/>
      <c r="C22" s="50"/>
      <c r="D22" s="831"/>
      <c r="E22" s="172" t="s">
        <v>1163</v>
      </c>
      <c r="F22" s="741"/>
      <c r="G22" s="741"/>
      <c r="H22" s="741"/>
      <c r="I22" s="289"/>
      <c r="R22" s="50"/>
      <c r="S22" s="50">
        <v>15</v>
      </c>
    </row>
    <row r="23" ht="22.5" hidden="1" customHeight="1">
      <c r="A23" s="56" t="s">
        <v>82</v>
      </c>
      <c r="B23" s="50">
        <v>0</v>
      </c>
      <c r="C23" s="149">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1" deleteRows="1" formatCells="1" formatColumns="0" formatRows="0" insertColumns="1" insertHyperlinks="1" insertRows="1" objects="0" pivotTables="1" scenarios="0" selectLockedCells="0" selectUnlockedCells="0" sheet="1" sort="1"/>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A00C9-0052-4DB6-AE63-000E00E600FC}"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B10013-00F0-4938-8A01-004D00BD00F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3300E4-0040-4C0D-8DF9-00B20037009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78" width="3.00390625"/>
    <col customWidth="1" min="4" max="4" style="50" width="6.00390625"/>
    <col customWidth="1" min="5" max="6" style="50" width="64.00390625"/>
    <col customWidth="1" min="7" max="7" style="50" width="140.00390625"/>
    <col customWidth="1" min="8" max="8" style="50" width="10.00390625"/>
    <col customWidth="1" min="9" max="10" style="129" width="10.00390625"/>
    <col customWidth="1" min="11" max="16" style="50" width="10.00390625"/>
    <col hidden="1" min="17" max="17" style="50" width="10.57421875"/>
  </cols>
  <sheetData>
    <row r="1" ht="22.5" hidden="1" customHeight="1">
      <c r="M1" s="820"/>
      <c r="N1" s="820"/>
      <c r="P1" s="820"/>
      <c r="Q1" s="50" t="s">
        <v>14</v>
      </c>
    </row>
    <row r="2" ht="14.25" hidden="1" customHeight="1">
      <c r="Q2" s="50">
        <v>0</v>
      </c>
    </row>
    <row r="3" ht="14.25" hidden="1" customHeight="1">
      <c r="Q3" s="50">
        <v>0</v>
      </c>
    </row>
    <row r="4" ht="3" customHeight="1">
      <c r="C4" s="539"/>
      <c r="D4" s="91"/>
      <c r="E4" s="91"/>
      <c r="F4" s="823"/>
      <c r="G4" s="823"/>
      <c r="Q4" s="50">
        <v>3</v>
      </c>
    </row>
    <row r="5" ht="29.25" customHeight="1">
      <c r="C5" s="539"/>
      <c r="D5" s="236"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
      <c r="F5" s="237"/>
      <c r="G5" s="238"/>
      <c r="Q5" s="50">
        <v>28</v>
      </c>
    </row>
    <row r="6" s="50" customFormat="1" ht="18.75" customHeight="1">
      <c r="A6" s="60"/>
      <c r="B6" s="53"/>
      <c r="C6" s="539"/>
      <c r="D6" s="408" t="str">
        <f>IF(org=0,"Не определено",org)</f>
        <v xml:space="preserve">АО "ДГК" СП "Биробиджанская ТЭЦ"</v>
      </c>
      <c r="E6" s="409"/>
      <c r="F6" s="409"/>
      <c r="G6" s="410"/>
      <c r="I6" s="129"/>
      <c r="J6" s="129"/>
      <c r="Q6" s="50">
        <v>18</v>
      </c>
    </row>
    <row r="7" ht="14.65" customHeight="1">
      <c r="C7" s="539"/>
      <c r="D7" s="91"/>
      <c r="E7" s="83"/>
      <c r="F7" s="341"/>
      <c r="G7" s="824"/>
      <c r="Q7" s="50">
        <v>14</v>
      </c>
    </row>
    <row r="8" s="50" customFormat="1" ht="1.05" customHeight="1">
      <c r="A8" s="60"/>
      <c r="B8" s="53"/>
      <c r="C8" s="539"/>
      <c r="D8" s="91"/>
      <c r="E8" s="83"/>
      <c r="F8" s="341"/>
      <c r="G8" s="824"/>
      <c r="I8" s="129"/>
      <c r="J8" s="129"/>
      <c r="Q8" s="50">
        <v>1</v>
      </c>
    </row>
    <row r="9" ht="14.65" customHeight="1">
      <c r="C9" s="539"/>
      <c r="D9" s="347" t="s">
        <v>295</v>
      </c>
      <c r="E9" s="347"/>
      <c r="F9" s="347"/>
      <c r="G9" s="828" t="s">
        <v>296</v>
      </c>
      <c r="Q9" s="50">
        <v>14</v>
      </c>
    </row>
    <row r="10" ht="24" customHeight="1">
      <c r="C10" s="539"/>
      <c r="D10" s="347" t="s">
        <v>88</v>
      </c>
      <c r="E10" s="246" t="s">
        <v>297</v>
      </c>
      <c r="F10" s="246" t="s">
        <v>385</v>
      </c>
      <c r="G10" s="828"/>
      <c r="Q10" s="50">
        <v>23</v>
      </c>
    </row>
    <row r="11" ht="12" hidden="1" customHeight="1">
      <c r="C11" s="539"/>
      <c r="D11" s="425"/>
      <c r="E11" s="425"/>
      <c r="F11" s="425"/>
      <c r="G11" s="425"/>
      <c r="Q11" s="50">
        <v>0</v>
      </c>
    </row>
    <row r="12" ht="65.25" customHeight="1">
      <c r="A12" s="143"/>
      <c r="C12" s="539"/>
      <c r="D12" s="344">
        <v>1</v>
      </c>
      <c r="E12" s="1049"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6" t="s">
        <v>301</v>
      </c>
      <c r="G12" s="485"/>
      <c r="Q12" s="50">
        <v>62</v>
      </c>
    </row>
    <row r="13" ht="24" customHeight="1">
      <c r="A13" s="143"/>
      <c r="C13" s="539"/>
      <c r="D13" s="344" t="s">
        <v>1065</v>
      </c>
      <c r="E13" s="88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6" t="s">
        <v>301</v>
      </c>
      <c r="G13" s="485"/>
      <c r="Q13" s="50">
        <v>23</v>
      </c>
    </row>
    <row r="14" ht="14.65" customHeight="1">
      <c r="A14" s="143"/>
      <c r="C14" s="539"/>
      <c r="D14" s="344" t="s">
        <v>1101</v>
      </c>
      <c r="E14" s="1050"/>
      <c r="F14" s="470"/>
      <c r="G14" s="2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3"/>
      <c r="C15" s="539"/>
      <c r="D15" s="831"/>
      <c r="E15" s="235" t="s">
        <v>1164</v>
      </c>
      <c r="F15" s="832"/>
      <c r="G15" s="289"/>
      <c r="Q15" s="50">
        <v>15</v>
      </c>
    </row>
    <row r="16" ht="14.65" customHeight="1">
      <c r="A16" s="143"/>
      <c r="C16" s="539"/>
      <c r="D16" s="344" t="s">
        <v>1067</v>
      </c>
      <c r="E16" s="88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6" t="s">
        <v>301</v>
      </c>
      <c r="G16" s="549"/>
      <c r="Q16" s="50">
        <v>14</v>
      </c>
    </row>
    <row r="17" ht="14.65" customHeight="1">
      <c r="A17" s="143"/>
      <c r="C17" s="539"/>
      <c r="D17" s="344" t="s">
        <v>1109</v>
      </c>
      <c r="E17" s="1050"/>
      <c r="F17" s="819"/>
      <c r="G17" s="2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3"/>
      <c r="B18" s="53"/>
      <c r="C18" s="539"/>
      <c r="D18" s="831"/>
      <c r="E18" s="235" t="s">
        <v>1165</v>
      </c>
      <c r="F18" s="1051"/>
      <c r="G18" s="289"/>
      <c r="I18" s="129"/>
      <c r="J18" s="129"/>
      <c r="Q18" s="50">
        <v>21</v>
      </c>
    </row>
    <row r="19" s="50" customFormat="1" ht="256.5" hidden="1" customHeight="1">
      <c r="A19" s="143"/>
      <c r="B19" s="53"/>
      <c r="C19" s="539"/>
      <c r="D19" s="344" t="s">
        <v>1069</v>
      </c>
      <c r="E19" s="886" t="s">
        <v>1166</v>
      </c>
      <c r="F19" s="819"/>
      <c r="G19" s="549" t="s">
        <v>1167</v>
      </c>
      <c r="I19" s="129"/>
      <c r="J19" s="129"/>
      <c r="Q19" s="50">
        <v>0</v>
      </c>
    </row>
    <row r="20" s="50" customFormat="1" ht="14.65" customHeight="1">
      <c r="A20" s="143"/>
      <c r="B20" s="53"/>
      <c r="C20" s="539"/>
      <c r="D20" s="346">
        <v>2</v>
      </c>
      <c r="E20" s="886" t="s">
        <v>1168</v>
      </c>
      <c r="F20" s="246" t="s">
        <v>301</v>
      </c>
      <c r="G20" s="549"/>
      <c r="I20" s="129"/>
      <c r="J20" s="129"/>
      <c r="Q20" s="50">
        <v>14</v>
      </c>
    </row>
    <row r="21" s="50" customFormat="1" ht="18.75" hidden="1" customHeight="1">
      <c r="A21" s="143"/>
      <c r="B21" s="53"/>
      <c r="C21" s="539"/>
      <c r="D21" s="1052" t="s">
        <v>631</v>
      </c>
      <c r="E21" s="1053"/>
      <c r="F21" s="1054"/>
      <c r="G21" s="1055"/>
      <c r="H21" s="781"/>
      <c r="I21" s="129"/>
      <c r="J21" s="129"/>
      <c r="Q21" s="50">
        <v>0</v>
      </c>
    </row>
    <row r="22" ht="15.75" customHeight="1">
      <c r="A22" s="143"/>
      <c r="C22" s="539"/>
      <c r="D22" s="831"/>
      <c r="E22" s="172" t="s">
        <v>317</v>
      </c>
      <c r="F22" s="1051"/>
      <c r="G22" s="769"/>
      <c r="Q22" s="50">
        <v>15</v>
      </c>
    </row>
    <row r="23" s="50" customFormat="1" ht="22.5" hidden="1" customHeight="1">
      <c r="A23" s="143"/>
      <c r="B23" s="53"/>
      <c r="C23" s="539"/>
      <c r="D23" s="344" t="s">
        <v>107</v>
      </c>
      <c r="E23" s="1049" t="s">
        <v>1169</v>
      </c>
      <c r="F23" s="246" t="s">
        <v>301</v>
      </c>
      <c r="G23" s="485"/>
      <c r="I23" s="129"/>
      <c r="J23" s="129"/>
      <c r="Q23" s="50">
        <v>0</v>
      </c>
    </row>
    <row r="24" s="50" customFormat="1" ht="14.25" hidden="1" customHeight="1">
      <c r="A24" s="143"/>
      <c r="B24" s="53"/>
      <c r="C24" s="539"/>
      <c r="D24" s="344" t="s">
        <v>704</v>
      </c>
      <c r="E24" s="886" t="s">
        <v>1170</v>
      </c>
      <c r="F24" s="246" t="s">
        <v>301</v>
      </c>
      <c r="G24" s="549"/>
      <c r="I24" s="129"/>
      <c r="J24" s="129"/>
      <c r="Q24" s="50">
        <v>0</v>
      </c>
    </row>
    <row r="25" s="50" customFormat="1" ht="14.25" hidden="1" customHeight="1">
      <c r="A25" s="143"/>
      <c r="B25" s="53"/>
      <c r="C25" s="539"/>
      <c r="D25" s="344" t="s">
        <v>707</v>
      </c>
      <c r="E25" s="1050"/>
      <c r="F25" s="819"/>
      <c r="G25" s="285" t="s">
        <v>1171</v>
      </c>
      <c r="I25" s="129"/>
      <c r="J25" s="129"/>
      <c r="Q25" s="50">
        <v>0</v>
      </c>
    </row>
    <row r="26" s="50" customFormat="1" ht="22.5" hidden="1" customHeight="1">
      <c r="A26" s="143"/>
      <c r="B26" s="53"/>
      <c r="C26" s="539"/>
      <c r="D26" s="831"/>
      <c r="E26" s="235" t="s">
        <v>1172</v>
      </c>
      <c r="F26" s="1051"/>
      <c r="G26" s="289"/>
      <c r="I26" s="129"/>
      <c r="J26" s="129"/>
      <c r="Q26" s="50">
        <v>0</v>
      </c>
    </row>
    <row r="27" ht="3" customHeight="1">
      <c r="Q27" s="50">
        <v>3</v>
      </c>
    </row>
    <row r="28" ht="14.65" customHeight="1">
      <c r="D28" s="476"/>
      <c r="E28" s="848"/>
      <c r="F28" s="395"/>
      <c r="G28" s="395"/>
      <c r="H28" s="395"/>
      <c r="I28" s="395"/>
      <c r="J28" s="395"/>
      <c r="K28" s="395"/>
      <c r="L28" s="395"/>
      <c r="M28" s="395"/>
      <c r="N28" s="395"/>
      <c r="O28" s="395"/>
      <c r="P28" s="395"/>
      <c r="Q28" s="50">
        <v>14</v>
      </c>
    </row>
    <row r="29" ht="14.65" customHeight="1">
      <c r="D29" s="476"/>
      <c r="E29" s="107"/>
      <c r="Q29" s="50">
        <v>14</v>
      </c>
    </row>
    <row r="30" ht="14.65" customHeight="1">
      <c r="Q30" s="50">
        <v>14</v>
      </c>
    </row>
    <row r="31" ht="14.65" customHeight="1">
      <c r="E31" s="50"/>
      <c r="Q31" s="50">
        <v>14</v>
      </c>
    </row>
    <row r="32" ht="22.5" hidden="1" customHeight="1">
      <c r="A32" s="60" t="s">
        <v>82</v>
      </c>
      <c r="B32" s="53">
        <v>0</v>
      </c>
      <c r="C32" s="478">
        <v>3</v>
      </c>
      <c r="D32" s="50">
        <v>6</v>
      </c>
      <c r="E32" s="50">
        <v>64</v>
      </c>
      <c r="F32" s="50">
        <v>64</v>
      </c>
      <c r="G32" s="50">
        <v>140</v>
      </c>
      <c r="H32" s="50">
        <v>10</v>
      </c>
      <c r="I32" s="129">
        <v>10</v>
      </c>
      <c r="J32" s="129">
        <v>10</v>
      </c>
      <c r="K32" s="50">
        <v>10</v>
      </c>
      <c r="L32" s="50">
        <v>10</v>
      </c>
      <c r="M32" s="50">
        <v>10</v>
      </c>
      <c r="N32" s="50">
        <v>10</v>
      </c>
      <c r="O32" s="50">
        <v>10</v>
      </c>
      <c r="P32" s="50">
        <v>10</v>
      </c>
      <c r="Q32"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70055-003A-4DBB-B7E7-0021009A00A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B20010-0094-44B6-BDF6-00CB00630020}"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78"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9" width="10.00390625"/>
    <col hidden="1" min="13" max="13" style="50" width="10.57421875"/>
  </cols>
  <sheetData>
    <row r="1" ht="22.5" hidden="1" customHeight="1">
      <c r="M1" s="50" t="s">
        <v>14</v>
      </c>
    </row>
    <row r="2" s="50" customFormat="1" ht="18.75" hidden="1" customHeight="1">
      <c r="A2" s="64"/>
      <c r="B2" s="53"/>
      <c r="C2" s="821" t="s">
        <v>684</v>
      </c>
      <c r="D2" s="344"/>
      <c r="E2" s="94"/>
      <c r="F2" s="246"/>
      <c r="G2" s="246" t="s">
        <v>301</v>
      </c>
      <c r="H2" s="470"/>
      <c r="K2" s="129"/>
      <c r="L2" s="129"/>
      <c r="M2" s="50">
        <v>0</v>
      </c>
    </row>
    <row r="3" s="50" customFormat="1" ht="14.25" hidden="1" customHeight="1">
      <c r="A3" s="61"/>
      <c r="B3" s="53"/>
      <c r="C3" s="478"/>
      <c r="K3" s="129"/>
      <c r="L3" s="129"/>
      <c r="M3" s="50">
        <v>0</v>
      </c>
    </row>
    <row r="4" s="50" customFormat="1" ht="18.75" hidden="1" customHeight="1">
      <c r="A4" s="64"/>
      <c r="B4" s="53"/>
      <c r="C4" s="821" t="s">
        <v>684</v>
      </c>
      <c r="D4" s="344"/>
      <c r="E4" s="886" t="s">
        <v>1173</v>
      </c>
      <c r="F4" s="246"/>
      <c r="G4" s="1056"/>
      <c r="H4" s="246" t="s">
        <v>301</v>
      </c>
      <c r="K4" s="129"/>
      <c r="L4" s="129"/>
      <c r="M4" s="50">
        <v>0</v>
      </c>
    </row>
    <row r="5" s="50" customFormat="1" ht="14.25" hidden="1" customHeight="1">
      <c r="A5" s="61"/>
      <c r="B5" s="53"/>
      <c r="C5" s="478"/>
      <c r="K5" s="129"/>
      <c r="L5" s="129"/>
      <c r="M5" s="50">
        <v>0</v>
      </c>
    </row>
    <row r="6" s="50" customFormat="1" ht="18.75" hidden="1" customHeight="1">
      <c r="A6" s="64"/>
      <c r="B6" s="53"/>
      <c r="C6" s="821" t="s">
        <v>684</v>
      </c>
      <c r="D6" s="344"/>
      <c r="E6" s="1057" t="s">
        <v>1174</v>
      </c>
      <c r="F6" s="246"/>
      <c r="G6" s="1056"/>
      <c r="H6" s="246" t="s">
        <v>301</v>
      </c>
      <c r="K6" s="129"/>
      <c r="L6" s="129"/>
      <c r="M6" s="50">
        <v>0</v>
      </c>
    </row>
    <row r="7" s="50" customFormat="1" ht="14.25" hidden="1" customHeight="1">
      <c r="A7" s="61"/>
      <c r="B7" s="53"/>
      <c r="C7" s="478"/>
      <c r="K7" s="129"/>
      <c r="L7" s="129"/>
      <c r="M7" s="50">
        <v>0</v>
      </c>
    </row>
    <row r="8" s="50" customFormat="1" ht="18.75" hidden="1" customHeight="1">
      <c r="A8" s="64"/>
      <c r="B8" s="53"/>
      <c r="C8" s="821" t="s">
        <v>684</v>
      </c>
      <c r="D8" s="344"/>
      <c r="E8" s="1057" t="s">
        <v>1175</v>
      </c>
      <c r="F8" s="246"/>
      <c r="G8" s="1056"/>
      <c r="H8" s="246" t="s">
        <v>301</v>
      </c>
      <c r="K8" s="129"/>
      <c r="L8" s="129"/>
      <c r="M8" s="50">
        <v>0</v>
      </c>
    </row>
    <row r="9" s="50" customFormat="1" ht="14.25" hidden="1" customHeight="1">
      <c r="A9" s="61"/>
      <c r="B9" s="53"/>
      <c r="C9" s="478"/>
      <c r="K9" s="129"/>
      <c r="L9" s="129"/>
      <c r="M9" s="50">
        <v>0</v>
      </c>
    </row>
    <row r="10" s="50" customFormat="1" ht="18.75" hidden="1" customHeight="1">
      <c r="A10" s="64"/>
      <c r="B10" s="53"/>
      <c r="C10" s="821" t="s">
        <v>684</v>
      </c>
      <c r="D10" s="344"/>
      <c r="E10" s="1057" t="s">
        <v>1176</v>
      </c>
      <c r="F10" s="246"/>
      <c r="G10" s="388"/>
      <c r="H10" s="246" t="s">
        <v>301</v>
      </c>
      <c r="K10" s="129"/>
      <c r="L10" s="129" t="s">
        <v>1177</v>
      </c>
      <c r="M10" s="50">
        <v>0</v>
      </c>
    </row>
    <row r="11" ht="14.25" hidden="1" customHeight="1">
      <c r="M11" s="50">
        <v>0</v>
      </c>
    </row>
    <row r="12" ht="14.25" hidden="1" customHeight="1">
      <c r="M12" s="50">
        <v>0</v>
      </c>
    </row>
    <row r="13" ht="14.65" customHeight="1">
      <c r="C13" s="539"/>
      <c r="D13" s="91"/>
      <c r="E13" s="91"/>
      <c r="F13" s="91"/>
      <c r="G13" s="91"/>
      <c r="H13" s="823"/>
      <c r="I13" s="823"/>
      <c r="M13" s="50">
        <v>14</v>
      </c>
    </row>
    <row r="14" ht="29.25" customHeight="1">
      <c r="C14" s="539"/>
      <c r="D14" s="236"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
      <c r="F14" s="237"/>
      <c r="G14" s="237"/>
      <c r="H14" s="238"/>
      <c r="J14" s="50"/>
      <c r="M14" s="50">
        <v>28</v>
      </c>
    </row>
    <row r="15" s="50" customFormat="1" ht="14.65" customHeight="1">
      <c r="A15" s="61"/>
      <c r="B15" s="53"/>
      <c r="C15" s="539"/>
      <c r="D15" s="408" t="str">
        <f>IF(org=0,"Не определено",org)</f>
        <v xml:space="preserve">АО "ДГК" СП "Биробиджанская ТЭЦ"</v>
      </c>
      <c r="E15" s="409"/>
      <c r="F15" s="409"/>
      <c r="G15" s="409"/>
      <c r="H15" s="410"/>
      <c r="J15" s="361"/>
      <c r="K15" s="129"/>
      <c r="L15" s="129"/>
      <c r="M15" s="50">
        <v>14</v>
      </c>
    </row>
    <row r="16" ht="14.65" customHeight="1">
      <c r="C16" s="539"/>
      <c r="D16" s="91"/>
      <c r="E16" s="83"/>
      <c r="F16" s="83"/>
      <c r="G16" s="83"/>
      <c r="H16" s="341"/>
      <c r="I16" s="824"/>
      <c r="M16" s="50">
        <v>14</v>
      </c>
    </row>
    <row r="17" s="50" customFormat="1" ht="14.25" hidden="1" customHeight="1">
      <c r="A17" s="61"/>
      <c r="B17" s="53"/>
      <c r="C17" s="539"/>
      <c r="D17" s="91"/>
      <c r="E17" s="83"/>
      <c r="F17" s="83"/>
      <c r="G17" s="83"/>
      <c r="H17" s="341"/>
      <c r="I17" s="824"/>
      <c r="K17" s="129"/>
      <c r="L17" s="129"/>
      <c r="M17" s="50">
        <v>0</v>
      </c>
    </row>
    <row r="18" ht="22" customHeight="1">
      <c r="C18" s="539"/>
      <c r="D18" s="347" t="s">
        <v>295</v>
      </c>
      <c r="E18" s="347"/>
      <c r="F18" s="347"/>
      <c r="G18" s="347"/>
      <c r="H18" s="347"/>
      <c r="I18" s="828" t="s">
        <v>296</v>
      </c>
      <c r="M18" s="50">
        <v>21</v>
      </c>
    </row>
    <row r="19" ht="22" customHeight="1">
      <c r="C19" s="539"/>
      <c r="D19" s="347" t="s">
        <v>88</v>
      </c>
      <c r="E19" s="246" t="s">
        <v>297</v>
      </c>
      <c r="F19" s="246"/>
      <c r="G19" s="246" t="s">
        <v>298</v>
      </c>
      <c r="H19" s="246" t="s">
        <v>385</v>
      </c>
      <c r="I19" s="828"/>
      <c r="M19" s="50">
        <v>21</v>
      </c>
    </row>
    <row r="20" ht="12" hidden="1" customHeight="1">
      <c r="C20" s="539"/>
      <c r="D20" s="425"/>
      <c r="E20" s="425"/>
      <c r="F20" s="425"/>
      <c r="G20" s="425"/>
      <c r="H20" s="425"/>
      <c r="I20" s="425"/>
      <c r="M20" s="50">
        <v>0</v>
      </c>
    </row>
    <row r="21" ht="14.65" customHeight="1">
      <c r="A21" s="64"/>
      <c r="C21" s="539"/>
      <c r="D21" s="344">
        <v>1</v>
      </c>
      <c r="E21" s="830" t="s">
        <v>1178</v>
      </c>
      <c r="F21" s="830"/>
      <c r="G21" s="830"/>
      <c r="H21" s="830"/>
      <c r="I21" s="822"/>
      <c r="M21" s="50">
        <v>14</v>
      </c>
    </row>
    <row r="22" ht="21" customHeight="1">
      <c r="A22" s="64"/>
      <c r="C22" s="539"/>
      <c r="D22" s="344" t="s">
        <v>1065</v>
      </c>
      <c r="E22" s="886" t="s">
        <v>1179</v>
      </c>
      <c r="F22" s="246"/>
      <c r="G22" s="1058"/>
      <c r="H22" s="246" t="s">
        <v>301</v>
      </c>
      <c r="I22" s="485" t="s">
        <v>1180</v>
      </c>
      <c r="M22" s="50">
        <v>20</v>
      </c>
    </row>
    <row r="23" ht="60" customHeight="1">
      <c r="A23" s="64"/>
      <c r="C23" s="539"/>
      <c r="D23" s="344" t="s">
        <v>1067</v>
      </c>
      <c r="E23" s="886" t="s">
        <v>1181</v>
      </c>
      <c r="F23" s="246"/>
      <c r="G23" s="1056"/>
      <c r="H23" s="470"/>
      <c r="I23" s="255" t="s">
        <v>1182</v>
      </c>
      <c r="M23" s="50">
        <v>57</v>
      </c>
    </row>
    <row r="24" ht="14.65" customHeight="1">
      <c r="A24" s="64"/>
      <c r="B24" s="53">
        <v>3</v>
      </c>
      <c r="C24" s="539"/>
      <c r="D24" s="344">
        <v>2</v>
      </c>
      <c r="E24" s="830"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6"/>
      <c r="G24" s="246" t="s">
        <v>301</v>
      </c>
      <c r="H24" s="470"/>
      <c r="I24" s="313" t="s">
        <v>626</v>
      </c>
      <c r="M24" s="50">
        <v>14</v>
      </c>
    </row>
    <row r="25" ht="48.25" customHeight="1">
      <c r="A25" s="64"/>
      <c r="C25" s="539"/>
      <c r="D25" s="344">
        <v>3</v>
      </c>
      <c r="E25" s="8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30"/>
      <c r="G25" s="830"/>
      <c r="H25" s="830"/>
      <c r="I25" s="822"/>
      <c r="M25" s="50">
        <v>46</v>
      </c>
    </row>
    <row r="26" ht="14.65" customHeight="1">
      <c r="A26" s="64"/>
      <c r="C26" s="539"/>
      <c r="D26" s="344" t="s">
        <v>319</v>
      </c>
      <c r="E26" s="94"/>
      <c r="F26" s="246"/>
      <c r="G26" s="246" t="s">
        <v>301</v>
      </c>
      <c r="H26" s="470"/>
      <c r="I26" s="285" t="s">
        <v>1183</v>
      </c>
      <c r="M26" s="50">
        <v>14</v>
      </c>
    </row>
    <row r="27" ht="15.75" customHeight="1">
      <c r="A27" s="64" t="s">
        <v>106</v>
      </c>
      <c r="C27" s="539"/>
      <c r="D27" s="831"/>
      <c r="E27" s="172" t="s">
        <v>317</v>
      </c>
      <c r="F27" s="235"/>
      <c r="G27" s="235"/>
      <c r="H27" s="832"/>
      <c r="I27" s="289"/>
      <c r="M27" s="50">
        <v>15</v>
      </c>
    </row>
    <row r="28" ht="39.75" customHeight="1">
      <c r="A28" s="64"/>
      <c r="B28" s="53">
        <v>3</v>
      </c>
      <c r="C28" s="539"/>
      <c r="D28" s="344">
        <v>4</v>
      </c>
      <c r="E28" s="8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30"/>
      <c r="G28" s="830"/>
      <c r="H28" s="830"/>
      <c r="I28" s="822"/>
      <c r="M28" s="50">
        <v>38</v>
      </c>
    </row>
    <row r="29" ht="21" customHeight="1">
      <c r="A29" s="64"/>
      <c r="C29" s="539"/>
      <c r="D29" s="344" t="s">
        <v>749</v>
      </c>
      <c r="E29" s="886" t="s">
        <v>1173</v>
      </c>
      <c r="F29" s="246"/>
      <c r="G29" s="1056"/>
      <c r="H29" s="246" t="s">
        <v>301</v>
      </c>
      <c r="I29" s="285" t="s">
        <v>1184</v>
      </c>
      <c r="M29" s="50">
        <v>20</v>
      </c>
    </row>
    <row r="30" ht="15.75" customHeight="1">
      <c r="A30" s="64" t="s">
        <v>107</v>
      </c>
      <c r="C30" s="539"/>
      <c r="D30" s="831"/>
      <c r="E30" s="172" t="s">
        <v>317</v>
      </c>
      <c r="F30" s="235"/>
      <c r="G30" s="235"/>
      <c r="H30" s="832"/>
      <c r="I30" s="289"/>
      <c r="M30" s="50">
        <v>15</v>
      </c>
    </row>
    <row r="31" ht="31.5" customHeight="1">
      <c r="A31" s="64"/>
      <c r="B31" s="53">
        <v>3</v>
      </c>
      <c r="C31" s="539"/>
      <c r="D31" s="344">
        <v>5</v>
      </c>
      <c r="E31" s="8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30"/>
      <c r="G31" s="830"/>
      <c r="H31" s="830"/>
      <c r="I31" s="822"/>
      <c r="M31" s="50">
        <v>30</v>
      </c>
    </row>
    <row r="32" ht="27.300000000000001" customHeight="1">
      <c r="A32" s="64"/>
      <c r="C32" s="539"/>
      <c r="D32" s="344" t="s">
        <v>308</v>
      </c>
      <c r="E32" s="88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86"/>
      <c r="G32" s="886"/>
      <c r="H32" s="886"/>
      <c r="I32" s="822"/>
      <c r="M32" s="50">
        <v>26</v>
      </c>
    </row>
    <row r="33" ht="14.65" customHeight="1">
      <c r="A33" s="64"/>
      <c r="C33" s="539"/>
      <c r="D33" s="344" t="s">
        <v>1185</v>
      </c>
      <c r="E33" s="1057" t="s">
        <v>1174</v>
      </c>
      <c r="F33" s="246"/>
      <c r="G33" s="1056"/>
      <c r="H33" s="246" t="s">
        <v>301</v>
      </c>
      <c r="I33" s="285" t="s">
        <v>1186</v>
      </c>
      <c r="M33" s="50">
        <v>14</v>
      </c>
    </row>
    <row r="34" ht="15.75" customHeight="1">
      <c r="A34" s="64" t="s">
        <v>90</v>
      </c>
      <c r="C34" s="539"/>
      <c r="D34" s="831"/>
      <c r="E34" s="235" t="s">
        <v>317</v>
      </c>
      <c r="F34" s="687"/>
      <c r="G34" s="687"/>
      <c r="H34" s="832"/>
      <c r="I34" s="289"/>
      <c r="M34" s="50">
        <v>15</v>
      </c>
    </row>
    <row r="35" ht="25.199999999999999" customHeight="1">
      <c r="A35" s="64"/>
      <c r="C35" s="539"/>
      <c r="D35" s="344" t="s">
        <v>877</v>
      </c>
      <c r="E35" s="88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86"/>
      <c r="G35" s="886"/>
      <c r="H35" s="886"/>
      <c r="I35" s="822"/>
      <c r="M35" s="50">
        <v>24</v>
      </c>
    </row>
    <row r="36" ht="14.65" customHeight="1">
      <c r="A36" s="64"/>
      <c r="C36" s="539"/>
      <c r="D36" s="344" t="s">
        <v>1187</v>
      </c>
      <c r="E36" s="1057" t="s">
        <v>1175</v>
      </c>
      <c r="F36" s="246"/>
      <c r="G36" s="1056"/>
      <c r="H36" s="246" t="s">
        <v>301</v>
      </c>
      <c r="I36" s="255" t="s">
        <v>1188</v>
      </c>
      <c r="M36" s="50">
        <v>14</v>
      </c>
    </row>
    <row r="37" ht="15.75" customHeight="1">
      <c r="A37" s="64" t="s">
        <v>91</v>
      </c>
      <c r="C37" s="539"/>
      <c r="D37" s="831"/>
      <c r="E37" s="235" t="s">
        <v>317</v>
      </c>
      <c r="F37" s="687"/>
      <c r="G37" s="687"/>
      <c r="H37" s="832"/>
      <c r="I37" s="255"/>
      <c r="M37" s="50">
        <v>15</v>
      </c>
    </row>
    <row r="38" ht="27.300000000000001" customHeight="1">
      <c r="A38" s="64"/>
      <c r="C38" s="539"/>
      <c r="D38" s="344" t="s">
        <v>878</v>
      </c>
      <c r="E38" s="88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86"/>
      <c r="G38" s="886"/>
      <c r="H38" s="886"/>
      <c r="I38" s="822"/>
      <c r="M38" s="50">
        <v>26</v>
      </c>
    </row>
    <row r="39" ht="14.65" customHeight="1">
      <c r="A39" s="64"/>
      <c r="C39" s="539"/>
      <c r="D39" s="344" t="s">
        <v>879</v>
      </c>
      <c r="E39" s="1057" t="s">
        <v>1176</v>
      </c>
      <c r="F39" s="246"/>
      <c r="G39" s="388"/>
      <c r="H39" s="246" t="s">
        <v>301</v>
      </c>
      <c r="I39" s="285" t="s">
        <v>1189</v>
      </c>
      <c r="L39" s="129" t="s">
        <v>1177</v>
      </c>
      <c r="M39" s="50">
        <v>14</v>
      </c>
    </row>
    <row r="40" ht="15.75" customHeight="1">
      <c r="A40" s="64" t="s">
        <v>108</v>
      </c>
      <c r="C40" s="539"/>
      <c r="D40" s="831"/>
      <c r="E40" s="235" t="s">
        <v>317</v>
      </c>
      <c r="F40" s="687"/>
      <c r="G40" s="687"/>
      <c r="H40" s="832"/>
      <c r="I40" s="289"/>
      <c r="M40" s="50">
        <v>15</v>
      </c>
    </row>
    <row r="41" s="143" customFormat="1" ht="3" customHeight="1">
      <c r="A41" s="64"/>
      <c r="K41" s="167"/>
      <c r="L41" s="167"/>
      <c r="M41" s="143">
        <v>3</v>
      </c>
    </row>
    <row r="42" ht="26.25" customHeight="1">
      <c r="D42" s="476" t="s">
        <v>799</v>
      </c>
      <c r="E42" s="574"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74"/>
      <c r="G42" s="574"/>
      <c r="H42" s="574"/>
      <c r="I42" s="574"/>
      <c r="M42" s="50">
        <v>25</v>
      </c>
    </row>
    <row r="43" ht="22.5" hidden="1" customHeight="1">
      <c r="A43" s="61" t="s">
        <v>82</v>
      </c>
      <c r="B43" s="53">
        <v>0</v>
      </c>
      <c r="C43" s="478">
        <v>3</v>
      </c>
      <c r="D43" s="50">
        <v>6</v>
      </c>
      <c r="E43" s="50">
        <v>63</v>
      </c>
      <c r="F43" s="50">
        <v>0</v>
      </c>
      <c r="G43" s="50">
        <v>35</v>
      </c>
      <c r="H43" s="50">
        <v>35</v>
      </c>
      <c r="I43" s="50">
        <v>91</v>
      </c>
      <c r="J43" s="50">
        <v>68</v>
      </c>
      <c r="K43" s="129">
        <v>10</v>
      </c>
      <c r="L43" s="129">
        <v>10</v>
      </c>
      <c r="M43" s="50">
        <v>23</v>
      </c>
    </row>
  </sheetData>
  <sheetProtection autoFilter="0" deleteColumns="1" deleteRows="1" formatCells="1" formatColumns="0" formatRows="0" insertColumns="1" insertHyperlinks="1" insertRows="1" objects="0" pivotTables="1" scenarios="0" selectLockedCells="0" selectUnlockedCells="0" sheet="1" sort="1"/>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E003B-00FA-474E-A009-00E6005D0051}"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D90071-0013-442E-85AE-002F00ED003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ED001F-0044-43CD-986E-00EF009300A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1" activeCellId="0" sqref="A1"/>
    </sheetView>
  </sheetViews>
  <sheetFormatPr defaultColWidth="10.57421875" defaultRowHeight="14.25" customHeight="1"/>
  <cols>
    <col customWidth="1" hidden="1" min="1" max="2" style="11" width="25.140625"/>
    <col customWidth="1" hidden="1" min="3" max="3" style="395" width="9.140625"/>
    <col customWidth="1" min="4" max="4" style="478"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9" width="10.00390625"/>
    <col customWidth="1" min="17" max="33" style="50" width="10.00390625"/>
    <col hidden="1" min="34" max="34" style="50" width="10.57421875"/>
  </cols>
  <sheetData>
    <row r="1" s="50" customFormat="1" ht="22.5" hidden="1" customHeight="1">
      <c r="A1" s="11"/>
      <c r="B1" s="11"/>
      <c r="C1" s="395"/>
      <c r="D1" s="478"/>
      <c r="N1" s="57">
        <f>_xlfn.IFERROR(MATCH("метод экономически обоснованных расходов (затрат)",OFFER_METHOD,0),0)</f>
        <v>0</v>
      </c>
      <c r="O1" s="129"/>
      <c r="P1" s="129"/>
      <c r="T1" s="121"/>
      <c r="AG1" s="820"/>
      <c r="AH1" s="50" t="s">
        <v>14</v>
      </c>
    </row>
    <row r="2" s="50" customFormat="1" ht="18.75" hidden="1" customHeight="1">
      <c r="A2" s="143" t="s">
        <v>152</v>
      </c>
      <c r="B2" s="143" t="s">
        <v>153</v>
      </c>
      <c r="C2" s="395"/>
      <c r="D2" s="478"/>
      <c r="E2" s="555"/>
      <c r="F2" s="555"/>
      <c r="G2" s="984" t="str">
        <f>INDEX(PT_DIFFERENTIATION_NTAR,MATCH(B2,PT_DIFFERENTIATION_NTAR_ID,0))</f>
        <v/>
      </c>
      <c r="H2" s="417"/>
      <c r="I2" s="1059"/>
      <c r="J2" s="1060"/>
      <c r="K2" s="607"/>
      <c r="L2" s="417" t="s">
        <v>301</v>
      </c>
      <c r="M2" s="628"/>
      <c r="N2" s="781"/>
      <c r="O2" s="129"/>
      <c r="P2" s="129"/>
      <c r="AH2" s="50">
        <v>0</v>
      </c>
    </row>
    <row r="3" s="50" customFormat="1" ht="18.75" hidden="1" customHeight="1">
      <c r="A3" s="143"/>
      <c r="B3" s="143"/>
      <c r="C3" s="395" t="s">
        <v>1190</v>
      </c>
      <c r="D3" s="478"/>
      <c r="E3" s="555"/>
      <c r="F3" s="555"/>
      <c r="G3" s="984"/>
      <c r="H3" s="701"/>
      <c r="I3" s="177" t="s">
        <v>1191</v>
      </c>
      <c r="J3" s="235"/>
      <c r="K3" s="701"/>
      <c r="L3" s="832"/>
      <c r="M3" s="628"/>
      <c r="N3" s="781"/>
      <c r="O3" s="129"/>
      <c r="P3" s="129"/>
      <c r="AH3" s="50">
        <v>0</v>
      </c>
    </row>
    <row r="4" s="50" customFormat="1" ht="14.25" hidden="1" customHeight="1">
      <c r="A4" s="11"/>
      <c r="B4" s="11"/>
      <c r="C4" s="395"/>
      <c r="D4" s="478"/>
      <c r="N4" s="57">
        <f>_xlfn.IFERROR(MATCH("метод экономически обоснованных расходов (затрат)",OFFER_METHOD,0),0)</f>
        <v>0</v>
      </c>
      <c r="O4" s="129"/>
      <c r="P4" s="129"/>
      <c r="T4" s="121"/>
      <c r="AG4" s="820"/>
      <c r="AH4" s="50">
        <v>0</v>
      </c>
    </row>
    <row r="5" s="50" customFormat="1" ht="18.75" hidden="1" customHeight="1">
      <c r="A5" s="143" t="s">
        <v>152</v>
      </c>
      <c r="B5" s="143" t="s">
        <v>153</v>
      </c>
      <c r="C5" s="395"/>
      <c r="D5" s="478"/>
      <c r="E5" s="555"/>
      <c r="F5" s="555"/>
      <c r="G5" s="984" t="str">
        <f>INDEX(PT_DIFFERENTIATION_NTAR,MATCH(B5,PT_DIFFERENTIATION_NTAR_ID,0))</f>
        <v/>
      </c>
      <c r="H5" s="417"/>
      <c r="I5" s="1059"/>
      <c r="J5" s="1060"/>
      <c r="K5" s="433"/>
      <c r="L5" s="417" t="s">
        <v>301</v>
      </c>
      <c r="M5" s="628"/>
      <c r="N5" s="781"/>
      <c r="O5" s="129"/>
      <c r="P5" s="129"/>
      <c r="AH5" s="50">
        <v>0</v>
      </c>
    </row>
    <row r="6" s="50" customFormat="1" ht="18.75" hidden="1" customHeight="1">
      <c r="A6" s="143"/>
      <c r="B6" s="143"/>
      <c r="C6" s="395" t="s">
        <v>1192</v>
      </c>
      <c r="D6" s="478"/>
      <c r="E6" s="555"/>
      <c r="F6" s="555"/>
      <c r="G6" s="984"/>
      <c r="H6" s="701"/>
      <c r="I6" s="177" t="s">
        <v>1191</v>
      </c>
      <c r="J6" s="235"/>
      <c r="K6" s="701"/>
      <c r="L6" s="832"/>
      <c r="M6" s="628"/>
      <c r="N6" s="781"/>
      <c r="O6" s="129"/>
      <c r="P6" s="129"/>
      <c r="AH6" s="50">
        <v>0</v>
      </c>
    </row>
    <row r="7" s="50" customFormat="1" ht="14.25" hidden="1" customHeight="1">
      <c r="A7" s="11"/>
      <c r="B7" s="11"/>
      <c r="C7" s="395"/>
      <c r="D7" s="478"/>
      <c r="N7" s="57">
        <f>_xlfn.IFERROR(MATCH("метод экономически обоснованных расходов (затрат)",OFFER_METHOD,0),0)</f>
        <v>0</v>
      </c>
      <c r="O7" s="129"/>
      <c r="P7" s="129"/>
      <c r="T7" s="121"/>
      <c r="AG7" s="820"/>
      <c r="AH7" s="50">
        <v>0</v>
      </c>
    </row>
    <row r="8" s="50" customFormat="1" ht="56.25" hidden="1" customHeight="1">
      <c r="A8" s="143"/>
      <c r="B8" s="143"/>
      <c r="C8" s="395"/>
      <c r="D8" s="478"/>
      <c r="E8" s="555"/>
      <c r="F8" s="555"/>
      <c r="G8" s="555"/>
      <c r="H8" s="417"/>
      <c r="I8" s="1059"/>
      <c r="J8" s="1060"/>
      <c r="K8" s="607"/>
      <c r="L8" s="417" t="s">
        <v>301</v>
      </c>
      <c r="M8" s="628"/>
      <c r="N8" s="781"/>
      <c r="O8" s="129"/>
      <c r="P8" s="129"/>
      <c r="AH8" s="50">
        <v>0</v>
      </c>
    </row>
    <row r="9" ht="14.25" hidden="1" customHeight="1">
      <c r="T9" s="121"/>
      <c r="AG9" s="820"/>
      <c r="AH9" s="50">
        <v>0</v>
      </c>
    </row>
    <row r="10" s="50" customFormat="1" ht="56.25" hidden="1" customHeight="1">
      <c r="A10" s="143"/>
      <c r="B10" s="143"/>
      <c r="C10" s="395"/>
      <c r="D10" s="478"/>
      <c r="E10" s="555"/>
      <c r="F10" s="555"/>
      <c r="G10" s="555"/>
      <c r="H10" s="246"/>
      <c r="I10" s="1059"/>
      <c r="J10" s="1060"/>
      <c r="K10" s="433"/>
      <c r="L10" s="417" t="s">
        <v>301</v>
      </c>
      <c r="M10" s="628"/>
      <c r="N10" s="781"/>
      <c r="O10" s="129"/>
      <c r="P10" s="129"/>
      <c r="AH10" s="50">
        <v>0</v>
      </c>
    </row>
    <row r="11" ht="14.25" hidden="1" customHeight="1">
      <c r="AH11" s="50">
        <v>0</v>
      </c>
    </row>
    <row r="12" ht="14.25" hidden="1" customHeight="1">
      <c r="AH12" s="50">
        <v>0</v>
      </c>
    </row>
    <row r="13" ht="6.2999999999999998" customHeight="1">
      <c r="D13" s="539"/>
      <c r="E13" s="91"/>
      <c r="F13" s="91"/>
      <c r="G13" s="91"/>
      <c r="H13" s="91"/>
      <c r="I13" s="91"/>
      <c r="J13" s="91"/>
      <c r="K13" s="91"/>
      <c r="L13" s="823"/>
      <c r="M13" s="823"/>
      <c r="AH13" s="50">
        <v>6</v>
      </c>
    </row>
    <row r="14" ht="14.65" customHeight="1">
      <c r="D14" s="539"/>
      <c r="E14" s="106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061"/>
      <c r="G14" s="1061"/>
      <c r="H14" s="1061"/>
      <c r="I14" s="1061"/>
      <c r="J14" s="1061"/>
      <c r="K14" s="1061"/>
      <c r="L14" s="1061"/>
      <c r="M14" s="240"/>
      <c r="AH14" s="50">
        <v>14</v>
      </c>
    </row>
    <row r="15" ht="6.2999999999999998" customHeight="1">
      <c r="D15" s="539"/>
      <c r="E15" s="91"/>
      <c r="F15" s="83"/>
      <c r="G15" s="83"/>
      <c r="H15" s="83"/>
      <c r="I15" s="83"/>
      <c r="J15" s="83"/>
      <c r="K15" s="83"/>
      <c r="L15" s="541"/>
      <c r="M15" s="824"/>
      <c r="AH15" s="50">
        <v>6</v>
      </c>
    </row>
    <row r="16" ht="24" customHeight="1">
      <c r="D16" s="539"/>
      <c r="E16" s="91"/>
      <c r="F16" s="1062" t="str">
        <f>"Дата подачи заявления об "&amp;IF(TITLE_DATE_PR_CHANGE="","утверждении","изменении")&amp;" тарифов"</f>
        <v xml:space="preserve">Дата подачи заявления об утверждении тарифов</v>
      </c>
      <c r="G16" s="546" t="str">
        <f>IF(TITLE_DATE_PR_CHANGE="",IF(TITLE_DATE_PR="","",TITLE_DATE_PR),TITLE_DATE_PR_CHANGE)</f>
        <v/>
      </c>
      <c r="H16" s="546"/>
      <c r="I16" s="546"/>
      <c r="J16" s="546"/>
      <c r="K16" s="546"/>
      <c r="L16" s="546"/>
      <c r="M16" s="781"/>
      <c r="N16" s="50"/>
      <c r="AH16" s="50">
        <v>23</v>
      </c>
    </row>
    <row r="17" ht="24" customHeight="1">
      <c r="D17" s="539"/>
      <c r="E17" s="91"/>
      <c r="F17" s="1062" t="str">
        <f>"Номер подачи заявления об "&amp;IF(TITLE_DATE_PR_CHANGE="","утверждении","изменении")&amp;" тарифов"</f>
        <v xml:space="preserve">Номер подачи заявления об утверждении тарифов</v>
      </c>
      <c r="G17" s="544" t="str">
        <f>IF(TITLE_NUMBER_PR_CHANGE="",IF(TITLE_NUMBER_PR="","",TITLE_NUMBER_PR),TITLE_NUMBER_PR_CHANGE)</f>
        <v/>
      </c>
      <c r="H17" s="544"/>
      <c r="I17" s="544"/>
      <c r="J17" s="544"/>
      <c r="K17" s="544"/>
      <c r="L17" s="544"/>
      <c r="M17" s="781"/>
      <c r="N17" s="50"/>
      <c r="AH17" s="50">
        <v>23</v>
      </c>
    </row>
    <row r="18" ht="14.65" customHeight="1">
      <c r="D18" s="539"/>
      <c r="E18" s="91"/>
      <c r="F18" s="83"/>
      <c r="G18" s="83"/>
      <c r="H18" s="83"/>
      <c r="I18" s="83"/>
      <c r="J18" s="83"/>
      <c r="K18" s="83"/>
      <c r="L18" s="341"/>
      <c r="M18" s="824"/>
      <c r="AH18" s="50">
        <v>14</v>
      </c>
    </row>
    <row r="19" ht="22" customHeight="1">
      <c r="D19" s="539"/>
      <c r="E19" s="347" t="s">
        <v>295</v>
      </c>
      <c r="F19" s="347"/>
      <c r="G19" s="347"/>
      <c r="H19" s="347"/>
      <c r="I19" s="347"/>
      <c r="J19" s="347"/>
      <c r="K19" s="347"/>
      <c r="L19" s="347"/>
      <c r="M19" s="828" t="s">
        <v>296</v>
      </c>
      <c r="AH19" s="50">
        <v>21</v>
      </c>
    </row>
    <row r="20" ht="22" customHeight="1">
      <c r="D20" s="539"/>
      <c r="E20" s="553" t="s">
        <v>88</v>
      </c>
      <c r="F20" s="418" t="s">
        <v>119</v>
      </c>
      <c r="G20" s="418" t="s">
        <v>120</v>
      </c>
      <c r="H20" s="825" t="s">
        <v>1193</v>
      </c>
      <c r="I20" s="826"/>
      <c r="J20" s="1019"/>
      <c r="K20" s="418" t="s">
        <v>298</v>
      </c>
      <c r="L20" s="418" t="s">
        <v>385</v>
      </c>
      <c r="M20" s="828"/>
      <c r="AH20" s="50">
        <v>21</v>
      </c>
    </row>
    <row r="21" ht="22" customHeight="1">
      <c r="D21" s="539"/>
      <c r="E21" s="561"/>
      <c r="F21" s="421"/>
      <c r="G21" s="421"/>
      <c r="H21" s="415" t="s">
        <v>1194</v>
      </c>
      <c r="I21" s="417"/>
      <c r="J21" s="246" t="s">
        <v>1195</v>
      </c>
      <c r="K21" s="421"/>
      <c r="L21" s="421"/>
      <c r="M21" s="828"/>
      <c r="AH21" s="50">
        <v>21</v>
      </c>
    </row>
    <row r="22" ht="12.75" customHeight="1">
      <c r="D22" s="539"/>
      <c r="E22" s="425"/>
      <c r="F22" s="425"/>
      <c r="G22" s="425"/>
      <c r="H22" s="1063"/>
      <c r="I22" s="1063"/>
      <c r="J22" s="425"/>
      <c r="K22" s="425"/>
      <c r="L22" s="425"/>
      <c r="M22" s="425"/>
      <c r="AH22" s="50">
        <v>12</v>
      </c>
    </row>
    <row r="23" ht="19.949999999999999" customHeight="1">
      <c r="A23" s="143"/>
      <c r="B23" s="143"/>
      <c r="D23" s="539"/>
      <c r="E23" s="1064" t="s">
        <v>106</v>
      </c>
      <c r="F23" s="1065" t="str">
        <f>"Предлагаемый метод регулирования"&amp;IF(TEMPLATE_SPHERE="HEAT"," в сфере "&amp;TEMPLATE_SPHERE_RUS,"")</f>
        <v xml:space="preserve">Предлагаемый метод регулирования в сфере теплоснабжения</v>
      </c>
      <c r="G23" s="1065"/>
      <c r="H23" s="830"/>
      <c r="I23" s="830"/>
      <c r="J23" s="830"/>
      <c r="K23" s="1065" t="s">
        <v>301</v>
      </c>
      <c r="L23" s="830"/>
      <c r="M23" s="313"/>
      <c r="N23" s="781"/>
      <c r="AH23" s="50">
        <v>19</v>
      </c>
    </row>
    <row r="24" ht="60.75" hidden="1" customHeight="1">
      <c r="A24" s="143" t="s">
        <v>152</v>
      </c>
      <c r="B24" s="143" t="s">
        <v>153</v>
      </c>
      <c r="D24" s="1066"/>
      <c r="E24" s="344"/>
      <c r="F24" s="1067"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84" t="str">
        <f>INDEX(PT_DIFFERENTIATION_NTAR,MATCH(B24,PT_DIFFERENTIATION_NTAR_ID,0))</f>
        <v/>
      </c>
      <c r="H24" s="417"/>
      <c r="I24" s="1059"/>
      <c r="J24" s="1060"/>
      <c r="K24" s="607"/>
      <c r="L24" s="417" t="s">
        <v>301</v>
      </c>
      <c r="M24"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81"/>
      <c r="AH24" s="50">
        <v>0</v>
      </c>
    </row>
    <row r="25" s="50" customFormat="1" ht="18.75" hidden="1" customHeight="1">
      <c r="A25" s="143"/>
      <c r="B25" s="143"/>
      <c r="C25" s="395" t="s">
        <v>1190</v>
      </c>
      <c r="D25" s="1066"/>
      <c r="E25" s="344"/>
      <c r="F25" s="1067"/>
      <c r="G25" s="984"/>
      <c r="H25" s="701"/>
      <c r="I25" s="177" t="s">
        <v>1191</v>
      </c>
      <c r="J25" s="235"/>
      <c r="K25" s="701"/>
      <c r="L25" s="832"/>
      <c r="M25" s="287"/>
      <c r="N25" s="781"/>
      <c r="O25" s="129"/>
      <c r="P25" s="129"/>
      <c r="AH25" s="50">
        <v>0</v>
      </c>
    </row>
    <row r="26" ht="0.75" hidden="1" customHeight="1">
      <c r="A26" s="143"/>
      <c r="B26" s="143"/>
      <c r="C26" s="395" t="s">
        <v>1196</v>
      </c>
      <c r="D26" s="1066"/>
      <c r="E26" s="344"/>
      <c r="F26" s="79"/>
      <c r="G26" s="1068"/>
      <c r="H26" s="701"/>
      <c r="I26" s="177"/>
      <c r="J26" s="235"/>
      <c r="K26" s="701"/>
      <c r="L26" s="832"/>
      <c r="M26" s="287"/>
      <c r="N26" s="781"/>
      <c r="AH26" s="50">
        <v>0</v>
      </c>
    </row>
    <row r="27" s="50" customFormat="1" ht="45" hidden="1" customHeight="1">
      <c r="A27" s="143" t="s">
        <v>157</v>
      </c>
      <c r="B27" s="143" t="s">
        <v>158</v>
      </c>
      <c r="C27" s="395"/>
      <c r="D27" s="1069"/>
      <c r="E27" s="1070"/>
      <c r="F27" s="1071" t="str">
        <f>INDEX(PT_DIFFERENTIATION_VTAR,MATCH(A27,PT_DIFFERENTIATION_VTAR_ID,0))</f>
        <v/>
      </c>
      <c r="G27" s="984" t="str">
        <f>INDEX(PT_DIFFERENTIATION_NTAR,MATCH(B27,PT_DIFFERENTIATION_NTAR_ID,0))</f>
        <v/>
      </c>
      <c r="H27" s="417"/>
      <c r="I27" s="1059"/>
      <c r="J27" s="1060"/>
      <c r="K27" s="607"/>
      <c r="L27" s="417" t="s">
        <v>301</v>
      </c>
      <c r="M27" s="287"/>
      <c r="N27" s="781"/>
      <c r="O27" s="129"/>
      <c r="P27" s="129"/>
      <c r="AH27" s="50">
        <v>0</v>
      </c>
    </row>
    <row r="28" s="50" customFormat="1" ht="18.75" hidden="1" customHeight="1">
      <c r="A28" s="143"/>
      <c r="B28" s="143"/>
      <c r="C28" s="395" t="s">
        <v>1190</v>
      </c>
      <c r="D28" s="1069"/>
      <c r="E28" s="1070"/>
      <c r="F28" s="1071"/>
      <c r="G28" s="984"/>
      <c r="H28" s="701"/>
      <c r="I28" s="177" t="s">
        <v>1191</v>
      </c>
      <c r="J28" s="235"/>
      <c r="K28" s="701"/>
      <c r="L28" s="832"/>
      <c r="M28" s="287"/>
      <c r="N28" s="781"/>
      <c r="O28" s="129"/>
      <c r="P28" s="129"/>
      <c r="AH28" s="50">
        <v>0</v>
      </c>
    </row>
    <row r="29" s="50" customFormat="1" ht="0.75" hidden="1" customHeight="1">
      <c r="A29" s="143"/>
      <c r="B29" s="143"/>
      <c r="C29" s="395" t="s">
        <v>1196</v>
      </c>
      <c r="D29" s="1069"/>
      <c r="E29" s="344"/>
      <c r="F29" s="79"/>
      <c r="G29" s="1068"/>
      <c r="H29" s="701"/>
      <c r="I29" s="177"/>
      <c r="J29" s="235"/>
      <c r="K29" s="701"/>
      <c r="L29" s="832"/>
      <c r="M29" s="287"/>
      <c r="N29" s="781"/>
      <c r="O29" s="129"/>
      <c r="P29" s="129"/>
      <c r="AH29" s="50">
        <v>0</v>
      </c>
    </row>
    <row r="30" s="50" customFormat="1" ht="45" hidden="1" customHeight="1">
      <c r="A30" s="143" t="s">
        <v>164</v>
      </c>
      <c r="B30" s="143" t="s">
        <v>165</v>
      </c>
      <c r="C30" s="395"/>
      <c r="D30" s="1069"/>
      <c r="E30" s="344"/>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84" t="str">
        <f>INDEX(PT_DIFFERENTIATION_NTAR,MATCH(B30,PT_DIFFERENTIATION_NTAR_ID,0))</f>
        <v/>
      </c>
      <c r="H30" s="417"/>
      <c r="I30" s="1059"/>
      <c r="J30" s="1060"/>
      <c r="K30" s="607"/>
      <c r="L30" s="417" t="s">
        <v>301</v>
      </c>
      <c r="M30" s="287"/>
      <c r="N30" s="781"/>
      <c r="O30" s="129"/>
      <c r="P30" s="129"/>
      <c r="AH30" s="50">
        <v>0</v>
      </c>
    </row>
    <row r="31" s="50" customFormat="1" ht="18.75" hidden="1" customHeight="1">
      <c r="A31" s="143"/>
      <c r="B31" s="143"/>
      <c r="C31" s="395" t="s">
        <v>1190</v>
      </c>
      <c r="D31" s="1069"/>
      <c r="E31" s="344"/>
      <c r="F31" s="79"/>
      <c r="G31" s="984"/>
      <c r="H31" s="701"/>
      <c r="I31" s="177" t="s">
        <v>1191</v>
      </c>
      <c r="J31" s="235"/>
      <c r="K31" s="701"/>
      <c r="L31" s="832"/>
      <c r="M31" s="287"/>
      <c r="N31" s="781"/>
      <c r="O31" s="129"/>
      <c r="P31" s="129"/>
      <c r="AH31" s="50">
        <v>0</v>
      </c>
    </row>
    <row r="32" s="50" customFormat="1" ht="0.75" hidden="1" customHeight="1">
      <c r="A32" s="143"/>
      <c r="B32" s="143"/>
      <c r="C32" s="395" t="s">
        <v>1196</v>
      </c>
      <c r="D32" s="1069"/>
      <c r="E32" s="344"/>
      <c r="F32" s="79"/>
      <c r="G32" s="1068"/>
      <c r="H32" s="701"/>
      <c r="I32" s="177"/>
      <c r="J32" s="235"/>
      <c r="K32" s="701"/>
      <c r="L32" s="832"/>
      <c r="M32" s="287"/>
      <c r="N32" s="781"/>
      <c r="O32" s="129"/>
      <c r="P32" s="129"/>
      <c r="AH32" s="50">
        <v>0</v>
      </c>
    </row>
    <row r="33" s="50" customFormat="1" ht="45" hidden="1" customHeight="1">
      <c r="A33" s="143" t="s">
        <v>170</v>
      </c>
      <c r="B33" s="143" t="s">
        <v>171</v>
      </c>
      <c r="C33" s="395"/>
      <c r="D33" s="1069"/>
      <c r="E33" s="344"/>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84" t="str">
        <f>INDEX(PT_DIFFERENTIATION_NTAR,MATCH(B33,PT_DIFFERENTIATION_NTAR_ID,0))</f>
        <v/>
      </c>
      <c r="H33" s="417"/>
      <c r="I33" s="1059"/>
      <c r="J33" s="1060"/>
      <c r="K33" s="607"/>
      <c r="L33" s="417" t="s">
        <v>301</v>
      </c>
      <c r="M33" s="287"/>
      <c r="N33" s="781"/>
      <c r="O33" s="129"/>
      <c r="P33" s="129"/>
      <c r="AH33" s="50">
        <v>0</v>
      </c>
    </row>
    <row r="34" s="50" customFormat="1" ht="18.75" hidden="1" customHeight="1">
      <c r="A34" s="143"/>
      <c r="B34" s="143"/>
      <c r="C34" s="395" t="s">
        <v>1190</v>
      </c>
      <c r="D34" s="1069"/>
      <c r="E34" s="344"/>
      <c r="F34" s="79"/>
      <c r="G34" s="984"/>
      <c r="H34" s="701"/>
      <c r="I34" s="177" t="s">
        <v>1191</v>
      </c>
      <c r="J34" s="235"/>
      <c r="K34" s="701"/>
      <c r="L34" s="832"/>
      <c r="M34" s="287"/>
      <c r="N34" s="781"/>
      <c r="O34" s="129"/>
      <c r="P34" s="129"/>
      <c r="AH34" s="50">
        <v>0</v>
      </c>
    </row>
    <row r="35" s="50" customFormat="1" ht="0.75" hidden="1" customHeight="1">
      <c r="A35" s="143"/>
      <c r="B35" s="143"/>
      <c r="C35" s="395" t="s">
        <v>1196</v>
      </c>
      <c r="D35" s="1069"/>
      <c r="E35" s="344"/>
      <c r="F35" s="79"/>
      <c r="G35" s="1068"/>
      <c r="H35" s="701"/>
      <c r="I35" s="177"/>
      <c r="J35" s="235"/>
      <c r="K35" s="701"/>
      <c r="L35" s="832"/>
      <c r="M35" s="287"/>
      <c r="N35" s="781"/>
      <c r="O35" s="129"/>
      <c r="P35" s="129"/>
      <c r="AH35" s="50">
        <v>0</v>
      </c>
    </row>
    <row r="36" s="50" customFormat="1" ht="18.75" hidden="1" customHeight="1">
      <c r="A36" s="143" t="s">
        <v>176</v>
      </c>
      <c r="B36" s="143" t="s">
        <v>177</v>
      </c>
      <c r="C36" s="395"/>
      <c r="D36" s="1069"/>
      <c r="E36" s="344"/>
      <c r="F36" s="79" t="str">
        <f>INDEX(PT_DIFFERENTIATION_VTAR,MATCH(A36,PT_DIFFERENTIATION_VTAR_ID,0))</f>
        <v xml:space="preserve">Тарифы на услуги по передаче тепловой энергии</v>
      </c>
      <c r="G36" s="984" t="str">
        <f>INDEX(PT_DIFFERENTIATION_NTAR,MATCH(B36,PT_DIFFERENTIATION_NTAR_ID,0))</f>
        <v/>
      </c>
      <c r="H36" s="417"/>
      <c r="I36" s="1059"/>
      <c r="J36" s="1060"/>
      <c r="K36" s="607"/>
      <c r="L36" s="417" t="s">
        <v>301</v>
      </c>
      <c r="M36" s="287"/>
      <c r="N36" s="781"/>
      <c r="O36" s="129"/>
      <c r="P36" s="129"/>
      <c r="AH36" s="50">
        <v>0</v>
      </c>
    </row>
    <row r="37" s="50" customFormat="1" ht="18.75" hidden="1" customHeight="1">
      <c r="A37" s="143"/>
      <c r="B37" s="143"/>
      <c r="C37" s="395" t="s">
        <v>1190</v>
      </c>
      <c r="D37" s="1069"/>
      <c r="E37" s="344"/>
      <c r="F37" s="79"/>
      <c r="G37" s="984"/>
      <c r="H37" s="701"/>
      <c r="I37" s="177" t="s">
        <v>1191</v>
      </c>
      <c r="J37" s="235"/>
      <c r="K37" s="701"/>
      <c r="L37" s="832"/>
      <c r="M37" s="287"/>
      <c r="N37" s="781"/>
      <c r="O37" s="129"/>
      <c r="P37" s="129"/>
      <c r="AH37" s="50">
        <v>0</v>
      </c>
    </row>
    <row r="38" s="50" customFormat="1" ht="0.75" hidden="1" customHeight="1">
      <c r="A38" s="143"/>
      <c r="B38" s="143"/>
      <c r="C38" s="395" t="s">
        <v>1196</v>
      </c>
      <c r="D38" s="1069"/>
      <c r="E38" s="344"/>
      <c r="F38" s="79"/>
      <c r="G38" s="1068"/>
      <c r="H38" s="701"/>
      <c r="I38" s="177"/>
      <c r="J38" s="235"/>
      <c r="K38" s="701"/>
      <c r="L38" s="832"/>
      <c r="M38" s="287"/>
      <c r="N38" s="781"/>
      <c r="O38" s="129"/>
      <c r="P38" s="129"/>
      <c r="AH38" s="50">
        <v>0</v>
      </c>
    </row>
    <row r="39" s="50" customFormat="1" ht="18.75" hidden="1" customHeight="1">
      <c r="A39" s="143" t="s">
        <v>182</v>
      </c>
      <c r="B39" s="143" t="s">
        <v>183</v>
      </c>
      <c r="C39" s="395"/>
      <c r="D39" s="1069"/>
      <c r="E39" s="344"/>
      <c r="F39" s="79" t="str">
        <f>INDEX(PT_DIFFERENTIATION_VTAR,MATCH(A39,PT_DIFFERENTIATION_VTAR_ID,0))</f>
        <v xml:space="preserve">Тарифы на услуги по передаче теплоносителя</v>
      </c>
      <c r="G39" s="984" t="str">
        <f>INDEX(PT_DIFFERENTIATION_NTAR,MATCH(B39,PT_DIFFERENTIATION_NTAR_ID,0))</f>
        <v/>
      </c>
      <c r="H39" s="417"/>
      <c r="I39" s="1059"/>
      <c r="J39" s="1060"/>
      <c r="K39" s="607"/>
      <c r="L39" s="417" t="s">
        <v>301</v>
      </c>
      <c r="M39" s="287"/>
      <c r="N39" s="781"/>
      <c r="O39" s="129"/>
      <c r="P39" s="129"/>
      <c r="AH39" s="50">
        <v>0</v>
      </c>
    </row>
    <row r="40" s="50" customFormat="1" ht="18.75" hidden="1" customHeight="1">
      <c r="A40" s="143"/>
      <c r="B40" s="143"/>
      <c r="C40" s="395" t="s">
        <v>1190</v>
      </c>
      <c r="D40" s="1069"/>
      <c r="E40" s="344"/>
      <c r="F40" s="79"/>
      <c r="G40" s="984"/>
      <c r="H40" s="701"/>
      <c r="I40" s="177" t="s">
        <v>1191</v>
      </c>
      <c r="J40" s="235"/>
      <c r="K40" s="701"/>
      <c r="L40" s="832"/>
      <c r="M40" s="287"/>
      <c r="N40" s="781"/>
      <c r="O40" s="129"/>
      <c r="P40" s="129"/>
      <c r="AH40" s="50">
        <v>0</v>
      </c>
    </row>
    <row r="41" s="50" customFormat="1" ht="0.75" hidden="1" customHeight="1">
      <c r="A41" s="143"/>
      <c r="B41" s="143"/>
      <c r="C41" s="395" t="s">
        <v>1196</v>
      </c>
      <c r="D41" s="1069"/>
      <c r="E41" s="344"/>
      <c r="F41" s="79"/>
      <c r="G41" s="1068"/>
      <c r="H41" s="701"/>
      <c r="I41" s="177"/>
      <c r="J41" s="235"/>
      <c r="K41" s="701"/>
      <c r="L41" s="832"/>
      <c r="M41" s="287"/>
      <c r="N41" s="781"/>
      <c r="O41" s="129"/>
      <c r="P41" s="129"/>
      <c r="AH41" s="50">
        <v>0</v>
      </c>
    </row>
    <row r="42" s="50" customFormat="1" ht="18.75" hidden="1" customHeight="1">
      <c r="A42" s="143" t="s">
        <v>188</v>
      </c>
      <c r="B42" s="143" t="s">
        <v>189</v>
      </c>
      <c r="C42" s="395"/>
      <c r="D42" s="1069"/>
      <c r="E42" s="344"/>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84" t="str">
        <f>INDEX(PT_DIFFERENTIATION_NTAR,MATCH(B42,PT_DIFFERENTIATION_NTAR_ID,0))</f>
        <v/>
      </c>
      <c r="H42" s="417"/>
      <c r="I42" s="1059"/>
      <c r="J42" s="1060"/>
      <c r="K42" s="607"/>
      <c r="L42" s="417" t="s">
        <v>301</v>
      </c>
      <c r="M42" s="287"/>
      <c r="N42" s="781"/>
      <c r="O42" s="129"/>
      <c r="P42" s="129"/>
      <c r="AH42" s="50">
        <v>0</v>
      </c>
    </row>
    <row r="43" s="50" customFormat="1" ht="18.75" hidden="1" customHeight="1">
      <c r="A43" s="143"/>
      <c r="B43" s="143"/>
      <c r="C43" s="395" t="s">
        <v>1190</v>
      </c>
      <c r="D43" s="1069"/>
      <c r="E43" s="344"/>
      <c r="F43" s="79"/>
      <c r="G43" s="984"/>
      <c r="H43" s="701"/>
      <c r="I43" s="177" t="s">
        <v>1191</v>
      </c>
      <c r="J43" s="235"/>
      <c r="K43" s="701"/>
      <c r="L43" s="832"/>
      <c r="M43" s="287"/>
      <c r="N43" s="781"/>
      <c r="O43" s="129"/>
      <c r="P43" s="129"/>
      <c r="AH43" s="50">
        <v>0</v>
      </c>
    </row>
    <row r="44" s="50" customFormat="1" ht="0.75" hidden="1" customHeight="1">
      <c r="A44" s="143"/>
      <c r="B44" s="143"/>
      <c r="C44" s="395" t="s">
        <v>1196</v>
      </c>
      <c r="D44" s="1069"/>
      <c r="E44" s="344"/>
      <c r="F44" s="79"/>
      <c r="G44" s="1068"/>
      <c r="H44" s="701"/>
      <c r="I44" s="177"/>
      <c r="J44" s="235"/>
      <c r="K44" s="701"/>
      <c r="L44" s="832"/>
      <c r="M44" s="287"/>
      <c r="N44" s="781"/>
      <c r="O44" s="129"/>
      <c r="P44" s="129"/>
      <c r="AH44" s="50">
        <v>0</v>
      </c>
    </row>
    <row r="45" s="50" customFormat="1" ht="18.75" hidden="1" customHeight="1">
      <c r="A45" s="143" t="s">
        <v>194</v>
      </c>
      <c r="B45" s="143" t="s">
        <v>195</v>
      </c>
      <c r="C45" s="395"/>
      <c r="D45" s="1069"/>
      <c r="E45" s="344"/>
      <c r="F45" s="79" t="str">
        <f>INDEX(PT_DIFFERENTIATION_VTAR,MATCH(A45,PT_DIFFERENTIATION_VTAR_ID,0))</f>
        <v xml:space="preserve">Плата за подключение (технологическое присоединение) к системе теплоснабжения</v>
      </c>
      <c r="G45" s="984" t="str">
        <f>INDEX(PT_DIFFERENTIATION_NTAR,MATCH(B45,PT_DIFFERENTIATION_NTAR_ID,0))</f>
        <v/>
      </c>
      <c r="H45" s="417"/>
      <c r="I45" s="1059"/>
      <c r="J45" s="1060"/>
      <c r="K45" s="607"/>
      <c r="L45" s="417" t="s">
        <v>301</v>
      </c>
      <c r="M45" s="287"/>
      <c r="N45" s="781"/>
      <c r="O45" s="129"/>
      <c r="P45" s="129"/>
      <c r="AH45" s="50">
        <v>0</v>
      </c>
    </row>
    <row r="46" s="50" customFormat="1" ht="18.75" hidden="1" customHeight="1">
      <c r="A46" s="143"/>
      <c r="B46" s="143"/>
      <c r="C46" s="395" t="s">
        <v>1190</v>
      </c>
      <c r="D46" s="1069"/>
      <c r="E46" s="344"/>
      <c r="F46" s="79"/>
      <c r="G46" s="984"/>
      <c r="H46" s="701"/>
      <c r="I46" s="177" t="s">
        <v>1191</v>
      </c>
      <c r="J46" s="235"/>
      <c r="K46" s="701"/>
      <c r="L46" s="832"/>
      <c r="M46" s="287"/>
      <c r="N46" s="781"/>
      <c r="O46" s="129"/>
      <c r="P46" s="129"/>
      <c r="AH46" s="50">
        <v>0</v>
      </c>
    </row>
    <row r="47" s="50" customFormat="1" ht="0.75" hidden="1" customHeight="1">
      <c r="A47" s="143"/>
      <c r="B47" s="143"/>
      <c r="C47" s="395" t="s">
        <v>1196</v>
      </c>
      <c r="D47" s="1069"/>
      <c r="E47" s="344"/>
      <c r="F47" s="79"/>
      <c r="G47" s="1068"/>
      <c r="H47" s="701"/>
      <c r="I47" s="177"/>
      <c r="J47" s="235"/>
      <c r="K47" s="701"/>
      <c r="L47" s="832"/>
      <c r="M47" s="287"/>
      <c r="N47" s="781"/>
      <c r="O47" s="129"/>
      <c r="P47" s="129"/>
      <c r="AH47" s="50">
        <v>0</v>
      </c>
    </row>
    <row r="48" s="50" customFormat="1" ht="18.75" hidden="1" customHeight="1">
      <c r="A48" s="143" t="s">
        <v>200</v>
      </c>
      <c r="B48" s="143" t="s">
        <v>201</v>
      </c>
      <c r="C48" s="395"/>
      <c r="D48" s="1069"/>
      <c r="E48" s="344"/>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84" t="str">
        <f>INDEX(PT_DIFFERENTIATION_NTAR,MATCH(B48,PT_DIFFERENTIATION_NTAR_ID,0))</f>
        <v/>
      </c>
      <c r="H48" s="417"/>
      <c r="I48" s="1059"/>
      <c r="J48" s="1060"/>
      <c r="K48" s="607"/>
      <c r="L48" s="417" t="s">
        <v>301</v>
      </c>
      <c r="M48" s="287"/>
      <c r="N48" s="781"/>
      <c r="O48" s="129"/>
      <c r="P48" s="129"/>
      <c r="AH48" s="50">
        <v>0</v>
      </c>
    </row>
    <row r="49" s="50" customFormat="1" ht="18.75" hidden="1" customHeight="1">
      <c r="A49" s="143"/>
      <c r="B49" s="143"/>
      <c r="C49" s="395" t="s">
        <v>1190</v>
      </c>
      <c r="D49" s="1069"/>
      <c r="E49" s="344"/>
      <c r="F49" s="79"/>
      <c r="G49" s="984"/>
      <c r="H49" s="701"/>
      <c r="I49" s="177" t="s">
        <v>1191</v>
      </c>
      <c r="J49" s="235"/>
      <c r="K49" s="701"/>
      <c r="L49" s="832"/>
      <c r="M49" s="287"/>
      <c r="N49" s="781"/>
      <c r="O49" s="129"/>
      <c r="P49" s="129"/>
      <c r="AH49" s="50">
        <v>0</v>
      </c>
    </row>
    <row r="50" s="50" customFormat="1" ht="0.75" hidden="1" customHeight="1">
      <c r="A50" s="143"/>
      <c r="B50" s="143"/>
      <c r="C50" s="395" t="s">
        <v>1196</v>
      </c>
      <c r="D50" s="1069"/>
      <c r="E50" s="344"/>
      <c r="F50" s="79"/>
      <c r="G50" s="1068"/>
      <c r="H50" s="701"/>
      <c r="I50" s="177"/>
      <c r="J50" s="235"/>
      <c r="K50" s="701"/>
      <c r="L50" s="832"/>
      <c r="M50" s="287"/>
      <c r="N50" s="781"/>
      <c r="O50" s="129"/>
      <c r="P50" s="129"/>
      <c r="AH50" s="50">
        <v>0</v>
      </c>
    </row>
    <row r="51" s="50" customFormat="1" ht="18.75" hidden="1" customHeight="1">
      <c r="A51" s="143" t="s">
        <v>220</v>
      </c>
      <c r="B51" s="143" t="s">
        <v>221</v>
      </c>
      <c r="C51" s="395"/>
      <c r="D51" s="1069"/>
      <c r="E51" s="344"/>
      <c r="F51" s="79" t="str">
        <f>INDEX(PT_DIFFERENTIATION_VTAR,MATCH(A51,PT_DIFFERENTIATION_VTAR_ID,0))</f>
        <v xml:space="preserve">Тариф на питьевую воду (питьевое водоснабжение)</v>
      </c>
      <c r="G51" s="984" t="str">
        <f>INDEX(PT_DIFFERENTIATION_NTAR,MATCH(B51,PT_DIFFERENTIATION_NTAR_ID,0))</f>
        <v/>
      </c>
      <c r="H51" s="417"/>
      <c r="I51" s="1059"/>
      <c r="J51" s="1060"/>
      <c r="K51" s="607"/>
      <c r="L51" s="417" t="s">
        <v>301</v>
      </c>
      <c r="M51" s="287"/>
      <c r="N51" s="781"/>
      <c r="O51" s="129"/>
      <c r="P51" s="129"/>
      <c r="AH51" s="50">
        <v>0</v>
      </c>
    </row>
    <row r="52" s="50" customFormat="1" ht="18.75" hidden="1" customHeight="1">
      <c r="A52" s="143"/>
      <c r="B52" s="143"/>
      <c r="C52" s="395" t="s">
        <v>1190</v>
      </c>
      <c r="D52" s="1069"/>
      <c r="E52" s="344"/>
      <c r="F52" s="79"/>
      <c r="G52" s="984"/>
      <c r="H52" s="701"/>
      <c r="I52" s="177" t="s">
        <v>1191</v>
      </c>
      <c r="J52" s="235"/>
      <c r="K52" s="701"/>
      <c r="L52" s="832"/>
      <c r="M52" s="287"/>
      <c r="N52" s="781"/>
      <c r="O52" s="129"/>
      <c r="P52" s="129"/>
      <c r="AH52" s="50">
        <v>0</v>
      </c>
    </row>
    <row r="53" s="50" customFormat="1" ht="0.75" hidden="1" customHeight="1">
      <c r="A53" s="143"/>
      <c r="B53" s="143"/>
      <c r="C53" s="395" t="s">
        <v>1196</v>
      </c>
      <c r="D53" s="1069"/>
      <c r="E53" s="344"/>
      <c r="F53" s="79"/>
      <c r="G53" s="1068"/>
      <c r="H53" s="701"/>
      <c r="I53" s="177"/>
      <c r="J53" s="235"/>
      <c r="K53" s="701"/>
      <c r="L53" s="832"/>
      <c r="M53" s="287"/>
      <c r="N53" s="781"/>
      <c r="O53" s="129"/>
      <c r="P53" s="129"/>
      <c r="AH53" s="50">
        <v>0</v>
      </c>
    </row>
    <row r="54" s="50" customFormat="1" ht="18.75" hidden="1" customHeight="1">
      <c r="A54" s="143" t="s">
        <v>225</v>
      </c>
      <c r="B54" s="143" t="s">
        <v>226</v>
      </c>
      <c r="C54" s="395"/>
      <c r="D54" s="1069"/>
      <c r="E54" s="344"/>
      <c r="F54" s="79" t="str">
        <f>INDEX(PT_DIFFERENTIATION_VTAR,MATCH(A54,PT_DIFFERENTIATION_VTAR_ID,0))</f>
        <v xml:space="preserve">Тариф на техническую воду</v>
      </c>
      <c r="G54" s="984" t="str">
        <f>INDEX(PT_DIFFERENTIATION_NTAR,MATCH(B54,PT_DIFFERENTIATION_NTAR_ID,0))</f>
        <v/>
      </c>
      <c r="H54" s="417"/>
      <c r="I54" s="1059"/>
      <c r="J54" s="1060"/>
      <c r="K54" s="607"/>
      <c r="L54" s="417" t="s">
        <v>301</v>
      </c>
      <c r="M54" s="287"/>
      <c r="N54" s="781"/>
      <c r="O54" s="129"/>
      <c r="P54" s="129"/>
      <c r="AH54" s="50">
        <v>0</v>
      </c>
    </row>
    <row r="55" s="50" customFormat="1" ht="18.75" hidden="1" customHeight="1">
      <c r="A55" s="143"/>
      <c r="B55" s="143"/>
      <c r="C55" s="395" t="s">
        <v>1190</v>
      </c>
      <c r="D55" s="1069"/>
      <c r="E55" s="344"/>
      <c r="F55" s="79"/>
      <c r="G55" s="984"/>
      <c r="H55" s="701"/>
      <c r="I55" s="177" t="s">
        <v>1191</v>
      </c>
      <c r="J55" s="235"/>
      <c r="K55" s="701"/>
      <c r="L55" s="832"/>
      <c r="M55" s="287"/>
      <c r="N55" s="781"/>
      <c r="O55" s="129"/>
      <c r="P55" s="129"/>
      <c r="AH55" s="50">
        <v>0</v>
      </c>
    </row>
    <row r="56" s="50" customFormat="1" ht="0.75" hidden="1" customHeight="1">
      <c r="A56" s="143"/>
      <c r="B56" s="143"/>
      <c r="C56" s="395" t="s">
        <v>1196</v>
      </c>
      <c r="D56" s="1069"/>
      <c r="E56" s="344"/>
      <c r="F56" s="79"/>
      <c r="G56" s="1068"/>
      <c r="H56" s="701"/>
      <c r="I56" s="177"/>
      <c r="J56" s="235"/>
      <c r="K56" s="701"/>
      <c r="L56" s="832"/>
      <c r="M56" s="287"/>
      <c r="N56" s="781"/>
      <c r="O56" s="129"/>
      <c r="P56" s="129"/>
      <c r="AH56" s="50">
        <v>0</v>
      </c>
    </row>
    <row r="57" s="50" customFormat="1" ht="18.75" hidden="1" customHeight="1">
      <c r="A57" s="143" t="s">
        <v>230</v>
      </c>
      <c r="B57" s="143" t="s">
        <v>231</v>
      </c>
      <c r="C57" s="395"/>
      <c r="D57" s="1069"/>
      <c r="E57" s="344"/>
      <c r="F57" s="79" t="str">
        <f>INDEX(PT_DIFFERENTIATION_VTAR,MATCH(A57,PT_DIFFERENTIATION_VTAR_ID,0))</f>
        <v xml:space="preserve">Тариф на транспортировку воды</v>
      </c>
      <c r="G57" s="984" t="str">
        <f>INDEX(PT_DIFFERENTIATION_NTAR,MATCH(B57,PT_DIFFERENTIATION_NTAR_ID,0))</f>
        <v/>
      </c>
      <c r="H57" s="417"/>
      <c r="I57" s="1059"/>
      <c r="J57" s="1060"/>
      <c r="K57" s="607"/>
      <c r="L57" s="417" t="s">
        <v>301</v>
      </c>
      <c r="M57" s="287"/>
      <c r="N57" s="781"/>
      <c r="O57" s="129"/>
      <c r="P57" s="129"/>
      <c r="AH57" s="50">
        <v>0</v>
      </c>
    </row>
    <row r="58" s="50" customFormat="1" ht="18.75" hidden="1" customHeight="1">
      <c r="A58" s="143"/>
      <c r="B58" s="143"/>
      <c r="C58" s="395" t="s">
        <v>1190</v>
      </c>
      <c r="D58" s="1069"/>
      <c r="E58" s="344"/>
      <c r="F58" s="79"/>
      <c r="G58" s="984"/>
      <c r="H58" s="701"/>
      <c r="I58" s="177" t="s">
        <v>1191</v>
      </c>
      <c r="J58" s="235"/>
      <c r="K58" s="701"/>
      <c r="L58" s="832"/>
      <c r="M58" s="287"/>
      <c r="N58" s="781"/>
      <c r="O58" s="129"/>
      <c r="P58" s="129"/>
      <c r="AH58" s="50">
        <v>0</v>
      </c>
    </row>
    <row r="59" s="50" customFormat="1" ht="0.75" hidden="1" customHeight="1">
      <c r="A59" s="143"/>
      <c r="B59" s="143"/>
      <c r="C59" s="395" t="s">
        <v>1196</v>
      </c>
      <c r="D59" s="1069"/>
      <c r="E59" s="344"/>
      <c r="F59" s="79"/>
      <c r="G59" s="1068"/>
      <c r="H59" s="701"/>
      <c r="I59" s="177"/>
      <c r="J59" s="235"/>
      <c r="K59" s="701"/>
      <c r="L59" s="832"/>
      <c r="M59" s="287"/>
      <c r="N59" s="781"/>
      <c r="O59" s="129"/>
      <c r="P59" s="129"/>
      <c r="AH59" s="50">
        <v>0</v>
      </c>
    </row>
    <row r="60" s="50" customFormat="1" ht="18.75" hidden="1" customHeight="1">
      <c r="A60" s="143" t="s">
        <v>235</v>
      </c>
      <c r="B60" s="143" t="s">
        <v>236</v>
      </c>
      <c r="C60" s="395"/>
      <c r="D60" s="1069"/>
      <c r="E60" s="344"/>
      <c r="F60" s="79" t="str">
        <f>INDEX(PT_DIFFERENTIATION_VTAR,MATCH(A60,PT_DIFFERENTIATION_VTAR_ID,0))</f>
        <v xml:space="preserve">Тариф на подвоз воды</v>
      </c>
      <c r="G60" s="984" t="str">
        <f>INDEX(PT_DIFFERENTIATION_NTAR,MATCH(B60,PT_DIFFERENTIATION_NTAR_ID,0))</f>
        <v/>
      </c>
      <c r="H60" s="417"/>
      <c r="I60" s="1059"/>
      <c r="J60" s="1060"/>
      <c r="K60" s="607"/>
      <c r="L60" s="417" t="s">
        <v>301</v>
      </c>
      <c r="M60" s="287"/>
      <c r="N60" s="781"/>
      <c r="O60" s="129"/>
      <c r="P60" s="129"/>
      <c r="AH60" s="50">
        <v>0</v>
      </c>
    </row>
    <row r="61" s="50" customFormat="1" ht="18.75" hidden="1" customHeight="1">
      <c r="A61" s="143"/>
      <c r="B61" s="143"/>
      <c r="C61" s="395" t="s">
        <v>1190</v>
      </c>
      <c r="D61" s="1069"/>
      <c r="E61" s="344"/>
      <c r="F61" s="79"/>
      <c r="G61" s="984"/>
      <c r="H61" s="701"/>
      <c r="I61" s="177" t="s">
        <v>1191</v>
      </c>
      <c r="J61" s="235"/>
      <c r="K61" s="701"/>
      <c r="L61" s="832"/>
      <c r="M61" s="287"/>
      <c r="N61" s="781"/>
      <c r="O61" s="129"/>
      <c r="P61" s="129"/>
      <c r="AH61" s="50">
        <v>0</v>
      </c>
    </row>
    <row r="62" s="50" customFormat="1" ht="0.75" hidden="1" customHeight="1">
      <c r="A62" s="143"/>
      <c r="B62" s="143"/>
      <c r="C62" s="395" t="s">
        <v>1196</v>
      </c>
      <c r="D62" s="1069"/>
      <c r="E62" s="344"/>
      <c r="F62" s="79"/>
      <c r="G62" s="1068"/>
      <c r="H62" s="701"/>
      <c r="I62" s="177"/>
      <c r="J62" s="235"/>
      <c r="K62" s="701"/>
      <c r="L62" s="832"/>
      <c r="M62" s="287"/>
      <c r="N62" s="781"/>
      <c r="O62" s="129"/>
      <c r="P62" s="129"/>
      <c r="AH62" s="50">
        <v>0</v>
      </c>
    </row>
    <row r="63" s="50" customFormat="1" ht="18.75" hidden="1" customHeight="1">
      <c r="A63" s="143" t="s">
        <v>240</v>
      </c>
      <c r="B63" s="143" t="s">
        <v>241</v>
      </c>
      <c r="C63" s="395"/>
      <c r="D63" s="1069"/>
      <c r="E63" s="344"/>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84" t="str">
        <f>INDEX(PT_DIFFERENTIATION_NTAR,MATCH(B63,PT_DIFFERENTIATION_NTAR_ID,0))</f>
        <v/>
      </c>
      <c r="H63" s="417"/>
      <c r="I63" s="1059"/>
      <c r="J63" s="1060"/>
      <c r="K63" s="607"/>
      <c r="L63" s="417" t="s">
        <v>301</v>
      </c>
      <c r="M63" s="287"/>
      <c r="N63" s="781"/>
      <c r="O63" s="129"/>
      <c r="P63" s="129"/>
      <c r="AH63" s="50">
        <v>0</v>
      </c>
    </row>
    <row r="64" s="50" customFormat="1" ht="18.75" hidden="1" customHeight="1">
      <c r="A64" s="143"/>
      <c r="B64" s="143"/>
      <c r="C64" s="395" t="s">
        <v>1190</v>
      </c>
      <c r="D64" s="1069"/>
      <c r="E64" s="344"/>
      <c r="F64" s="79"/>
      <c r="G64" s="984"/>
      <c r="H64" s="701"/>
      <c r="I64" s="177" t="s">
        <v>1191</v>
      </c>
      <c r="J64" s="235"/>
      <c r="K64" s="701"/>
      <c r="L64" s="832"/>
      <c r="M64" s="287"/>
      <c r="N64" s="781"/>
      <c r="O64" s="129"/>
      <c r="P64" s="129"/>
      <c r="AH64" s="50">
        <v>0</v>
      </c>
    </row>
    <row r="65" s="50" customFormat="1" ht="0.75" hidden="1" customHeight="1">
      <c r="A65" s="143"/>
      <c r="B65" s="143"/>
      <c r="C65" s="395" t="s">
        <v>1196</v>
      </c>
      <c r="D65" s="1069"/>
      <c r="E65" s="344"/>
      <c r="F65" s="79"/>
      <c r="G65" s="1068"/>
      <c r="H65" s="701"/>
      <c r="I65" s="177"/>
      <c r="J65" s="235"/>
      <c r="K65" s="701"/>
      <c r="L65" s="832"/>
      <c r="M65" s="287"/>
      <c r="N65" s="781"/>
      <c r="O65" s="129"/>
      <c r="P65" s="129"/>
      <c r="AH65" s="50">
        <v>0</v>
      </c>
    </row>
    <row r="66" s="50" customFormat="1" ht="18.75" hidden="1" customHeight="1">
      <c r="A66" s="143" t="s">
        <v>245</v>
      </c>
      <c r="B66" s="143" t="s">
        <v>246</v>
      </c>
      <c r="C66" s="395"/>
      <c r="D66" s="1069"/>
      <c r="E66" s="344"/>
      <c r="F66" s="79" t="str">
        <f>INDEX(PT_DIFFERENTIATION_VTAR,MATCH(A66,PT_DIFFERENTIATION_VTAR_ID,0))</f>
        <v xml:space="preserve">Тариф на горячую воду (горячее водоснабжение)</v>
      </c>
      <c r="G66" s="984" t="str">
        <f>INDEX(PT_DIFFERENTIATION_NTAR,MATCH(B66,PT_DIFFERENTIATION_NTAR_ID,0))</f>
        <v/>
      </c>
      <c r="H66" s="417"/>
      <c r="I66" s="1059"/>
      <c r="J66" s="1060"/>
      <c r="K66" s="607"/>
      <c r="L66" s="417" t="s">
        <v>301</v>
      </c>
      <c r="M66" s="287"/>
      <c r="N66" s="781"/>
      <c r="O66" s="129"/>
      <c r="P66" s="129"/>
      <c r="AH66" s="50">
        <v>0</v>
      </c>
    </row>
    <row r="67" s="50" customFormat="1" ht="18.75" hidden="1" customHeight="1">
      <c r="A67" s="143"/>
      <c r="B67" s="143"/>
      <c r="C67" s="395" t="s">
        <v>1190</v>
      </c>
      <c r="D67" s="1069"/>
      <c r="E67" s="344"/>
      <c r="F67" s="79"/>
      <c r="G67" s="984"/>
      <c r="H67" s="701"/>
      <c r="I67" s="177" t="s">
        <v>1191</v>
      </c>
      <c r="J67" s="235"/>
      <c r="K67" s="701"/>
      <c r="L67" s="832"/>
      <c r="M67" s="287"/>
      <c r="N67" s="781"/>
      <c r="O67" s="129"/>
      <c r="P67" s="129"/>
      <c r="AH67" s="50">
        <v>0</v>
      </c>
    </row>
    <row r="68" s="50" customFormat="1" ht="0.75" hidden="1" customHeight="1">
      <c r="A68" s="143"/>
      <c r="B68" s="143"/>
      <c r="C68" s="395" t="s">
        <v>1196</v>
      </c>
      <c r="D68" s="1069"/>
      <c r="E68" s="344"/>
      <c r="F68" s="79"/>
      <c r="G68" s="1068"/>
      <c r="H68" s="701"/>
      <c r="I68" s="177"/>
      <c r="J68" s="235"/>
      <c r="K68" s="701"/>
      <c r="L68" s="832"/>
      <c r="M68" s="287"/>
      <c r="N68" s="781"/>
      <c r="O68" s="129"/>
      <c r="P68" s="129"/>
      <c r="AH68" s="50">
        <v>0</v>
      </c>
    </row>
    <row r="69" s="50" customFormat="1" ht="18.75" hidden="1" customHeight="1">
      <c r="A69" s="143" t="s">
        <v>250</v>
      </c>
      <c r="B69" s="143" t="s">
        <v>251</v>
      </c>
      <c r="C69" s="395"/>
      <c r="D69" s="1069"/>
      <c r="E69" s="344"/>
      <c r="F69" s="79" t="str">
        <f>INDEX(PT_DIFFERENTIATION_VTAR,MATCH(A69,PT_DIFFERENTIATION_VTAR_ID,0))</f>
        <v xml:space="preserve">Тариф на транспортировку горячей воды</v>
      </c>
      <c r="G69" s="984" t="str">
        <f>INDEX(PT_DIFFERENTIATION_NTAR,MATCH(B69,PT_DIFFERENTIATION_NTAR_ID,0))</f>
        <v/>
      </c>
      <c r="H69" s="417"/>
      <c r="I69" s="1059"/>
      <c r="J69" s="1060"/>
      <c r="K69" s="607"/>
      <c r="L69" s="417" t="s">
        <v>301</v>
      </c>
      <c r="M69" s="287"/>
      <c r="N69" s="781"/>
      <c r="O69" s="129"/>
      <c r="P69" s="129"/>
      <c r="AH69" s="50">
        <v>0</v>
      </c>
    </row>
    <row r="70" s="50" customFormat="1" ht="18.75" hidden="1" customHeight="1">
      <c r="A70" s="143"/>
      <c r="B70" s="143"/>
      <c r="C70" s="395" t="s">
        <v>1190</v>
      </c>
      <c r="D70" s="1069"/>
      <c r="E70" s="344"/>
      <c r="F70" s="79"/>
      <c r="G70" s="984"/>
      <c r="H70" s="701"/>
      <c r="I70" s="177" t="s">
        <v>1191</v>
      </c>
      <c r="J70" s="235"/>
      <c r="K70" s="701"/>
      <c r="L70" s="832"/>
      <c r="M70" s="287"/>
      <c r="N70" s="781"/>
      <c r="O70" s="129"/>
      <c r="P70" s="129"/>
      <c r="AH70" s="50">
        <v>0</v>
      </c>
    </row>
    <row r="71" s="50" customFormat="1" ht="0.75" hidden="1" customHeight="1">
      <c r="A71" s="143"/>
      <c r="B71" s="143"/>
      <c r="C71" s="395" t="s">
        <v>1196</v>
      </c>
      <c r="D71" s="1069"/>
      <c r="E71" s="344"/>
      <c r="F71" s="79"/>
      <c r="G71" s="1068"/>
      <c r="H71" s="701"/>
      <c r="I71" s="177"/>
      <c r="J71" s="235"/>
      <c r="K71" s="701"/>
      <c r="L71" s="832"/>
      <c r="M71" s="287"/>
      <c r="N71" s="781"/>
      <c r="O71" s="129"/>
      <c r="P71" s="129"/>
      <c r="AH71" s="50">
        <v>0</v>
      </c>
    </row>
    <row r="72" s="50" customFormat="1" ht="18.75" hidden="1" customHeight="1">
      <c r="A72" s="143" t="s">
        <v>255</v>
      </c>
      <c r="B72" s="143" t="s">
        <v>256</v>
      </c>
      <c r="C72" s="395"/>
      <c r="D72" s="1069"/>
      <c r="E72" s="344"/>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84" t="str">
        <f>INDEX(PT_DIFFERENTIATION_NTAR,MATCH(B72,PT_DIFFERENTIATION_NTAR_ID,0))</f>
        <v/>
      </c>
      <c r="H72" s="417"/>
      <c r="I72" s="1059"/>
      <c r="J72" s="1060"/>
      <c r="K72" s="607"/>
      <c r="L72" s="417" t="s">
        <v>301</v>
      </c>
      <c r="M72" s="287"/>
      <c r="N72" s="781"/>
      <c r="O72" s="129"/>
      <c r="P72" s="129"/>
      <c r="AH72" s="50">
        <v>0</v>
      </c>
    </row>
    <row r="73" s="50" customFormat="1" ht="18.75" hidden="1" customHeight="1">
      <c r="A73" s="143"/>
      <c r="B73" s="143"/>
      <c r="C73" s="395" t="s">
        <v>1190</v>
      </c>
      <c r="D73" s="1069"/>
      <c r="E73" s="344"/>
      <c r="F73" s="79"/>
      <c r="G73" s="984"/>
      <c r="H73" s="701"/>
      <c r="I73" s="177" t="s">
        <v>1191</v>
      </c>
      <c r="J73" s="235"/>
      <c r="K73" s="701"/>
      <c r="L73" s="832"/>
      <c r="M73" s="287"/>
      <c r="N73" s="781"/>
      <c r="O73" s="129"/>
      <c r="P73" s="129"/>
      <c r="AH73" s="50">
        <v>0</v>
      </c>
    </row>
    <row r="74" s="50" customFormat="1" ht="0.75" hidden="1" customHeight="1">
      <c r="A74" s="143"/>
      <c r="B74" s="143"/>
      <c r="C74" s="395" t="s">
        <v>1196</v>
      </c>
      <c r="D74" s="1069"/>
      <c r="E74" s="344"/>
      <c r="F74" s="79"/>
      <c r="G74" s="1068"/>
      <c r="H74" s="701"/>
      <c r="I74" s="177"/>
      <c r="J74" s="235"/>
      <c r="K74" s="701"/>
      <c r="L74" s="832"/>
      <c r="M74" s="287"/>
      <c r="N74" s="781"/>
      <c r="O74" s="129"/>
      <c r="P74" s="129"/>
      <c r="AH74" s="50">
        <v>0</v>
      </c>
    </row>
    <row r="75" s="50" customFormat="1" ht="18.75" hidden="1" customHeight="1">
      <c r="A75" s="143" t="s">
        <v>260</v>
      </c>
      <c r="B75" s="143" t="s">
        <v>261</v>
      </c>
      <c r="C75" s="395"/>
      <c r="D75" s="1069"/>
      <c r="E75" s="344"/>
      <c r="F75" s="79" t="str">
        <f>INDEX(PT_DIFFERENTIATION_VTAR,MATCH(A75,PT_DIFFERENTIATION_VTAR_ID,0))</f>
        <v xml:space="preserve">Тариф на водоотведение</v>
      </c>
      <c r="G75" s="984" t="str">
        <f>INDEX(PT_DIFFERENTIATION_NTAR,MATCH(B75,PT_DIFFERENTIATION_NTAR_ID,0))</f>
        <v/>
      </c>
      <c r="H75" s="417"/>
      <c r="I75" s="1059"/>
      <c r="J75" s="1060"/>
      <c r="K75" s="607"/>
      <c r="L75" s="417" t="s">
        <v>301</v>
      </c>
      <c r="M75" s="287"/>
      <c r="N75" s="781"/>
      <c r="O75" s="129"/>
      <c r="P75" s="129"/>
      <c r="AH75" s="50">
        <v>0</v>
      </c>
    </row>
    <row r="76" s="50" customFormat="1" ht="18.75" hidden="1" customHeight="1">
      <c r="A76" s="143"/>
      <c r="B76" s="143"/>
      <c r="C76" s="395" t="s">
        <v>1190</v>
      </c>
      <c r="D76" s="1069"/>
      <c r="E76" s="344"/>
      <c r="F76" s="79"/>
      <c r="G76" s="984"/>
      <c r="H76" s="701"/>
      <c r="I76" s="177" t="s">
        <v>1191</v>
      </c>
      <c r="J76" s="235"/>
      <c r="K76" s="701"/>
      <c r="L76" s="832"/>
      <c r="M76" s="287"/>
      <c r="N76" s="781"/>
      <c r="O76" s="129"/>
      <c r="P76" s="129"/>
      <c r="AH76" s="50">
        <v>0</v>
      </c>
    </row>
    <row r="77" s="50" customFormat="1" ht="0.75" hidden="1" customHeight="1">
      <c r="A77" s="143"/>
      <c r="B77" s="143"/>
      <c r="C77" s="395" t="s">
        <v>1196</v>
      </c>
      <c r="D77" s="1069"/>
      <c r="E77" s="344"/>
      <c r="F77" s="79"/>
      <c r="G77" s="1068"/>
      <c r="H77" s="701"/>
      <c r="I77" s="177"/>
      <c r="J77" s="235"/>
      <c r="K77" s="701"/>
      <c r="L77" s="832"/>
      <c r="M77" s="287"/>
      <c r="N77" s="781"/>
      <c r="O77" s="129"/>
      <c r="P77" s="129"/>
      <c r="AH77" s="50">
        <v>0</v>
      </c>
    </row>
    <row r="78" s="50" customFormat="1" ht="18.75" hidden="1" customHeight="1">
      <c r="A78" s="143" t="s">
        <v>265</v>
      </c>
      <c r="B78" s="143" t="s">
        <v>266</v>
      </c>
      <c r="C78" s="395"/>
      <c r="D78" s="1069"/>
      <c r="E78" s="344"/>
      <c r="F78" s="79" t="str">
        <f>INDEX(PT_DIFFERENTIATION_VTAR,MATCH(A78,PT_DIFFERENTIATION_VTAR_ID,0))</f>
        <v xml:space="preserve">Тариф на транспортировку сточных вод</v>
      </c>
      <c r="G78" s="984" t="str">
        <f>INDEX(PT_DIFFERENTIATION_NTAR,MATCH(B78,PT_DIFFERENTIATION_NTAR_ID,0))</f>
        <v/>
      </c>
      <c r="H78" s="417"/>
      <c r="I78" s="1059"/>
      <c r="J78" s="1060"/>
      <c r="K78" s="607"/>
      <c r="L78" s="417" t="s">
        <v>301</v>
      </c>
      <c r="M78" s="287"/>
      <c r="N78" s="781"/>
      <c r="O78" s="129"/>
      <c r="P78" s="129"/>
      <c r="AH78" s="50">
        <v>0</v>
      </c>
    </row>
    <row r="79" s="50" customFormat="1" ht="18.75" hidden="1" customHeight="1">
      <c r="A79" s="143"/>
      <c r="B79" s="143"/>
      <c r="C79" s="395" t="s">
        <v>1190</v>
      </c>
      <c r="D79" s="1069"/>
      <c r="E79" s="344"/>
      <c r="F79" s="79"/>
      <c r="G79" s="984"/>
      <c r="H79" s="701"/>
      <c r="I79" s="177" t="s">
        <v>1191</v>
      </c>
      <c r="J79" s="235"/>
      <c r="K79" s="701"/>
      <c r="L79" s="832"/>
      <c r="M79" s="287"/>
      <c r="N79" s="781"/>
      <c r="O79" s="129"/>
      <c r="P79" s="129"/>
      <c r="AH79" s="50">
        <v>0</v>
      </c>
    </row>
    <row r="80" s="50" customFormat="1" ht="0.75" hidden="1" customHeight="1">
      <c r="A80" s="143"/>
      <c r="B80" s="143"/>
      <c r="C80" s="395" t="s">
        <v>1196</v>
      </c>
      <c r="D80" s="1069"/>
      <c r="E80" s="344"/>
      <c r="F80" s="79"/>
      <c r="G80" s="1068"/>
      <c r="H80" s="701"/>
      <c r="I80" s="177"/>
      <c r="J80" s="235"/>
      <c r="K80" s="701"/>
      <c r="L80" s="832"/>
      <c r="M80" s="287"/>
      <c r="N80" s="781"/>
      <c r="O80" s="129"/>
      <c r="P80" s="129"/>
      <c r="AH80" s="50">
        <v>0</v>
      </c>
    </row>
    <row r="81" s="50" customFormat="1" ht="18.75" hidden="1" customHeight="1">
      <c r="A81" s="143" t="s">
        <v>270</v>
      </c>
      <c r="B81" s="143" t="s">
        <v>271</v>
      </c>
      <c r="C81" s="395"/>
      <c r="D81" s="1069"/>
      <c r="E81" s="344"/>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84" t="str">
        <f>INDEX(PT_DIFFERENTIATION_NTAR,MATCH(B81,PT_DIFFERENTIATION_NTAR_ID,0))</f>
        <v/>
      </c>
      <c r="H81" s="417"/>
      <c r="I81" s="1059"/>
      <c r="J81" s="1060"/>
      <c r="K81" s="607"/>
      <c r="L81" s="417" t="s">
        <v>301</v>
      </c>
      <c r="M81" s="287"/>
      <c r="N81" s="781"/>
      <c r="O81" s="129"/>
      <c r="P81" s="129"/>
      <c r="AH81" s="50">
        <v>0</v>
      </c>
    </row>
    <row r="82" s="50" customFormat="1" ht="18.75" hidden="1" customHeight="1">
      <c r="A82" s="143"/>
      <c r="B82" s="143"/>
      <c r="C82" s="395" t="s">
        <v>1190</v>
      </c>
      <c r="D82" s="1069"/>
      <c r="E82" s="344"/>
      <c r="F82" s="79"/>
      <c r="G82" s="984"/>
      <c r="H82" s="701"/>
      <c r="I82" s="177" t="s">
        <v>1191</v>
      </c>
      <c r="J82" s="235"/>
      <c r="K82" s="701"/>
      <c r="L82" s="832"/>
      <c r="M82" s="287"/>
      <c r="N82" s="781"/>
      <c r="O82" s="129"/>
      <c r="P82" s="129"/>
      <c r="AH82" s="50">
        <v>0</v>
      </c>
    </row>
    <row r="83" s="50" customFormat="1" ht="1.05" customHeight="1">
      <c r="A83" s="143"/>
      <c r="B83" s="143"/>
      <c r="C83" s="395" t="s">
        <v>1196</v>
      </c>
      <c r="D83" s="1069"/>
      <c r="E83" s="344"/>
      <c r="F83" s="79"/>
      <c r="G83" s="1068"/>
      <c r="H83" s="701"/>
      <c r="I83" s="177"/>
      <c r="J83" s="235"/>
      <c r="K83" s="701"/>
      <c r="L83" s="832"/>
      <c r="M83" s="287"/>
      <c r="N83" s="781"/>
      <c r="O83" s="129"/>
      <c r="P83" s="129"/>
      <c r="AH83" s="50">
        <v>1</v>
      </c>
    </row>
    <row r="84" ht="19.949999999999999" customHeight="1">
      <c r="A84" s="143"/>
      <c r="B84" s="143"/>
      <c r="D84" s="539"/>
      <c r="E84" s="344" t="s">
        <v>107</v>
      </c>
      <c r="F84" s="8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30"/>
      <c r="H84" s="830"/>
      <c r="I84" s="830"/>
      <c r="J84" s="830"/>
      <c r="K84" s="830"/>
      <c r="L84" s="830"/>
      <c r="M84" s="822"/>
      <c r="N84" s="781"/>
      <c r="AH84" s="50">
        <v>19</v>
      </c>
    </row>
    <row r="85" ht="35.649999999999999" customHeight="1">
      <c r="A85" s="143"/>
      <c r="B85" s="143"/>
      <c r="D85" s="539"/>
      <c r="E85" s="1072"/>
      <c r="F85" s="246" t="s">
        <v>301</v>
      </c>
      <c r="G85" s="246" t="s">
        <v>301</v>
      </c>
      <c r="H85" s="415" t="s">
        <v>301</v>
      </c>
      <c r="I85" s="417"/>
      <c r="J85" s="246" t="s">
        <v>301</v>
      </c>
      <c r="K85" s="246" t="s">
        <v>301</v>
      </c>
      <c r="L85" s="758"/>
      <c r="M85" s="485" t="s">
        <v>1197</v>
      </c>
      <c r="N85" s="781"/>
      <c r="AH85" s="50">
        <v>34</v>
      </c>
    </row>
    <row r="86" ht="19.949999999999999" customHeight="1">
      <c r="A86" s="143"/>
      <c r="B86" s="143"/>
      <c r="D86" s="539"/>
      <c r="E86" s="344" t="s">
        <v>90</v>
      </c>
      <c r="F86" s="830" t="s">
        <v>1198</v>
      </c>
      <c r="G86" s="830"/>
      <c r="H86" s="830"/>
      <c r="I86" s="830"/>
      <c r="J86" s="830"/>
      <c r="K86" s="830"/>
      <c r="L86" s="830"/>
      <c r="M86" s="822"/>
      <c r="N86" s="781"/>
      <c r="AH86" s="50">
        <v>19</v>
      </c>
    </row>
    <row r="87" s="50" customFormat="1" ht="60.75" hidden="1" customHeight="1">
      <c r="A87" s="143" t="s">
        <v>152</v>
      </c>
      <c r="B87" s="143" t="s">
        <v>153</v>
      </c>
      <c r="C87" s="395"/>
      <c r="D87" s="1069"/>
      <c r="E87" s="344"/>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84" t="str">
        <f>INDEX(PT_DIFFERENTIATION_NTAR,MATCH(B87,PT_DIFFERENTIATION_NTAR_ID,0))</f>
        <v/>
      </c>
      <c r="H87" s="417"/>
      <c r="I87" s="1059"/>
      <c r="J87" s="1060"/>
      <c r="K87" s="433"/>
      <c r="L87" s="417" t="s">
        <v>301</v>
      </c>
      <c r="M87"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81"/>
      <c r="O87" s="129"/>
      <c r="P87" s="129"/>
      <c r="AH87" s="50">
        <v>0</v>
      </c>
    </row>
    <row r="88" s="50" customFormat="1" ht="18.75" hidden="1" customHeight="1">
      <c r="A88" s="143"/>
      <c r="B88" s="143"/>
      <c r="C88" s="395" t="s">
        <v>1192</v>
      </c>
      <c r="D88" s="1069"/>
      <c r="E88" s="344"/>
      <c r="F88" s="79"/>
      <c r="G88" s="984"/>
      <c r="H88" s="701"/>
      <c r="I88" s="177" t="s">
        <v>1191</v>
      </c>
      <c r="J88" s="235"/>
      <c r="K88" s="701"/>
      <c r="L88" s="832"/>
      <c r="M88" s="287"/>
      <c r="N88" s="781"/>
      <c r="O88" s="129"/>
      <c r="P88" s="129"/>
      <c r="AH88" s="50">
        <v>0</v>
      </c>
    </row>
    <row r="89" s="50" customFormat="1" ht="0.75" hidden="1" customHeight="1">
      <c r="A89" s="143"/>
      <c r="B89" s="143"/>
      <c r="C89" s="395" t="s">
        <v>1199</v>
      </c>
      <c r="D89" s="1069"/>
      <c r="E89" s="344"/>
      <c r="F89" s="79"/>
      <c r="G89" s="1068"/>
      <c r="H89" s="701"/>
      <c r="I89" s="177"/>
      <c r="J89" s="235"/>
      <c r="K89" s="701"/>
      <c r="L89" s="832"/>
      <c r="M89" s="287"/>
      <c r="N89" s="781"/>
      <c r="O89" s="129"/>
      <c r="P89" s="129"/>
      <c r="AH89" s="50">
        <v>0</v>
      </c>
    </row>
    <row r="90" s="50" customFormat="1" ht="45" hidden="1" customHeight="1">
      <c r="A90" s="143" t="s">
        <v>157</v>
      </c>
      <c r="B90" s="143" t="s">
        <v>158</v>
      </c>
      <c r="C90" s="395"/>
      <c r="D90" s="1069"/>
      <c r="E90" s="344"/>
      <c r="F90" s="79" t="str">
        <f>INDEX(PT_DIFFERENTIATION_VTAR,MATCH(A90,PT_DIFFERENTIATION_VTAR_ID,0))</f>
        <v/>
      </c>
      <c r="G90" s="984" t="str">
        <f>INDEX(PT_DIFFERENTIATION_NTAR,MATCH(B90,PT_DIFFERENTIATION_NTAR_ID,0))</f>
        <v/>
      </c>
      <c r="H90" s="417"/>
      <c r="I90" s="1059"/>
      <c r="J90" s="1060"/>
      <c r="K90" s="433"/>
      <c r="L90" s="417" t="s">
        <v>301</v>
      </c>
      <c r="M90" s="289"/>
      <c r="N90" s="781"/>
      <c r="O90" s="129"/>
      <c r="P90" s="129"/>
      <c r="AH90" s="50">
        <v>0</v>
      </c>
    </row>
    <row r="91" s="50" customFormat="1" ht="18.75" hidden="1" customHeight="1">
      <c r="A91" s="143"/>
      <c r="B91" s="143"/>
      <c r="C91" s="395" t="s">
        <v>1192</v>
      </c>
      <c r="D91" s="1069"/>
      <c r="E91" s="344"/>
      <c r="F91" s="79"/>
      <c r="G91" s="984"/>
      <c r="H91" s="701"/>
      <c r="I91" s="177" t="s">
        <v>1191</v>
      </c>
      <c r="J91" s="235"/>
      <c r="K91" s="701"/>
      <c r="L91" s="832"/>
      <c r="M91" s="287"/>
      <c r="N91" s="781"/>
      <c r="O91" s="129"/>
      <c r="P91" s="129"/>
      <c r="AH91" s="50">
        <v>0</v>
      </c>
    </row>
    <row r="92" s="50" customFormat="1" ht="0.75" hidden="1" customHeight="1">
      <c r="A92" s="143"/>
      <c r="B92" s="143"/>
      <c r="C92" s="395" t="s">
        <v>1199</v>
      </c>
      <c r="D92" s="1069"/>
      <c r="E92" s="344"/>
      <c r="F92" s="79"/>
      <c r="G92" s="1068"/>
      <c r="H92" s="701"/>
      <c r="I92" s="177"/>
      <c r="J92" s="235"/>
      <c r="K92" s="701"/>
      <c r="L92" s="832"/>
      <c r="M92" s="1055"/>
      <c r="N92" s="781"/>
      <c r="O92" s="129"/>
      <c r="P92" s="129"/>
      <c r="AH92" s="50">
        <v>0</v>
      </c>
    </row>
    <row r="93" s="50" customFormat="1" ht="45" hidden="1" customHeight="1">
      <c r="A93" s="143" t="s">
        <v>164</v>
      </c>
      <c r="B93" s="143" t="s">
        <v>165</v>
      </c>
      <c r="C93" s="395"/>
      <c r="D93" s="1069"/>
      <c r="E93" s="344"/>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84" t="str">
        <f>INDEX(PT_DIFFERENTIATION_NTAR,MATCH(B93,PT_DIFFERENTIATION_NTAR_ID,0))</f>
        <v/>
      </c>
      <c r="H93" s="417"/>
      <c r="I93" s="1059"/>
      <c r="J93" s="1060"/>
      <c r="K93" s="433"/>
      <c r="L93" s="417" t="s">
        <v>301</v>
      </c>
      <c r="M93" s="1055"/>
      <c r="N93" s="781"/>
      <c r="O93" s="129"/>
      <c r="P93" s="129"/>
      <c r="AH93" s="50">
        <v>0</v>
      </c>
    </row>
    <row r="94" s="50" customFormat="1" ht="18.75" hidden="1" customHeight="1">
      <c r="A94" s="143"/>
      <c r="B94" s="143"/>
      <c r="C94" s="395" t="s">
        <v>1192</v>
      </c>
      <c r="D94" s="1069"/>
      <c r="E94" s="344"/>
      <c r="F94" s="79"/>
      <c r="G94" s="984"/>
      <c r="H94" s="701"/>
      <c r="I94" s="177" t="s">
        <v>1191</v>
      </c>
      <c r="J94" s="235"/>
      <c r="K94" s="701"/>
      <c r="L94" s="832"/>
      <c r="M94" s="1055"/>
      <c r="N94" s="781"/>
      <c r="O94" s="129"/>
      <c r="P94" s="129"/>
      <c r="AH94" s="50">
        <v>0</v>
      </c>
    </row>
    <row r="95" s="50" customFormat="1" ht="0.75" hidden="1" customHeight="1">
      <c r="A95" s="143"/>
      <c r="B95" s="143"/>
      <c r="C95" s="395" t="s">
        <v>1199</v>
      </c>
      <c r="D95" s="1069"/>
      <c r="E95" s="344"/>
      <c r="F95" s="79"/>
      <c r="G95" s="1068"/>
      <c r="H95" s="701"/>
      <c r="I95" s="177"/>
      <c r="J95" s="235"/>
      <c r="K95" s="701"/>
      <c r="L95" s="832"/>
      <c r="M95" s="1055"/>
      <c r="N95" s="781"/>
      <c r="O95" s="129"/>
      <c r="P95" s="129"/>
      <c r="AH95" s="50">
        <v>0</v>
      </c>
    </row>
    <row r="96" s="50" customFormat="1" ht="45" hidden="1" customHeight="1">
      <c r="A96" s="143" t="s">
        <v>170</v>
      </c>
      <c r="B96" s="143" t="s">
        <v>171</v>
      </c>
      <c r="C96" s="395"/>
      <c r="D96" s="1069"/>
      <c r="E96" s="344"/>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84" t="str">
        <f>INDEX(PT_DIFFERENTIATION_NTAR,MATCH(B96,PT_DIFFERENTIATION_NTAR_ID,0))</f>
        <v/>
      </c>
      <c r="H96" s="417"/>
      <c r="I96" s="1059"/>
      <c r="J96" s="1060"/>
      <c r="K96" s="433"/>
      <c r="L96" s="417" t="s">
        <v>301</v>
      </c>
      <c r="M96" s="1055"/>
      <c r="N96" s="781"/>
      <c r="O96" s="129"/>
      <c r="P96" s="129"/>
      <c r="AH96" s="50">
        <v>0</v>
      </c>
    </row>
    <row r="97" s="50" customFormat="1" ht="18.75" hidden="1" customHeight="1">
      <c r="A97" s="143"/>
      <c r="B97" s="143"/>
      <c r="C97" s="395" t="s">
        <v>1192</v>
      </c>
      <c r="D97" s="1069"/>
      <c r="E97" s="344"/>
      <c r="F97" s="79"/>
      <c r="G97" s="984"/>
      <c r="H97" s="701"/>
      <c r="I97" s="177" t="s">
        <v>1191</v>
      </c>
      <c r="J97" s="235"/>
      <c r="K97" s="701"/>
      <c r="L97" s="832"/>
      <c r="M97" s="1055"/>
      <c r="N97" s="781"/>
      <c r="O97" s="129"/>
      <c r="P97" s="129"/>
      <c r="AH97" s="50">
        <v>0</v>
      </c>
    </row>
    <row r="98" s="50" customFormat="1" ht="0.75" hidden="1" customHeight="1">
      <c r="A98" s="143"/>
      <c r="B98" s="143"/>
      <c r="C98" s="395" t="s">
        <v>1199</v>
      </c>
      <c r="D98" s="1069"/>
      <c r="E98" s="344"/>
      <c r="F98" s="79"/>
      <c r="G98" s="1068"/>
      <c r="H98" s="701"/>
      <c r="I98" s="177"/>
      <c r="J98" s="235"/>
      <c r="K98" s="701"/>
      <c r="L98" s="832"/>
      <c r="M98" s="1055"/>
      <c r="N98" s="781"/>
      <c r="O98" s="129"/>
      <c r="P98" s="129"/>
      <c r="AH98" s="50">
        <v>0</v>
      </c>
    </row>
    <row r="99" s="50" customFormat="1" ht="18.75" hidden="1" customHeight="1">
      <c r="A99" s="143" t="s">
        <v>176</v>
      </c>
      <c r="B99" s="143" t="s">
        <v>177</v>
      </c>
      <c r="C99" s="395"/>
      <c r="D99" s="1069"/>
      <c r="E99" s="344"/>
      <c r="F99" s="79" t="str">
        <f>INDEX(PT_DIFFERENTIATION_VTAR,MATCH(A99,PT_DIFFERENTIATION_VTAR_ID,0))</f>
        <v xml:space="preserve">Тарифы на услуги по передаче тепловой энергии</v>
      </c>
      <c r="G99" s="984" t="str">
        <f>INDEX(PT_DIFFERENTIATION_NTAR,MATCH(B99,PT_DIFFERENTIATION_NTAR_ID,0))</f>
        <v/>
      </c>
      <c r="H99" s="417"/>
      <c r="I99" s="1059"/>
      <c r="J99" s="1060"/>
      <c r="K99" s="433"/>
      <c r="L99" s="417" t="s">
        <v>301</v>
      </c>
      <c r="M99" s="1055"/>
      <c r="N99" s="781"/>
      <c r="O99" s="129"/>
      <c r="P99" s="129"/>
      <c r="AH99" s="50">
        <v>0</v>
      </c>
    </row>
    <row r="100" s="50" customFormat="1" ht="18.75" hidden="1" customHeight="1">
      <c r="A100" s="143"/>
      <c r="B100" s="143"/>
      <c r="C100" s="395" t="s">
        <v>1192</v>
      </c>
      <c r="D100" s="1069"/>
      <c r="E100" s="344"/>
      <c r="F100" s="79"/>
      <c r="G100" s="984"/>
      <c r="H100" s="701"/>
      <c r="I100" s="177" t="s">
        <v>1191</v>
      </c>
      <c r="J100" s="235"/>
      <c r="K100" s="701"/>
      <c r="L100" s="832"/>
      <c r="M100" s="1055"/>
      <c r="N100" s="781"/>
      <c r="O100" s="129"/>
      <c r="P100" s="129"/>
      <c r="AH100" s="50">
        <v>0</v>
      </c>
    </row>
    <row r="101" s="50" customFormat="1" ht="0.75" hidden="1" customHeight="1">
      <c r="A101" s="143"/>
      <c r="B101" s="143"/>
      <c r="C101" s="395" t="s">
        <v>1199</v>
      </c>
      <c r="D101" s="1069"/>
      <c r="E101" s="344"/>
      <c r="F101" s="79"/>
      <c r="G101" s="1068"/>
      <c r="H101" s="701"/>
      <c r="I101" s="177"/>
      <c r="J101" s="235"/>
      <c r="K101" s="701"/>
      <c r="L101" s="832"/>
      <c r="M101" s="1055"/>
      <c r="N101" s="781"/>
      <c r="O101" s="129"/>
      <c r="P101" s="129"/>
      <c r="AH101" s="50">
        <v>0</v>
      </c>
    </row>
    <row r="102" s="50" customFormat="1" ht="18.75" hidden="1" customHeight="1">
      <c r="A102" s="143" t="s">
        <v>182</v>
      </c>
      <c r="B102" s="143" t="s">
        <v>183</v>
      </c>
      <c r="C102" s="395"/>
      <c r="D102" s="1069"/>
      <c r="E102" s="344"/>
      <c r="F102" s="79" t="str">
        <f>INDEX(PT_DIFFERENTIATION_VTAR,MATCH(A102,PT_DIFFERENTIATION_VTAR_ID,0))</f>
        <v xml:space="preserve">Тарифы на услуги по передаче теплоносителя</v>
      </c>
      <c r="G102" s="984" t="str">
        <f>INDEX(PT_DIFFERENTIATION_NTAR,MATCH(B102,PT_DIFFERENTIATION_NTAR_ID,0))</f>
        <v/>
      </c>
      <c r="H102" s="417"/>
      <c r="I102" s="1059"/>
      <c r="J102" s="1060"/>
      <c r="K102" s="433"/>
      <c r="L102" s="417" t="s">
        <v>301</v>
      </c>
      <c r="M102" s="1055"/>
      <c r="N102" s="781"/>
      <c r="O102" s="129"/>
      <c r="P102" s="129"/>
      <c r="AH102" s="50">
        <v>0</v>
      </c>
    </row>
    <row r="103" s="50" customFormat="1" ht="18.75" hidden="1" customHeight="1">
      <c r="A103" s="143"/>
      <c r="B103" s="143"/>
      <c r="C103" s="395" t="s">
        <v>1192</v>
      </c>
      <c r="D103" s="1069"/>
      <c r="E103" s="344"/>
      <c r="F103" s="79"/>
      <c r="G103" s="984"/>
      <c r="H103" s="701"/>
      <c r="I103" s="177" t="s">
        <v>1191</v>
      </c>
      <c r="J103" s="235"/>
      <c r="K103" s="701"/>
      <c r="L103" s="832"/>
      <c r="M103" s="1055"/>
      <c r="N103" s="781"/>
      <c r="O103" s="129"/>
      <c r="P103" s="129"/>
      <c r="AH103" s="50">
        <v>0</v>
      </c>
    </row>
    <row r="104" s="50" customFormat="1" ht="0.75" hidden="1" customHeight="1">
      <c r="A104" s="143"/>
      <c r="B104" s="143"/>
      <c r="C104" s="395" t="s">
        <v>1199</v>
      </c>
      <c r="D104" s="1069"/>
      <c r="E104" s="344"/>
      <c r="F104" s="79"/>
      <c r="G104" s="1068"/>
      <c r="H104" s="701"/>
      <c r="I104" s="177"/>
      <c r="J104" s="235"/>
      <c r="K104" s="701"/>
      <c r="L104" s="832"/>
      <c r="M104" s="1055"/>
      <c r="N104" s="781"/>
      <c r="O104" s="129"/>
      <c r="P104" s="129"/>
      <c r="AH104" s="50">
        <v>0</v>
      </c>
    </row>
    <row r="105" s="50" customFormat="1" ht="18.75" hidden="1" customHeight="1">
      <c r="A105" s="143" t="s">
        <v>188</v>
      </c>
      <c r="B105" s="143" t="s">
        <v>189</v>
      </c>
      <c r="C105" s="395"/>
      <c r="D105" s="1069"/>
      <c r="E105" s="344"/>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84" t="str">
        <f>INDEX(PT_DIFFERENTIATION_NTAR,MATCH(B105,PT_DIFFERENTIATION_NTAR_ID,0))</f>
        <v/>
      </c>
      <c r="H105" s="417"/>
      <c r="I105" s="1059"/>
      <c r="J105" s="1060"/>
      <c r="K105" s="433"/>
      <c r="L105" s="417" t="s">
        <v>301</v>
      </c>
      <c r="M105" s="1055"/>
      <c r="N105" s="781"/>
      <c r="O105" s="129"/>
      <c r="P105" s="129"/>
      <c r="AH105" s="50">
        <v>0</v>
      </c>
    </row>
    <row r="106" s="50" customFormat="1" ht="18.75" hidden="1" customHeight="1">
      <c r="A106" s="143"/>
      <c r="B106" s="143"/>
      <c r="C106" s="395" t="s">
        <v>1192</v>
      </c>
      <c r="D106" s="1069"/>
      <c r="E106" s="344"/>
      <c r="F106" s="79"/>
      <c r="G106" s="984"/>
      <c r="H106" s="701"/>
      <c r="I106" s="177" t="s">
        <v>1191</v>
      </c>
      <c r="J106" s="235"/>
      <c r="K106" s="701"/>
      <c r="L106" s="832"/>
      <c r="M106" s="1055"/>
      <c r="N106" s="781"/>
      <c r="O106" s="129"/>
      <c r="P106" s="129"/>
      <c r="AH106" s="50">
        <v>0</v>
      </c>
    </row>
    <row r="107" s="50" customFormat="1" ht="0.75" hidden="1" customHeight="1">
      <c r="A107" s="143"/>
      <c r="B107" s="143"/>
      <c r="C107" s="395" t="s">
        <v>1199</v>
      </c>
      <c r="D107" s="1069"/>
      <c r="E107" s="344"/>
      <c r="F107" s="79"/>
      <c r="G107" s="1068"/>
      <c r="H107" s="701"/>
      <c r="I107" s="177"/>
      <c r="J107" s="235"/>
      <c r="K107" s="701"/>
      <c r="L107" s="832"/>
      <c r="M107" s="1055"/>
      <c r="N107" s="781"/>
      <c r="O107" s="129"/>
      <c r="P107" s="129"/>
      <c r="AH107" s="50">
        <v>0</v>
      </c>
    </row>
    <row r="108" s="50" customFormat="1" ht="18.75" hidden="1" customHeight="1">
      <c r="A108" s="143" t="s">
        <v>194</v>
      </c>
      <c r="B108" s="143" t="s">
        <v>195</v>
      </c>
      <c r="C108" s="395"/>
      <c r="D108" s="1069"/>
      <c r="E108" s="344"/>
      <c r="F108" s="79" t="str">
        <f>INDEX(PT_DIFFERENTIATION_VTAR,MATCH(A108,PT_DIFFERENTIATION_VTAR_ID,0))</f>
        <v xml:space="preserve">Плата за подключение (технологическое присоединение) к системе теплоснабжения</v>
      </c>
      <c r="G108" s="984" t="str">
        <f>INDEX(PT_DIFFERENTIATION_NTAR,MATCH(B108,PT_DIFFERENTIATION_NTAR_ID,0))</f>
        <v/>
      </c>
      <c r="H108" s="417"/>
      <c r="I108" s="1059"/>
      <c r="J108" s="1060"/>
      <c r="K108" s="433"/>
      <c r="L108" s="417" t="s">
        <v>301</v>
      </c>
      <c r="M108" s="1055"/>
      <c r="N108" s="781"/>
      <c r="O108" s="129"/>
      <c r="P108" s="129"/>
      <c r="AH108" s="50">
        <v>0</v>
      </c>
    </row>
    <row r="109" s="50" customFormat="1" ht="18.75" hidden="1" customHeight="1">
      <c r="A109" s="143"/>
      <c r="B109" s="143"/>
      <c r="C109" s="395" t="s">
        <v>1192</v>
      </c>
      <c r="D109" s="1069"/>
      <c r="E109" s="344"/>
      <c r="F109" s="79"/>
      <c r="G109" s="984"/>
      <c r="H109" s="701"/>
      <c r="I109" s="177" t="s">
        <v>1191</v>
      </c>
      <c r="J109" s="235"/>
      <c r="K109" s="701"/>
      <c r="L109" s="832"/>
      <c r="M109" s="1055"/>
      <c r="N109" s="781"/>
      <c r="O109" s="129"/>
      <c r="P109" s="129"/>
      <c r="AH109" s="50">
        <v>0</v>
      </c>
    </row>
    <row r="110" s="50" customFormat="1" ht="0.75" hidden="1" customHeight="1">
      <c r="A110" s="143"/>
      <c r="B110" s="143"/>
      <c r="C110" s="395" t="s">
        <v>1199</v>
      </c>
      <c r="D110" s="1069"/>
      <c r="E110" s="344"/>
      <c r="F110" s="79"/>
      <c r="G110" s="1068"/>
      <c r="H110" s="701"/>
      <c r="I110" s="177"/>
      <c r="J110" s="235"/>
      <c r="K110" s="701"/>
      <c r="L110" s="832"/>
      <c r="M110" s="1055"/>
      <c r="N110" s="781"/>
      <c r="O110" s="129"/>
      <c r="P110" s="129"/>
      <c r="AH110" s="50">
        <v>0</v>
      </c>
    </row>
    <row r="111" s="50" customFormat="1" ht="18.75" hidden="1" customHeight="1">
      <c r="A111" s="143" t="s">
        <v>200</v>
      </c>
      <c r="B111" s="143" t="s">
        <v>201</v>
      </c>
      <c r="C111" s="395"/>
      <c r="D111" s="1069"/>
      <c r="E111" s="344"/>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84" t="str">
        <f>INDEX(PT_DIFFERENTIATION_NTAR,MATCH(B111,PT_DIFFERENTIATION_NTAR_ID,0))</f>
        <v/>
      </c>
      <c r="H111" s="417"/>
      <c r="I111" s="1059"/>
      <c r="J111" s="1060"/>
      <c r="K111" s="433"/>
      <c r="L111" s="417" t="s">
        <v>301</v>
      </c>
      <c r="M111" s="1055"/>
      <c r="N111" s="781"/>
      <c r="O111" s="129"/>
      <c r="P111" s="129"/>
      <c r="AH111" s="50">
        <v>0</v>
      </c>
    </row>
    <row r="112" s="50" customFormat="1" ht="18.75" hidden="1" customHeight="1">
      <c r="A112" s="143"/>
      <c r="B112" s="143"/>
      <c r="C112" s="395" t="s">
        <v>1192</v>
      </c>
      <c r="D112" s="1069"/>
      <c r="E112" s="344"/>
      <c r="F112" s="79"/>
      <c r="G112" s="984"/>
      <c r="H112" s="701"/>
      <c r="I112" s="177" t="s">
        <v>1191</v>
      </c>
      <c r="J112" s="235"/>
      <c r="K112" s="701"/>
      <c r="L112" s="832"/>
      <c r="M112" s="1055"/>
      <c r="N112" s="781"/>
      <c r="O112" s="129"/>
      <c r="P112" s="129"/>
      <c r="AH112" s="50">
        <v>0</v>
      </c>
    </row>
    <row r="113" s="50" customFormat="1" ht="0.75" hidden="1" customHeight="1">
      <c r="A113" s="143"/>
      <c r="B113" s="143"/>
      <c r="C113" s="395" t="s">
        <v>1199</v>
      </c>
      <c r="D113" s="1069"/>
      <c r="E113" s="344"/>
      <c r="F113" s="79"/>
      <c r="G113" s="1068"/>
      <c r="H113" s="701"/>
      <c r="I113" s="177"/>
      <c r="J113" s="235"/>
      <c r="K113" s="701"/>
      <c r="L113" s="832"/>
      <c r="M113" s="1055"/>
      <c r="N113" s="781"/>
      <c r="O113" s="129"/>
      <c r="P113" s="129"/>
      <c r="AH113" s="50">
        <v>0</v>
      </c>
    </row>
    <row r="114" s="50" customFormat="1" ht="18.75" hidden="1" customHeight="1">
      <c r="A114" s="143" t="s">
        <v>220</v>
      </c>
      <c r="B114" s="143" t="s">
        <v>221</v>
      </c>
      <c r="C114" s="395"/>
      <c r="D114" s="1069"/>
      <c r="E114" s="344"/>
      <c r="F114" s="79" t="str">
        <f>INDEX(PT_DIFFERENTIATION_VTAR,MATCH(A114,PT_DIFFERENTIATION_VTAR_ID,0))</f>
        <v xml:space="preserve">Тариф на питьевую воду (питьевое водоснабжение)</v>
      </c>
      <c r="G114" s="984" t="str">
        <f>INDEX(PT_DIFFERENTIATION_NTAR,MATCH(B114,PT_DIFFERENTIATION_NTAR_ID,0))</f>
        <v/>
      </c>
      <c r="H114" s="417"/>
      <c r="I114" s="1059"/>
      <c r="J114" s="1060"/>
      <c r="K114" s="433"/>
      <c r="L114" s="417" t="s">
        <v>301</v>
      </c>
      <c r="M114" s="1055"/>
      <c r="N114" s="781"/>
      <c r="O114" s="129"/>
      <c r="P114" s="129"/>
      <c r="AH114" s="50">
        <v>0</v>
      </c>
    </row>
    <row r="115" s="50" customFormat="1" ht="18.75" hidden="1" customHeight="1">
      <c r="A115" s="143"/>
      <c r="B115" s="143"/>
      <c r="C115" s="395" t="s">
        <v>1192</v>
      </c>
      <c r="D115" s="1069"/>
      <c r="E115" s="344"/>
      <c r="F115" s="79"/>
      <c r="G115" s="984"/>
      <c r="H115" s="701"/>
      <c r="I115" s="177" t="s">
        <v>1191</v>
      </c>
      <c r="J115" s="235"/>
      <c r="K115" s="701"/>
      <c r="L115" s="832"/>
      <c r="M115" s="1055"/>
      <c r="N115" s="781"/>
      <c r="O115" s="129"/>
      <c r="P115" s="129"/>
      <c r="AH115" s="50">
        <v>0</v>
      </c>
    </row>
    <row r="116" s="50" customFormat="1" ht="0.75" hidden="1" customHeight="1">
      <c r="A116" s="143"/>
      <c r="B116" s="143"/>
      <c r="C116" s="395" t="s">
        <v>1199</v>
      </c>
      <c r="D116" s="1069"/>
      <c r="E116" s="344"/>
      <c r="F116" s="79"/>
      <c r="G116" s="1068"/>
      <c r="H116" s="701"/>
      <c r="I116" s="177"/>
      <c r="J116" s="235"/>
      <c r="K116" s="701"/>
      <c r="L116" s="832"/>
      <c r="M116" s="1055"/>
      <c r="N116" s="781"/>
      <c r="O116" s="129"/>
      <c r="P116" s="129"/>
      <c r="AH116" s="50">
        <v>0</v>
      </c>
    </row>
    <row r="117" s="50" customFormat="1" ht="18.75" hidden="1" customHeight="1">
      <c r="A117" s="143" t="s">
        <v>225</v>
      </c>
      <c r="B117" s="143" t="s">
        <v>226</v>
      </c>
      <c r="C117" s="395"/>
      <c r="D117" s="1069"/>
      <c r="E117" s="344"/>
      <c r="F117" s="79" t="str">
        <f>INDEX(PT_DIFFERENTIATION_VTAR,MATCH(A117,PT_DIFFERENTIATION_VTAR_ID,0))</f>
        <v xml:space="preserve">Тариф на техническую воду</v>
      </c>
      <c r="G117" s="984" t="str">
        <f>INDEX(PT_DIFFERENTIATION_NTAR,MATCH(B117,PT_DIFFERENTIATION_NTAR_ID,0))</f>
        <v/>
      </c>
      <c r="H117" s="417"/>
      <c r="I117" s="1059"/>
      <c r="J117" s="1060"/>
      <c r="K117" s="433"/>
      <c r="L117" s="417" t="s">
        <v>301</v>
      </c>
      <c r="M117" s="1055"/>
      <c r="N117" s="781"/>
      <c r="O117" s="129"/>
      <c r="P117" s="129"/>
      <c r="AH117" s="50">
        <v>0</v>
      </c>
    </row>
    <row r="118" s="50" customFormat="1" ht="18.75" hidden="1" customHeight="1">
      <c r="A118" s="143"/>
      <c r="B118" s="143"/>
      <c r="C118" s="395" t="s">
        <v>1192</v>
      </c>
      <c r="D118" s="1069"/>
      <c r="E118" s="344"/>
      <c r="F118" s="79"/>
      <c r="G118" s="984"/>
      <c r="H118" s="701"/>
      <c r="I118" s="177" t="s">
        <v>1191</v>
      </c>
      <c r="J118" s="235"/>
      <c r="K118" s="701"/>
      <c r="L118" s="832"/>
      <c r="M118" s="1055"/>
      <c r="N118" s="781"/>
      <c r="O118" s="129"/>
      <c r="P118" s="129"/>
      <c r="AH118" s="50">
        <v>0</v>
      </c>
    </row>
    <row r="119" s="50" customFormat="1" ht="0.75" hidden="1" customHeight="1">
      <c r="A119" s="143"/>
      <c r="B119" s="143"/>
      <c r="C119" s="395" t="s">
        <v>1199</v>
      </c>
      <c r="D119" s="1069"/>
      <c r="E119" s="344"/>
      <c r="F119" s="79"/>
      <c r="G119" s="1068"/>
      <c r="H119" s="701"/>
      <c r="I119" s="177"/>
      <c r="J119" s="235"/>
      <c r="K119" s="701"/>
      <c r="L119" s="832"/>
      <c r="M119" s="1055"/>
      <c r="N119" s="781"/>
      <c r="O119" s="129"/>
      <c r="P119" s="129"/>
      <c r="AH119" s="50">
        <v>0</v>
      </c>
    </row>
    <row r="120" s="50" customFormat="1" ht="18.75" hidden="1" customHeight="1">
      <c r="A120" s="143" t="s">
        <v>230</v>
      </c>
      <c r="B120" s="143" t="s">
        <v>231</v>
      </c>
      <c r="C120" s="395"/>
      <c r="D120" s="1069"/>
      <c r="E120" s="344"/>
      <c r="F120" s="79" t="str">
        <f>INDEX(PT_DIFFERENTIATION_VTAR,MATCH(A120,PT_DIFFERENTIATION_VTAR_ID,0))</f>
        <v xml:space="preserve">Тариф на транспортировку воды</v>
      </c>
      <c r="G120" s="984" t="str">
        <f>INDEX(PT_DIFFERENTIATION_NTAR,MATCH(B120,PT_DIFFERENTIATION_NTAR_ID,0))</f>
        <v/>
      </c>
      <c r="H120" s="417"/>
      <c r="I120" s="1059"/>
      <c r="J120" s="1060"/>
      <c r="K120" s="433"/>
      <c r="L120" s="417" t="s">
        <v>301</v>
      </c>
      <c r="M120" s="1055"/>
      <c r="N120" s="781"/>
      <c r="O120" s="129"/>
      <c r="P120" s="129"/>
      <c r="AH120" s="50">
        <v>0</v>
      </c>
    </row>
    <row r="121" s="50" customFormat="1" ht="18.75" hidden="1" customHeight="1">
      <c r="A121" s="143"/>
      <c r="B121" s="143"/>
      <c r="C121" s="395" t="s">
        <v>1192</v>
      </c>
      <c r="D121" s="1069"/>
      <c r="E121" s="344"/>
      <c r="F121" s="79"/>
      <c r="G121" s="984"/>
      <c r="H121" s="701"/>
      <c r="I121" s="177" t="s">
        <v>1191</v>
      </c>
      <c r="J121" s="235"/>
      <c r="K121" s="701"/>
      <c r="L121" s="832"/>
      <c r="M121" s="1055"/>
      <c r="N121" s="781"/>
      <c r="O121" s="129"/>
      <c r="P121" s="129"/>
      <c r="AH121" s="50">
        <v>0</v>
      </c>
    </row>
    <row r="122" s="50" customFormat="1" ht="0.75" hidden="1" customHeight="1">
      <c r="A122" s="143"/>
      <c r="B122" s="143"/>
      <c r="C122" s="395" t="s">
        <v>1199</v>
      </c>
      <c r="D122" s="1069"/>
      <c r="E122" s="344"/>
      <c r="F122" s="79"/>
      <c r="G122" s="1068"/>
      <c r="H122" s="701"/>
      <c r="I122" s="177"/>
      <c r="J122" s="235"/>
      <c r="K122" s="701"/>
      <c r="L122" s="832"/>
      <c r="M122" s="1055"/>
      <c r="N122" s="781"/>
      <c r="O122" s="129"/>
      <c r="P122" s="129"/>
      <c r="AH122" s="50">
        <v>0</v>
      </c>
    </row>
    <row r="123" s="50" customFormat="1" ht="18.75" hidden="1" customHeight="1">
      <c r="A123" s="143" t="s">
        <v>235</v>
      </c>
      <c r="B123" s="143" t="s">
        <v>236</v>
      </c>
      <c r="C123" s="395"/>
      <c r="D123" s="1069"/>
      <c r="E123" s="344"/>
      <c r="F123" s="79" t="str">
        <f>INDEX(PT_DIFFERENTIATION_VTAR,MATCH(A123,PT_DIFFERENTIATION_VTAR_ID,0))</f>
        <v xml:space="preserve">Тариф на подвоз воды</v>
      </c>
      <c r="G123" s="984" t="str">
        <f>INDEX(PT_DIFFERENTIATION_NTAR,MATCH(B123,PT_DIFFERENTIATION_NTAR_ID,0))</f>
        <v/>
      </c>
      <c r="H123" s="417"/>
      <c r="I123" s="1059"/>
      <c r="J123" s="1060"/>
      <c r="K123" s="433"/>
      <c r="L123" s="417" t="s">
        <v>301</v>
      </c>
      <c r="M123" s="1055"/>
      <c r="N123" s="781"/>
      <c r="O123" s="129"/>
      <c r="P123" s="129"/>
      <c r="AH123" s="50">
        <v>0</v>
      </c>
    </row>
    <row r="124" s="50" customFormat="1" ht="18.75" hidden="1" customHeight="1">
      <c r="A124" s="143"/>
      <c r="B124" s="143"/>
      <c r="C124" s="395" t="s">
        <v>1192</v>
      </c>
      <c r="D124" s="1069"/>
      <c r="E124" s="344"/>
      <c r="F124" s="79"/>
      <c r="G124" s="984"/>
      <c r="H124" s="701"/>
      <c r="I124" s="177" t="s">
        <v>1191</v>
      </c>
      <c r="J124" s="235"/>
      <c r="K124" s="701"/>
      <c r="L124" s="832"/>
      <c r="M124" s="1055"/>
      <c r="N124" s="781"/>
      <c r="O124" s="129"/>
      <c r="P124" s="129"/>
      <c r="AH124" s="50">
        <v>0</v>
      </c>
    </row>
    <row r="125" s="50" customFormat="1" ht="0.75" hidden="1" customHeight="1">
      <c r="A125" s="143"/>
      <c r="B125" s="143"/>
      <c r="C125" s="395" t="s">
        <v>1199</v>
      </c>
      <c r="D125" s="1069"/>
      <c r="E125" s="344"/>
      <c r="F125" s="79"/>
      <c r="G125" s="1068"/>
      <c r="H125" s="701"/>
      <c r="I125" s="177"/>
      <c r="J125" s="235"/>
      <c r="K125" s="701"/>
      <c r="L125" s="832"/>
      <c r="M125" s="1055"/>
      <c r="N125" s="781"/>
      <c r="O125" s="129"/>
      <c r="P125" s="129"/>
      <c r="AH125" s="50">
        <v>0</v>
      </c>
    </row>
    <row r="126" s="50" customFormat="1" ht="18.75" hidden="1" customHeight="1">
      <c r="A126" s="143" t="s">
        <v>240</v>
      </c>
      <c r="B126" s="143" t="s">
        <v>241</v>
      </c>
      <c r="C126" s="395"/>
      <c r="D126" s="1069"/>
      <c r="E126" s="344"/>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84" t="str">
        <f>INDEX(PT_DIFFERENTIATION_NTAR,MATCH(B126,PT_DIFFERENTIATION_NTAR_ID,0))</f>
        <v/>
      </c>
      <c r="H126" s="417"/>
      <c r="I126" s="1059"/>
      <c r="J126" s="1060"/>
      <c r="K126" s="433"/>
      <c r="L126" s="417" t="s">
        <v>301</v>
      </c>
      <c r="M126" s="1055"/>
      <c r="N126" s="781"/>
      <c r="O126" s="129"/>
      <c r="P126" s="129"/>
      <c r="AH126" s="50">
        <v>0</v>
      </c>
    </row>
    <row r="127" s="50" customFormat="1" ht="18.75" hidden="1" customHeight="1">
      <c r="A127" s="143"/>
      <c r="B127" s="143"/>
      <c r="C127" s="395" t="s">
        <v>1192</v>
      </c>
      <c r="D127" s="1069"/>
      <c r="E127" s="344"/>
      <c r="F127" s="79"/>
      <c r="G127" s="984"/>
      <c r="H127" s="701"/>
      <c r="I127" s="177" t="s">
        <v>1191</v>
      </c>
      <c r="J127" s="235"/>
      <c r="K127" s="701"/>
      <c r="L127" s="832"/>
      <c r="M127" s="1055"/>
      <c r="N127" s="781"/>
      <c r="O127" s="129"/>
      <c r="P127" s="129"/>
      <c r="AH127" s="50">
        <v>0</v>
      </c>
    </row>
    <row r="128" s="50" customFormat="1" ht="0.75" hidden="1" customHeight="1">
      <c r="A128" s="143"/>
      <c r="B128" s="143"/>
      <c r="C128" s="395" t="s">
        <v>1199</v>
      </c>
      <c r="D128" s="1069"/>
      <c r="E128" s="344"/>
      <c r="F128" s="79"/>
      <c r="G128" s="1068"/>
      <c r="H128" s="701"/>
      <c r="I128" s="177"/>
      <c r="J128" s="235"/>
      <c r="K128" s="701"/>
      <c r="L128" s="832"/>
      <c r="M128" s="1055"/>
      <c r="N128" s="781"/>
      <c r="O128" s="129"/>
      <c r="P128" s="129"/>
      <c r="AH128" s="50">
        <v>0</v>
      </c>
    </row>
    <row r="129" s="50" customFormat="1" ht="18.75" hidden="1" customHeight="1">
      <c r="A129" s="143" t="s">
        <v>245</v>
      </c>
      <c r="B129" s="143" t="s">
        <v>246</v>
      </c>
      <c r="C129" s="395"/>
      <c r="D129" s="1069"/>
      <c r="E129" s="344"/>
      <c r="F129" s="79" t="str">
        <f>INDEX(PT_DIFFERENTIATION_VTAR,MATCH(A129,PT_DIFFERENTIATION_VTAR_ID,0))</f>
        <v xml:space="preserve">Тариф на горячую воду (горячее водоснабжение)</v>
      </c>
      <c r="G129" s="984" t="str">
        <f>INDEX(PT_DIFFERENTIATION_NTAR,MATCH(B129,PT_DIFFERENTIATION_NTAR_ID,0))</f>
        <v/>
      </c>
      <c r="H129" s="417"/>
      <c r="I129" s="1059"/>
      <c r="J129" s="1060"/>
      <c r="K129" s="433"/>
      <c r="L129" s="417" t="s">
        <v>301</v>
      </c>
      <c r="M129" s="1055"/>
      <c r="N129" s="781"/>
      <c r="O129" s="129"/>
      <c r="P129" s="129"/>
      <c r="AH129" s="50">
        <v>0</v>
      </c>
    </row>
    <row r="130" s="50" customFormat="1" ht="18.75" hidden="1" customHeight="1">
      <c r="A130" s="143"/>
      <c r="B130" s="143"/>
      <c r="C130" s="395" t="s">
        <v>1192</v>
      </c>
      <c r="D130" s="1069"/>
      <c r="E130" s="344"/>
      <c r="F130" s="79"/>
      <c r="G130" s="984"/>
      <c r="H130" s="701"/>
      <c r="I130" s="177" t="s">
        <v>1191</v>
      </c>
      <c r="J130" s="235"/>
      <c r="K130" s="701"/>
      <c r="L130" s="832"/>
      <c r="M130" s="1055"/>
      <c r="N130" s="781"/>
      <c r="O130" s="129"/>
      <c r="P130" s="129"/>
      <c r="AH130" s="50">
        <v>0</v>
      </c>
    </row>
    <row r="131" s="50" customFormat="1" ht="0.75" hidden="1" customHeight="1">
      <c r="A131" s="143"/>
      <c r="B131" s="143"/>
      <c r="C131" s="395" t="s">
        <v>1199</v>
      </c>
      <c r="D131" s="1069"/>
      <c r="E131" s="344"/>
      <c r="F131" s="79"/>
      <c r="G131" s="1068"/>
      <c r="H131" s="701"/>
      <c r="I131" s="177"/>
      <c r="J131" s="235"/>
      <c r="K131" s="701"/>
      <c r="L131" s="832"/>
      <c r="M131" s="1055"/>
      <c r="N131" s="781"/>
      <c r="O131" s="129"/>
      <c r="P131" s="129"/>
      <c r="AH131" s="50">
        <v>0</v>
      </c>
    </row>
    <row r="132" s="50" customFormat="1" ht="18.75" hidden="1" customHeight="1">
      <c r="A132" s="143" t="s">
        <v>250</v>
      </c>
      <c r="B132" s="143" t="s">
        <v>251</v>
      </c>
      <c r="C132" s="395"/>
      <c r="D132" s="1069"/>
      <c r="E132" s="344"/>
      <c r="F132" s="79" t="str">
        <f>INDEX(PT_DIFFERENTIATION_VTAR,MATCH(A132,PT_DIFFERENTIATION_VTAR_ID,0))</f>
        <v xml:space="preserve">Тариф на транспортировку горячей воды</v>
      </c>
      <c r="G132" s="984" t="str">
        <f>INDEX(PT_DIFFERENTIATION_NTAR,MATCH(B132,PT_DIFFERENTIATION_NTAR_ID,0))</f>
        <v/>
      </c>
      <c r="H132" s="417"/>
      <c r="I132" s="1059"/>
      <c r="J132" s="1060"/>
      <c r="K132" s="433"/>
      <c r="L132" s="417" t="s">
        <v>301</v>
      </c>
      <c r="M132" s="1055"/>
      <c r="N132" s="781"/>
      <c r="O132" s="129"/>
      <c r="P132" s="129"/>
      <c r="AH132" s="50">
        <v>0</v>
      </c>
    </row>
    <row r="133" s="50" customFormat="1" ht="18.75" hidden="1" customHeight="1">
      <c r="A133" s="143"/>
      <c r="B133" s="143"/>
      <c r="C133" s="395" t="s">
        <v>1192</v>
      </c>
      <c r="D133" s="1069"/>
      <c r="E133" s="344"/>
      <c r="F133" s="79"/>
      <c r="G133" s="984"/>
      <c r="H133" s="701"/>
      <c r="I133" s="177" t="s">
        <v>1191</v>
      </c>
      <c r="J133" s="235"/>
      <c r="K133" s="701"/>
      <c r="L133" s="832"/>
      <c r="M133" s="1055"/>
      <c r="N133" s="781"/>
      <c r="O133" s="129"/>
      <c r="P133" s="129"/>
      <c r="AH133" s="50">
        <v>0</v>
      </c>
    </row>
    <row r="134" s="50" customFormat="1" ht="0.75" hidden="1" customHeight="1">
      <c r="A134" s="143"/>
      <c r="B134" s="143"/>
      <c r="C134" s="395" t="s">
        <v>1199</v>
      </c>
      <c r="D134" s="1069"/>
      <c r="E134" s="344"/>
      <c r="F134" s="79"/>
      <c r="G134" s="1068"/>
      <c r="H134" s="701"/>
      <c r="I134" s="177"/>
      <c r="J134" s="235"/>
      <c r="K134" s="701"/>
      <c r="L134" s="832"/>
      <c r="M134" s="1055"/>
      <c r="N134" s="781"/>
      <c r="O134" s="129"/>
      <c r="P134" s="129"/>
      <c r="AH134" s="50">
        <v>0</v>
      </c>
    </row>
    <row r="135" s="50" customFormat="1" ht="18.75" hidden="1" customHeight="1">
      <c r="A135" s="143" t="s">
        <v>255</v>
      </c>
      <c r="B135" s="143" t="s">
        <v>256</v>
      </c>
      <c r="C135" s="395"/>
      <c r="D135" s="1069"/>
      <c r="E135" s="344"/>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84" t="str">
        <f>INDEX(PT_DIFFERENTIATION_NTAR,MATCH(B135,PT_DIFFERENTIATION_NTAR_ID,0))</f>
        <v/>
      </c>
      <c r="H135" s="417"/>
      <c r="I135" s="1059"/>
      <c r="J135" s="1060"/>
      <c r="K135" s="433"/>
      <c r="L135" s="417" t="s">
        <v>301</v>
      </c>
      <c r="M135" s="1055"/>
      <c r="N135" s="781"/>
      <c r="O135" s="129"/>
      <c r="P135" s="129"/>
      <c r="AH135" s="50">
        <v>0</v>
      </c>
    </row>
    <row r="136" s="50" customFormat="1" ht="18.75" hidden="1" customHeight="1">
      <c r="A136" s="143"/>
      <c r="B136" s="143"/>
      <c r="C136" s="395" t="s">
        <v>1192</v>
      </c>
      <c r="D136" s="1069"/>
      <c r="E136" s="344"/>
      <c r="F136" s="79"/>
      <c r="G136" s="984"/>
      <c r="H136" s="701"/>
      <c r="I136" s="177" t="s">
        <v>1191</v>
      </c>
      <c r="J136" s="235"/>
      <c r="K136" s="701"/>
      <c r="L136" s="832"/>
      <c r="M136" s="1055"/>
      <c r="N136" s="781"/>
      <c r="O136" s="129"/>
      <c r="P136" s="129"/>
      <c r="AH136" s="50">
        <v>0</v>
      </c>
    </row>
    <row r="137" s="50" customFormat="1" ht="0.75" hidden="1" customHeight="1">
      <c r="A137" s="143"/>
      <c r="B137" s="143"/>
      <c r="C137" s="395" t="s">
        <v>1199</v>
      </c>
      <c r="D137" s="1069"/>
      <c r="E137" s="344"/>
      <c r="F137" s="79"/>
      <c r="G137" s="1068"/>
      <c r="H137" s="701"/>
      <c r="I137" s="177"/>
      <c r="J137" s="235"/>
      <c r="K137" s="701"/>
      <c r="L137" s="832"/>
      <c r="M137" s="1055"/>
      <c r="N137" s="781"/>
      <c r="O137" s="129"/>
      <c r="P137" s="129"/>
      <c r="AH137" s="50">
        <v>0</v>
      </c>
    </row>
    <row r="138" s="50" customFormat="1" ht="18.75" hidden="1" customHeight="1">
      <c r="A138" s="143" t="s">
        <v>260</v>
      </c>
      <c r="B138" s="143" t="s">
        <v>261</v>
      </c>
      <c r="C138" s="395"/>
      <c r="D138" s="1069"/>
      <c r="E138" s="344"/>
      <c r="F138" s="79" t="str">
        <f>INDEX(PT_DIFFERENTIATION_VTAR,MATCH(A138,PT_DIFFERENTIATION_VTAR_ID,0))</f>
        <v xml:space="preserve">Тариф на водоотведение</v>
      </c>
      <c r="G138" s="984" t="str">
        <f>INDEX(PT_DIFFERENTIATION_NTAR,MATCH(B138,PT_DIFFERENTIATION_NTAR_ID,0))</f>
        <v/>
      </c>
      <c r="H138" s="417"/>
      <c r="I138" s="1059"/>
      <c r="J138" s="1060"/>
      <c r="K138" s="433"/>
      <c r="L138" s="417" t="s">
        <v>301</v>
      </c>
      <c r="M138" s="1055"/>
      <c r="N138" s="781"/>
      <c r="O138" s="129"/>
      <c r="P138" s="129"/>
      <c r="AH138" s="50">
        <v>0</v>
      </c>
    </row>
    <row r="139" s="50" customFormat="1" ht="18.75" hidden="1" customHeight="1">
      <c r="A139" s="143"/>
      <c r="B139" s="143"/>
      <c r="C139" s="395" t="s">
        <v>1192</v>
      </c>
      <c r="D139" s="1069"/>
      <c r="E139" s="344"/>
      <c r="F139" s="79"/>
      <c r="G139" s="984"/>
      <c r="H139" s="701"/>
      <c r="I139" s="177" t="s">
        <v>1191</v>
      </c>
      <c r="J139" s="235"/>
      <c r="K139" s="701"/>
      <c r="L139" s="832"/>
      <c r="M139" s="1055"/>
      <c r="N139" s="781"/>
      <c r="O139" s="129"/>
      <c r="P139" s="129"/>
      <c r="AH139" s="50">
        <v>0</v>
      </c>
    </row>
    <row r="140" s="50" customFormat="1" ht="0.75" hidden="1" customHeight="1">
      <c r="A140" s="143"/>
      <c r="B140" s="143"/>
      <c r="C140" s="395" t="s">
        <v>1199</v>
      </c>
      <c r="D140" s="1069"/>
      <c r="E140" s="344"/>
      <c r="F140" s="79"/>
      <c r="G140" s="1068"/>
      <c r="H140" s="701"/>
      <c r="I140" s="177"/>
      <c r="J140" s="235"/>
      <c r="K140" s="701"/>
      <c r="L140" s="832"/>
      <c r="M140" s="1055"/>
      <c r="N140" s="781"/>
      <c r="O140" s="129"/>
      <c r="P140" s="129"/>
      <c r="AH140" s="50">
        <v>0</v>
      </c>
    </row>
    <row r="141" s="50" customFormat="1" ht="18.75" hidden="1" customHeight="1">
      <c r="A141" s="143" t="s">
        <v>265</v>
      </c>
      <c r="B141" s="143" t="s">
        <v>266</v>
      </c>
      <c r="C141" s="395"/>
      <c r="D141" s="1069"/>
      <c r="E141" s="344"/>
      <c r="F141" s="79" t="str">
        <f>INDEX(PT_DIFFERENTIATION_VTAR,MATCH(A141,PT_DIFFERENTIATION_VTAR_ID,0))</f>
        <v xml:space="preserve">Тариф на транспортировку сточных вод</v>
      </c>
      <c r="G141" s="984" t="str">
        <f>INDEX(PT_DIFFERENTIATION_NTAR,MATCH(B141,PT_DIFFERENTIATION_NTAR_ID,0))</f>
        <v/>
      </c>
      <c r="H141" s="417"/>
      <c r="I141" s="1059"/>
      <c r="J141" s="1060"/>
      <c r="K141" s="433"/>
      <c r="L141" s="417" t="s">
        <v>301</v>
      </c>
      <c r="M141" s="1055"/>
      <c r="N141" s="781"/>
      <c r="O141" s="129"/>
      <c r="P141" s="129"/>
      <c r="AH141" s="50">
        <v>0</v>
      </c>
    </row>
    <row r="142" s="50" customFormat="1" ht="18.75" hidden="1" customHeight="1">
      <c r="A142" s="143"/>
      <c r="B142" s="143"/>
      <c r="C142" s="395" t="s">
        <v>1192</v>
      </c>
      <c r="D142" s="1069"/>
      <c r="E142" s="344"/>
      <c r="F142" s="79"/>
      <c r="G142" s="984"/>
      <c r="H142" s="701"/>
      <c r="I142" s="177" t="s">
        <v>1191</v>
      </c>
      <c r="J142" s="235"/>
      <c r="K142" s="701"/>
      <c r="L142" s="832"/>
      <c r="M142" s="1055"/>
      <c r="N142" s="781"/>
      <c r="O142" s="129"/>
      <c r="P142" s="129"/>
      <c r="AH142" s="50">
        <v>0</v>
      </c>
    </row>
    <row r="143" s="50" customFormat="1" ht="0.75" hidden="1" customHeight="1">
      <c r="A143" s="143"/>
      <c r="B143" s="143"/>
      <c r="C143" s="395" t="s">
        <v>1199</v>
      </c>
      <c r="D143" s="1069"/>
      <c r="E143" s="344"/>
      <c r="F143" s="79"/>
      <c r="G143" s="1068"/>
      <c r="H143" s="701"/>
      <c r="I143" s="177"/>
      <c r="J143" s="235"/>
      <c r="K143" s="701"/>
      <c r="L143" s="832"/>
      <c r="M143" s="1055"/>
      <c r="N143" s="781"/>
      <c r="O143" s="129"/>
      <c r="P143" s="129"/>
      <c r="AH143" s="50">
        <v>0</v>
      </c>
    </row>
    <row r="144" s="50" customFormat="1" ht="18.75" hidden="1" customHeight="1">
      <c r="A144" s="143" t="s">
        <v>270</v>
      </c>
      <c r="B144" s="143" t="s">
        <v>271</v>
      </c>
      <c r="C144" s="395"/>
      <c r="D144" s="1069"/>
      <c r="E144" s="344"/>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84" t="str">
        <f>INDEX(PT_DIFFERENTIATION_NTAR,MATCH(B144,PT_DIFFERENTIATION_NTAR_ID,0))</f>
        <v/>
      </c>
      <c r="H144" s="417"/>
      <c r="I144" s="1059"/>
      <c r="J144" s="1060"/>
      <c r="K144" s="433"/>
      <c r="L144" s="417" t="s">
        <v>301</v>
      </c>
      <c r="M144" s="1055"/>
      <c r="N144" s="781"/>
      <c r="O144" s="129"/>
      <c r="P144" s="129"/>
      <c r="AH144" s="50">
        <v>0</v>
      </c>
    </row>
    <row r="145" s="50" customFormat="1" ht="18.75" hidden="1" customHeight="1">
      <c r="A145" s="143"/>
      <c r="B145" s="143"/>
      <c r="C145" s="395" t="s">
        <v>1192</v>
      </c>
      <c r="D145" s="1069"/>
      <c r="E145" s="344"/>
      <c r="F145" s="79"/>
      <c r="G145" s="984"/>
      <c r="H145" s="701"/>
      <c r="I145" s="177" t="s">
        <v>1191</v>
      </c>
      <c r="J145" s="235"/>
      <c r="K145" s="701"/>
      <c r="L145" s="832"/>
      <c r="M145" s="1055"/>
      <c r="N145" s="781"/>
      <c r="O145" s="129"/>
      <c r="P145" s="129"/>
      <c r="AH145" s="50">
        <v>0</v>
      </c>
    </row>
    <row r="146" s="50" customFormat="1" ht="1.05" customHeight="1">
      <c r="A146" s="143"/>
      <c r="B146" s="143"/>
      <c r="C146" s="395" t="s">
        <v>1199</v>
      </c>
      <c r="D146" s="1069"/>
      <c r="E146" s="344"/>
      <c r="F146" s="79"/>
      <c r="G146" s="1068"/>
      <c r="H146" s="701"/>
      <c r="I146" s="177"/>
      <c r="J146" s="235"/>
      <c r="K146" s="701"/>
      <c r="L146" s="832"/>
      <c r="M146" s="1055"/>
      <c r="N146" s="781"/>
      <c r="O146" s="129"/>
      <c r="P146" s="129"/>
      <c r="AH146" s="50">
        <v>1</v>
      </c>
    </row>
    <row r="147" ht="19.949999999999999" customHeight="1">
      <c r="A147" s="143"/>
      <c r="B147" s="143"/>
      <c r="D147" s="539"/>
      <c r="E147" s="344" t="s">
        <v>91</v>
      </c>
      <c r="F147" s="8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30"/>
      <c r="H147" s="830"/>
      <c r="I147" s="830"/>
      <c r="J147" s="830"/>
      <c r="K147" s="830"/>
      <c r="L147" s="830"/>
      <c r="M147" s="822"/>
      <c r="N147" s="781"/>
      <c r="AH147" s="50">
        <v>19</v>
      </c>
    </row>
    <row r="148" s="50" customFormat="1" ht="60.75" hidden="1" customHeight="1">
      <c r="A148" s="143" t="s">
        <v>152</v>
      </c>
      <c r="B148" s="143" t="s">
        <v>153</v>
      </c>
      <c r="C148" s="395"/>
      <c r="D148" s="1069"/>
      <c r="E148" s="344"/>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84" t="str">
        <f>INDEX(PT_DIFFERENTIATION_NTAR,MATCH(B148,PT_DIFFERENTIATION_NTAR_ID,0))</f>
        <v/>
      </c>
      <c r="H148" s="417"/>
      <c r="I148" s="1059"/>
      <c r="J148" s="1060"/>
      <c r="K148" s="433"/>
      <c r="L148" s="417" t="s">
        <v>301</v>
      </c>
      <c r="M148"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781"/>
      <c r="O148" s="129"/>
      <c r="P148" s="129"/>
      <c r="AH148" s="50">
        <v>0</v>
      </c>
    </row>
    <row r="149" s="50" customFormat="1" ht="18.75" hidden="1" customHeight="1">
      <c r="A149" s="143"/>
      <c r="B149" s="143"/>
      <c r="C149" s="395" t="s">
        <v>1192</v>
      </c>
      <c r="D149" s="1069"/>
      <c r="E149" s="344"/>
      <c r="F149" s="79"/>
      <c r="G149" s="984"/>
      <c r="H149" s="701"/>
      <c r="I149" s="177" t="s">
        <v>1191</v>
      </c>
      <c r="J149" s="235"/>
      <c r="K149" s="701"/>
      <c r="L149" s="832"/>
      <c r="M149" s="287"/>
      <c r="N149" s="781"/>
      <c r="O149" s="129"/>
      <c r="P149" s="129"/>
      <c r="AH149" s="50">
        <v>0</v>
      </c>
    </row>
    <row r="150" s="50" customFormat="1" ht="0.75" hidden="1" customHeight="1">
      <c r="A150" s="143"/>
      <c r="B150" s="143"/>
      <c r="C150" s="395" t="s">
        <v>1199</v>
      </c>
      <c r="D150" s="1069"/>
      <c r="E150" s="344"/>
      <c r="F150" s="79"/>
      <c r="G150" s="1068"/>
      <c r="H150" s="701"/>
      <c r="I150" s="177"/>
      <c r="J150" s="235"/>
      <c r="K150" s="701"/>
      <c r="L150" s="832"/>
      <c r="M150" s="287"/>
      <c r="N150" s="781"/>
      <c r="O150" s="129"/>
      <c r="P150" s="129"/>
      <c r="AH150" s="50">
        <v>0</v>
      </c>
    </row>
    <row r="151" s="50" customFormat="1" ht="45" hidden="1" customHeight="1">
      <c r="A151" s="143" t="s">
        <v>157</v>
      </c>
      <c r="B151" s="143" t="s">
        <v>158</v>
      </c>
      <c r="C151" s="395"/>
      <c r="D151" s="1069"/>
      <c r="E151" s="344"/>
      <c r="F151" s="79" t="str">
        <f>INDEX(PT_DIFFERENTIATION_VTAR,MATCH(A151,PT_DIFFERENTIATION_VTAR_ID,0))</f>
        <v/>
      </c>
      <c r="G151" s="984" t="str">
        <f>INDEX(PT_DIFFERENTIATION_NTAR,MATCH(B151,PT_DIFFERENTIATION_NTAR_ID,0))</f>
        <v/>
      </c>
      <c r="H151" s="417"/>
      <c r="I151" s="1059"/>
      <c r="J151" s="1060"/>
      <c r="K151" s="433"/>
      <c r="L151" s="417" t="s">
        <v>301</v>
      </c>
      <c r="M151" s="289"/>
      <c r="N151" s="781"/>
      <c r="O151" s="129"/>
      <c r="P151" s="129"/>
      <c r="AH151" s="50">
        <v>0</v>
      </c>
    </row>
    <row r="152" s="50" customFormat="1" ht="18.75" hidden="1" customHeight="1">
      <c r="A152" s="143"/>
      <c r="B152" s="143"/>
      <c r="C152" s="395" t="s">
        <v>1192</v>
      </c>
      <c r="D152" s="1069"/>
      <c r="E152" s="344"/>
      <c r="F152" s="79"/>
      <c r="G152" s="984"/>
      <c r="H152" s="701"/>
      <c r="I152" s="177" t="s">
        <v>1191</v>
      </c>
      <c r="J152" s="235"/>
      <c r="K152" s="701"/>
      <c r="L152" s="832"/>
      <c r="M152" s="287"/>
      <c r="N152" s="781"/>
      <c r="O152" s="129"/>
      <c r="P152" s="129"/>
      <c r="AH152" s="50">
        <v>0</v>
      </c>
    </row>
    <row r="153" s="50" customFormat="1" ht="0.75" hidden="1" customHeight="1">
      <c r="A153" s="143"/>
      <c r="B153" s="143"/>
      <c r="C153" s="395" t="s">
        <v>1199</v>
      </c>
      <c r="D153" s="1069"/>
      <c r="E153" s="344"/>
      <c r="F153" s="79"/>
      <c r="G153" s="1068"/>
      <c r="H153" s="701"/>
      <c r="I153" s="177"/>
      <c r="J153" s="235"/>
      <c r="K153" s="701"/>
      <c r="L153" s="832"/>
      <c r="M153" s="1055"/>
      <c r="N153" s="781"/>
      <c r="O153" s="129"/>
      <c r="P153" s="129"/>
      <c r="AH153" s="50">
        <v>0</v>
      </c>
    </row>
    <row r="154" s="50" customFormat="1" ht="45" hidden="1" customHeight="1">
      <c r="A154" s="143" t="s">
        <v>164</v>
      </c>
      <c r="B154" s="143" t="s">
        <v>165</v>
      </c>
      <c r="C154" s="395"/>
      <c r="D154" s="1069"/>
      <c r="E154" s="344"/>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84" t="str">
        <f>INDEX(PT_DIFFERENTIATION_NTAR,MATCH(B154,PT_DIFFERENTIATION_NTAR_ID,0))</f>
        <v/>
      </c>
      <c r="H154" s="417"/>
      <c r="I154" s="1059"/>
      <c r="J154" s="1060"/>
      <c r="K154" s="433"/>
      <c r="L154" s="417" t="s">
        <v>301</v>
      </c>
      <c r="M154" s="1055"/>
      <c r="N154" s="781"/>
      <c r="O154" s="129"/>
      <c r="P154" s="129"/>
      <c r="AH154" s="50">
        <v>0</v>
      </c>
    </row>
    <row r="155" s="50" customFormat="1" ht="18.75" hidden="1" customHeight="1">
      <c r="A155" s="143"/>
      <c r="B155" s="143"/>
      <c r="C155" s="395" t="s">
        <v>1192</v>
      </c>
      <c r="D155" s="1069"/>
      <c r="E155" s="344"/>
      <c r="F155" s="79"/>
      <c r="G155" s="984"/>
      <c r="H155" s="701"/>
      <c r="I155" s="177" t="s">
        <v>1191</v>
      </c>
      <c r="J155" s="235"/>
      <c r="K155" s="701"/>
      <c r="L155" s="832"/>
      <c r="M155" s="1055"/>
      <c r="N155" s="781"/>
      <c r="O155" s="129"/>
      <c r="P155" s="129"/>
      <c r="AH155" s="50">
        <v>0</v>
      </c>
    </row>
    <row r="156" s="50" customFormat="1" ht="0.75" hidden="1" customHeight="1">
      <c r="A156" s="143"/>
      <c r="B156" s="143"/>
      <c r="C156" s="395" t="s">
        <v>1199</v>
      </c>
      <c r="D156" s="1069"/>
      <c r="E156" s="344"/>
      <c r="F156" s="79"/>
      <c r="G156" s="1068"/>
      <c r="H156" s="701"/>
      <c r="I156" s="177"/>
      <c r="J156" s="235"/>
      <c r="K156" s="701"/>
      <c r="L156" s="832"/>
      <c r="M156" s="1055"/>
      <c r="N156" s="781"/>
      <c r="O156" s="129"/>
      <c r="P156" s="129"/>
      <c r="AH156" s="50">
        <v>0</v>
      </c>
    </row>
    <row r="157" s="50" customFormat="1" ht="45" hidden="1" customHeight="1">
      <c r="A157" s="143" t="s">
        <v>170</v>
      </c>
      <c r="B157" s="143" t="s">
        <v>171</v>
      </c>
      <c r="C157" s="395"/>
      <c r="D157" s="1069"/>
      <c r="E157" s="344"/>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84" t="str">
        <f>INDEX(PT_DIFFERENTIATION_NTAR,MATCH(B157,PT_DIFFERENTIATION_NTAR_ID,0))</f>
        <v/>
      </c>
      <c r="H157" s="417"/>
      <c r="I157" s="1059"/>
      <c r="J157" s="1060"/>
      <c r="K157" s="433"/>
      <c r="L157" s="417" t="s">
        <v>301</v>
      </c>
      <c r="M157" s="1055"/>
      <c r="N157" s="781"/>
      <c r="O157" s="129"/>
      <c r="P157" s="129"/>
      <c r="AH157" s="50">
        <v>0</v>
      </c>
    </row>
    <row r="158" s="50" customFormat="1" ht="18.75" hidden="1" customHeight="1">
      <c r="A158" s="143"/>
      <c r="B158" s="143"/>
      <c r="C158" s="395" t="s">
        <v>1192</v>
      </c>
      <c r="D158" s="1069"/>
      <c r="E158" s="344"/>
      <c r="F158" s="79"/>
      <c r="G158" s="984"/>
      <c r="H158" s="701"/>
      <c r="I158" s="177" t="s">
        <v>1191</v>
      </c>
      <c r="J158" s="235"/>
      <c r="K158" s="701"/>
      <c r="L158" s="832"/>
      <c r="M158" s="1055"/>
      <c r="N158" s="781"/>
      <c r="O158" s="129"/>
      <c r="P158" s="129"/>
      <c r="AH158" s="50">
        <v>0</v>
      </c>
    </row>
    <row r="159" s="50" customFormat="1" ht="0.75" hidden="1" customHeight="1">
      <c r="A159" s="143"/>
      <c r="B159" s="143"/>
      <c r="C159" s="395" t="s">
        <v>1199</v>
      </c>
      <c r="D159" s="1069"/>
      <c r="E159" s="344"/>
      <c r="F159" s="79"/>
      <c r="G159" s="1068"/>
      <c r="H159" s="701"/>
      <c r="I159" s="177"/>
      <c r="J159" s="235"/>
      <c r="K159" s="701"/>
      <c r="L159" s="832"/>
      <c r="M159" s="1055"/>
      <c r="N159" s="781"/>
      <c r="O159" s="129"/>
      <c r="P159" s="129"/>
      <c r="AH159" s="50">
        <v>0</v>
      </c>
    </row>
    <row r="160" s="50" customFormat="1" ht="18.75" hidden="1" customHeight="1">
      <c r="A160" s="143" t="s">
        <v>176</v>
      </c>
      <c r="B160" s="143" t="s">
        <v>177</v>
      </c>
      <c r="C160" s="395"/>
      <c r="D160" s="1069"/>
      <c r="E160" s="344"/>
      <c r="F160" s="79" t="str">
        <f>INDEX(PT_DIFFERENTIATION_VTAR,MATCH(A160,PT_DIFFERENTIATION_VTAR_ID,0))</f>
        <v xml:space="preserve">Тарифы на услуги по передаче тепловой энергии</v>
      </c>
      <c r="G160" s="984" t="str">
        <f>INDEX(PT_DIFFERENTIATION_NTAR,MATCH(B160,PT_DIFFERENTIATION_NTAR_ID,0))</f>
        <v/>
      </c>
      <c r="H160" s="417"/>
      <c r="I160" s="1059"/>
      <c r="J160" s="1060"/>
      <c r="K160" s="433"/>
      <c r="L160" s="417" t="s">
        <v>301</v>
      </c>
      <c r="M160" s="1055"/>
      <c r="N160" s="781"/>
      <c r="O160" s="129"/>
      <c r="P160" s="129"/>
      <c r="AH160" s="50">
        <v>0</v>
      </c>
    </row>
    <row r="161" s="50" customFormat="1" ht="18.75" hidden="1" customHeight="1">
      <c r="A161" s="143"/>
      <c r="B161" s="143"/>
      <c r="C161" s="395" t="s">
        <v>1192</v>
      </c>
      <c r="D161" s="1069"/>
      <c r="E161" s="344"/>
      <c r="F161" s="79"/>
      <c r="G161" s="984"/>
      <c r="H161" s="701"/>
      <c r="I161" s="177" t="s">
        <v>1191</v>
      </c>
      <c r="J161" s="235"/>
      <c r="K161" s="701"/>
      <c r="L161" s="832"/>
      <c r="M161" s="1055"/>
      <c r="N161" s="781"/>
      <c r="O161" s="129"/>
      <c r="P161" s="129"/>
      <c r="AH161" s="50">
        <v>0</v>
      </c>
    </row>
    <row r="162" s="50" customFormat="1" ht="0.75" hidden="1" customHeight="1">
      <c r="A162" s="143"/>
      <c r="B162" s="143"/>
      <c r="C162" s="395" t="s">
        <v>1199</v>
      </c>
      <c r="D162" s="1069"/>
      <c r="E162" s="344"/>
      <c r="F162" s="79"/>
      <c r="G162" s="1068"/>
      <c r="H162" s="701"/>
      <c r="I162" s="177"/>
      <c r="J162" s="235"/>
      <c r="K162" s="701"/>
      <c r="L162" s="832"/>
      <c r="M162" s="1055"/>
      <c r="N162" s="781"/>
      <c r="O162" s="129"/>
      <c r="P162" s="129"/>
      <c r="AH162" s="50">
        <v>0</v>
      </c>
    </row>
    <row r="163" s="50" customFormat="1" ht="18.75" hidden="1" customHeight="1">
      <c r="A163" s="143" t="s">
        <v>182</v>
      </c>
      <c r="B163" s="143" t="s">
        <v>183</v>
      </c>
      <c r="C163" s="395"/>
      <c r="D163" s="1069"/>
      <c r="E163" s="344"/>
      <c r="F163" s="79" t="str">
        <f>INDEX(PT_DIFFERENTIATION_VTAR,MATCH(A163,PT_DIFFERENTIATION_VTAR_ID,0))</f>
        <v xml:space="preserve">Тарифы на услуги по передаче теплоносителя</v>
      </c>
      <c r="G163" s="984" t="str">
        <f>INDEX(PT_DIFFERENTIATION_NTAR,MATCH(B163,PT_DIFFERENTIATION_NTAR_ID,0))</f>
        <v/>
      </c>
      <c r="H163" s="417"/>
      <c r="I163" s="1059"/>
      <c r="J163" s="1060"/>
      <c r="K163" s="433"/>
      <c r="L163" s="417" t="s">
        <v>301</v>
      </c>
      <c r="M163" s="1055"/>
      <c r="N163" s="781"/>
      <c r="O163" s="129"/>
      <c r="P163" s="129"/>
      <c r="AH163" s="50">
        <v>0</v>
      </c>
    </row>
    <row r="164" s="50" customFormat="1" ht="18.75" hidden="1" customHeight="1">
      <c r="A164" s="143"/>
      <c r="B164" s="143"/>
      <c r="C164" s="395" t="s">
        <v>1192</v>
      </c>
      <c r="D164" s="1069"/>
      <c r="E164" s="344"/>
      <c r="F164" s="79"/>
      <c r="G164" s="984"/>
      <c r="H164" s="701"/>
      <c r="I164" s="177" t="s">
        <v>1191</v>
      </c>
      <c r="J164" s="235"/>
      <c r="K164" s="701"/>
      <c r="L164" s="832"/>
      <c r="M164" s="1055"/>
      <c r="N164" s="781"/>
      <c r="O164" s="129"/>
      <c r="P164" s="129"/>
      <c r="AH164" s="50">
        <v>0</v>
      </c>
    </row>
    <row r="165" s="50" customFormat="1" ht="0.75" hidden="1" customHeight="1">
      <c r="A165" s="143"/>
      <c r="B165" s="143"/>
      <c r="C165" s="395" t="s">
        <v>1199</v>
      </c>
      <c r="D165" s="1069"/>
      <c r="E165" s="344"/>
      <c r="F165" s="79"/>
      <c r="G165" s="1068"/>
      <c r="H165" s="701"/>
      <c r="I165" s="177"/>
      <c r="J165" s="235"/>
      <c r="K165" s="701"/>
      <c r="L165" s="832"/>
      <c r="M165" s="1055"/>
      <c r="N165" s="781"/>
      <c r="O165" s="129"/>
      <c r="P165" s="129"/>
      <c r="AH165" s="50">
        <v>0</v>
      </c>
    </row>
    <row r="166" s="50" customFormat="1" ht="18.75" hidden="1" customHeight="1">
      <c r="A166" s="143" t="s">
        <v>188</v>
      </c>
      <c r="B166" s="143" t="s">
        <v>189</v>
      </c>
      <c r="C166" s="395"/>
      <c r="D166" s="1069"/>
      <c r="E166" s="344"/>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84" t="str">
        <f>INDEX(PT_DIFFERENTIATION_NTAR,MATCH(B166,PT_DIFFERENTIATION_NTAR_ID,0))</f>
        <v/>
      </c>
      <c r="H166" s="417"/>
      <c r="I166" s="1059"/>
      <c r="J166" s="1060"/>
      <c r="K166" s="433"/>
      <c r="L166" s="417" t="s">
        <v>301</v>
      </c>
      <c r="M166" s="1055"/>
      <c r="N166" s="781"/>
      <c r="O166" s="129"/>
      <c r="P166" s="129"/>
      <c r="AH166" s="50">
        <v>0</v>
      </c>
    </row>
    <row r="167" s="50" customFormat="1" ht="18.75" hidden="1" customHeight="1">
      <c r="A167" s="143"/>
      <c r="B167" s="143"/>
      <c r="C167" s="395" t="s">
        <v>1192</v>
      </c>
      <c r="D167" s="1069"/>
      <c r="E167" s="344"/>
      <c r="F167" s="79"/>
      <c r="G167" s="984"/>
      <c r="H167" s="701"/>
      <c r="I167" s="177" t="s">
        <v>1191</v>
      </c>
      <c r="J167" s="235"/>
      <c r="K167" s="701"/>
      <c r="L167" s="832"/>
      <c r="M167" s="1055"/>
      <c r="N167" s="781"/>
      <c r="O167" s="129"/>
      <c r="P167" s="129"/>
      <c r="AH167" s="50">
        <v>0</v>
      </c>
    </row>
    <row r="168" s="50" customFormat="1" ht="0.75" hidden="1" customHeight="1">
      <c r="A168" s="143"/>
      <c r="B168" s="143"/>
      <c r="C168" s="395" t="s">
        <v>1199</v>
      </c>
      <c r="D168" s="1069"/>
      <c r="E168" s="344"/>
      <c r="F168" s="79"/>
      <c r="G168" s="1068"/>
      <c r="H168" s="701"/>
      <c r="I168" s="177"/>
      <c r="J168" s="235"/>
      <c r="K168" s="701"/>
      <c r="L168" s="832"/>
      <c r="M168" s="1055"/>
      <c r="N168" s="781"/>
      <c r="O168" s="129"/>
      <c r="P168" s="129"/>
      <c r="AH168" s="50">
        <v>0</v>
      </c>
    </row>
    <row r="169" s="50" customFormat="1" ht="18.75" hidden="1" customHeight="1">
      <c r="A169" s="143" t="s">
        <v>194</v>
      </c>
      <c r="B169" s="143" t="s">
        <v>195</v>
      </c>
      <c r="C169" s="395"/>
      <c r="D169" s="1069"/>
      <c r="E169" s="344"/>
      <c r="F169" s="79" t="str">
        <f>INDEX(PT_DIFFERENTIATION_VTAR,MATCH(A169,PT_DIFFERENTIATION_VTAR_ID,0))</f>
        <v xml:space="preserve">Плата за подключение (технологическое присоединение) к системе теплоснабжения</v>
      </c>
      <c r="G169" s="984" t="str">
        <f>INDEX(PT_DIFFERENTIATION_NTAR,MATCH(B169,PT_DIFFERENTIATION_NTAR_ID,0))</f>
        <v/>
      </c>
      <c r="H169" s="417"/>
      <c r="I169" s="1059"/>
      <c r="J169" s="1060"/>
      <c r="K169" s="433"/>
      <c r="L169" s="417" t="s">
        <v>301</v>
      </c>
      <c r="M169" s="1055"/>
      <c r="N169" s="781"/>
      <c r="O169" s="129"/>
      <c r="P169" s="129"/>
      <c r="AH169" s="50">
        <v>0</v>
      </c>
    </row>
    <row r="170" s="50" customFormat="1" ht="18.75" hidden="1" customHeight="1">
      <c r="A170" s="143"/>
      <c r="B170" s="143"/>
      <c r="C170" s="395" t="s">
        <v>1192</v>
      </c>
      <c r="D170" s="1069"/>
      <c r="E170" s="344"/>
      <c r="F170" s="79"/>
      <c r="G170" s="984"/>
      <c r="H170" s="701"/>
      <c r="I170" s="177" t="s">
        <v>1191</v>
      </c>
      <c r="J170" s="235"/>
      <c r="K170" s="701"/>
      <c r="L170" s="832"/>
      <c r="M170" s="1055"/>
      <c r="N170" s="781"/>
      <c r="O170" s="129"/>
      <c r="P170" s="129"/>
      <c r="AH170" s="50">
        <v>0</v>
      </c>
    </row>
    <row r="171" s="50" customFormat="1" ht="0.75" hidden="1" customHeight="1">
      <c r="A171" s="143"/>
      <c r="B171" s="143"/>
      <c r="C171" s="395" t="s">
        <v>1199</v>
      </c>
      <c r="D171" s="1069"/>
      <c r="E171" s="344"/>
      <c r="F171" s="79"/>
      <c r="G171" s="1068"/>
      <c r="H171" s="701"/>
      <c r="I171" s="177"/>
      <c r="J171" s="235"/>
      <c r="K171" s="701"/>
      <c r="L171" s="832"/>
      <c r="M171" s="1055"/>
      <c r="N171" s="781"/>
      <c r="O171" s="129"/>
      <c r="P171" s="129"/>
      <c r="AH171" s="50">
        <v>0</v>
      </c>
    </row>
    <row r="172" s="50" customFormat="1" ht="18.75" hidden="1" customHeight="1">
      <c r="A172" s="143" t="s">
        <v>200</v>
      </c>
      <c r="B172" s="143" t="s">
        <v>201</v>
      </c>
      <c r="C172" s="395"/>
      <c r="D172" s="1069"/>
      <c r="E172" s="344"/>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84" t="str">
        <f>INDEX(PT_DIFFERENTIATION_NTAR,MATCH(B172,PT_DIFFERENTIATION_NTAR_ID,0))</f>
        <v/>
      </c>
      <c r="H172" s="417"/>
      <c r="I172" s="1059"/>
      <c r="J172" s="1060"/>
      <c r="K172" s="433"/>
      <c r="L172" s="417" t="s">
        <v>301</v>
      </c>
      <c r="M172" s="1055"/>
      <c r="N172" s="781"/>
      <c r="O172" s="129"/>
      <c r="P172" s="129"/>
      <c r="AH172" s="50">
        <v>0</v>
      </c>
    </row>
    <row r="173" s="50" customFormat="1" ht="18.75" hidden="1" customHeight="1">
      <c r="A173" s="143"/>
      <c r="B173" s="143"/>
      <c r="C173" s="395" t="s">
        <v>1192</v>
      </c>
      <c r="D173" s="1069"/>
      <c r="E173" s="344"/>
      <c r="F173" s="79"/>
      <c r="G173" s="984"/>
      <c r="H173" s="701"/>
      <c r="I173" s="177" t="s">
        <v>1191</v>
      </c>
      <c r="J173" s="235"/>
      <c r="K173" s="701"/>
      <c r="L173" s="832"/>
      <c r="M173" s="1055"/>
      <c r="N173" s="781"/>
      <c r="O173" s="129"/>
      <c r="P173" s="129"/>
      <c r="AH173" s="50">
        <v>0</v>
      </c>
    </row>
    <row r="174" s="50" customFormat="1" ht="0.75" hidden="1" customHeight="1">
      <c r="A174" s="143"/>
      <c r="B174" s="143"/>
      <c r="C174" s="395" t="s">
        <v>1199</v>
      </c>
      <c r="D174" s="1069"/>
      <c r="E174" s="344"/>
      <c r="F174" s="79"/>
      <c r="G174" s="1068"/>
      <c r="H174" s="701"/>
      <c r="I174" s="177"/>
      <c r="J174" s="235"/>
      <c r="K174" s="701"/>
      <c r="L174" s="832"/>
      <c r="M174" s="1055"/>
      <c r="N174" s="781"/>
      <c r="O174" s="129"/>
      <c r="P174" s="129"/>
      <c r="AH174" s="50">
        <v>0</v>
      </c>
    </row>
    <row r="175" s="50" customFormat="1" ht="18.75" hidden="1" customHeight="1">
      <c r="A175" s="143" t="s">
        <v>220</v>
      </c>
      <c r="B175" s="143" t="s">
        <v>221</v>
      </c>
      <c r="C175" s="395"/>
      <c r="D175" s="1069"/>
      <c r="E175" s="344"/>
      <c r="F175" s="79" t="str">
        <f>INDEX(PT_DIFFERENTIATION_VTAR,MATCH(A175,PT_DIFFERENTIATION_VTAR_ID,0))</f>
        <v xml:space="preserve">Тариф на питьевую воду (питьевое водоснабжение)</v>
      </c>
      <c r="G175" s="984" t="str">
        <f>INDEX(PT_DIFFERENTIATION_NTAR,MATCH(B175,PT_DIFFERENTIATION_NTAR_ID,0))</f>
        <v/>
      </c>
      <c r="H175" s="417"/>
      <c r="I175" s="1059"/>
      <c r="J175" s="1060"/>
      <c r="K175" s="433"/>
      <c r="L175" s="417" t="s">
        <v>301</v>
      </c>
      <c r="M175" s="1055"/>
      <c r="N175" s="781"/>
      <c r="O175" s="129"/>
      <c r="P175" s="129"/>
      <c r="AH175" s="50">
        <v>0</v>
      </c>
    </row>
    <row r="176" s="50" customFormat="1" ht="18.75" hidden="1" customHeight="1">
      <c r="A176" s="143"/>
      <c r="B176" s="143"/>
      <c r="C176" s="395" t="s">
        <v>1192</v>
      </c>
      <c r="D176" s="1069"/>
      <c r="E176" s="344"/>
      <c r="F176" s="79"/>
      <c r="G176" s="984"/>
      <c r="H176" s="701"/>
      <c r="I176" s="177" t="s">
        <v>1191</v>
      </c>
      <c r="J176" s="235"/>
      <c r="K176" s="701"/>
      <c r="L176" s="832"/>
      <c r="M176" s="1055"/>
      <c r="N176" s="781"/>
      <c r="O176" s="129"/>
      <c r="P176" s="129"/>
      <c r="AH176" s="50">
        <v>0</v>
      </c>
    </row>
    <row r="177" s="50" customFormat="1" ht="0.75" hidden="1" customHeight="1">
      <c r="A177" s="143"/>
      <c r="B177" s="143"/>
      <c r="C177" s="395" t="s">
        <v>1199</v>
      </c>
      <c r="D177" s="1069"/>
      <c r="E177" s="344"/>
      <c r="F177" s="79"/>
      <c r="G177" s="1068"/>
      <c r="H177" s="701"/>
      <c r="I177" s="177"/>
      <c r="J177" s="235"/>
      <c r="K177" s="701"/>
      <c r="L177" s="832"/>
      <c r="M177" s="1055"/>
      <c r="N177" s="781"/>
      <c r="O177" s="129"/>
      <c r="P177" s="129"/>
      <c r="AH177" s="50">
        <v>0</v>
      </c>
    </row>
    <row r="178" s="50" customFormat="1" ht="18.75" hidden="1" customHeight="1">
      <c r="A178" s="143" t="s">
        <v>225</v>
      </c>
      <c r="B178" s="143" t="s">
        <v>226</v>
      </c>
      <c r="C178" s="395"/>
      <c r="D178" s="1069"/>
      <c r="E178" s="344"/>
      <c r="F178" s="79" t="str">
        <f>INDEX(PT_DIFFERENTIATION_VTAR,MATCH(A178,PT_DIFFERENTIATION_VTAR_ID,0))</f>
        <v xml:space="preserve">Тариф на техническую воду</v>
      </c>
      <c r="G178" s="984" t="str">
        <f>INDEX(PT_DIFFERENTIATION_NTAR,MATCH(B178,PT_DIFFERENTIATION_NTAR_ID,0))</f>
        <v/>
      </c>
      <c r="H178" s="417"/>
      <c r="I178" s="1059"/>
      <c r="J178" s="1060"/>
      <c r="K178" s="433"/>
      <c r="L178" s="417" t="s">
        <v>301</v>
      </c>
      <c r="M178" s="1055"/>
      <c r="N178" s="781"/>
      <c r="O178" s="129"/>
      <c r="P178" s="129"/>
      <c r="AH178" s="50">
        <v>0</v>
      </c>
    </row>
    <row r="179" s="50" customFormat="1" ht="18.75" hidden="1" customHeight="1">
      <c r="A179" s="143"/>
      <c r="B179" s="143"/>
      <c r="C179" s="395" t="s">
        <v>1192</v>
      </c>
      <c r="D179" s="1069"/>
      <c r="E179" s="344"/>
      <c r="F179" s="79"/>
      <c r="G179" s="984"/>
      <c r="H179" s="701"/>
      <c r="I179" s="177" t="s">
        <v>1191</v>
      </c>
      <c r="J179" s="235"/>
      <c r="K179" s="701"/>
      <c r="L179" s="832"/>
      <c r="M179" s="1055"/>
      <c r="N179" s="781"/>
      <c r="O179" s="129"/>
      <c r="P179" s="129"/>
      <c r="AH179" s="50">
        <v>0</v>
      </c>
    </row>
    <row r="180" s="50" customFormat="1" ht="0.75" hidden="1" customHeight="1">
      <c r="A180" s="143"/>
      <c r="B180" s="143"/>
      <c r="C180" s="395" t="s">
        <v>1199</v>
      </c>
      <c r="D180" s="1069"/>
      <c r="E180" s="344"/>
      <c r="F180" s="79"/>
      <c r="G180" s="1068"/>
      <c r="H180" s="701"/>
      <c r="I180" s="177"/>
      <c r="J180" s="235"/>
      <c r="K180" s="701"/>
      <c r="L180" s="832"/>
      <c r="M180" s="1055"/>
      <c r="N180" s="781"/>
      <c r="O180" s="129"/>
      <c r="P180" s="129"/>
      <c r="AH180" s="50">
        <v>0</v>
      </c>
    </row>
    <row r="181" s="50" customFormat="1" ht="18.75" hidden="1" customHeight="1">
      <c r="A181" s="143" t="s">
        <v>230</v>
      </c>
      <c r="B181" s="143" t="s">
        <v>231</v>
      </c>
      <c r="C181" s="395"/>
      <c r="D181" s="1069"/>
      <c r="E181" s="344"/>
      <c r="F181" s="79" t="str">
        <f>INDEX(PT_DIFFERENTIATION_VTAR,MATCH(A181,PT_DIFFERENTIATION_VTAR_ID,0))</f>
        <v xml:space="preserve">Тариф на транспортировку воды</v>
      </c>
      <c r="G181" s="984" t="str">
        <f>INDEX(PT_DIFFERENTIATION_NTAR,MATCH(B181,PT_DIFFERENTIATION_NTAR_ID,0))</f>
        <v/>
      </c>
      <c r="H181" s="417"/>
      <c r="I181" s="1059"/>
      <c r="J181" s="1060"/>
      <c r="K181" s="433"/>
      <c r="L181" s="417" t="s">
        <v>301</v>
      </c>
      <c r="M181" s="1055"/>
      <c r="N181" s="781"/>
      <c r="O181" s="129"/>
      <c r="P181" s="129"/>
      <c r="AH181" s="50">
        <v>0</v>
      </c>
    </row>
    <row r="182" s="50" customFormat="1" ht="18.75" hidden="1" customHeight="1">
      <c r="A182" s="143"/>
      <c r="B182" s="143"/>
      <c r="C182" s="395" t="s">
        <v>1192</v>
      </c>
      <c r="D182" s="1069"/>
      <c r="E182" s="344"/>
      <c r="F182" s="79"/>
      <c r="G182" s="984"/>
      <c r="H182" s="701"/>
      <c r="I182" s="177" t="s">
        <v>1191</v>
      </c>
      <c r="J182" s="235"/>
      <c r="K182" s="701"/>
      <c r="L182" s="832"/>
      <c r="M182" s="1055"/>
      <c r="N182" s="781"/>
      <c r="O182" s="129"/>
      <c r="P182" s="129"/>
      <c r="AH182" s="50">
        <v>0</v>
      </c>
    </row>
    <row r="183" s="50" customFormat="1" ht="0.75" hidden="1" customHeight="1">
      <c r="A183" s="143"/>
      <c r="B183" s="143"/>
      <c r="C183" s="395" t="s">
        <v>1199</v>
      </c>
      <c r="D183" s="1069"/>
      <c r="E183" s="344"/>
      <c r="F183" s="79"/>
      <c r="G183" s="1068"/>
      <c r="H183" s="701"/>
      <c r="I183" s="177"/>
      <c r="J183" s="235"/>
      <c r="K183" s="701"/>
      <c r="L183" s="832"/>
      <c r="M183" s="1055"/>
      <c r="N183" s="781"/>
      <c r="O183" s="129"/>
      <c r="P183" s="129"/>
      <c r="AH183" s="50">
        <v>0</v>
      </c>
    </row>
    <row r="184" s="50" customFormat="1" ht="18.75" hidden="1" customHeight="1">
      <c r="A184" s="143" t="s">
        <v>235</v>
      </c>
      <c r="B184" s="143" t="s">
        <v>236</v>
      </c>
      <c r="C184" s="395"/>
      <c r="D184" s="1069"/>
      <c r="E184" s="344"/>
      <c r="F184" s="79" t="str">
        <f>INDEX(PT_DIFFERENTIATION_VTAR,MATCH(A184,PT_DIFFERENTIATION_VTAR_ID,0))</f>
        <v xml:space="preserve">Тариф на подвоз воды</v>
      </c>
      <c r="G184" s="984" t="str">
        <f>INDEX(PT_DIFFERENTIATION_NTAR,MATCH(B184,PT_DIFFERENTIATION_NTAR_ID,0))</f>
        <v/>
      </c>
      <c r="H184" s="417"/>
      <c r="I184" s="1059"/>
      <c r="J184" s="1060"/>
      <c r="K184" s="433"/>
      <c r="L184" s="417" t="s">
        <v>301</v>
      </c>
      <c r="M184" s="1055"/>
      <c r="N184" s="781"/>
      <c r="O184" s="129"/>
      <c r="P184" s="129"/>
      <c r="AH184" s="50">
        <v>0</v>
      </c>
    </row>
    <row r="185" s="50" customFormat="1" ht="18.75" hidden="1" customHeight="1">
      <c r="A185" s="143"/>
      <c r="B185" s="143"/>
      <c r="C185" s="395" t="s">
        <v>1192</v>
      </c>
      <c r="D185" s="1069"/>
      <c r="E185" s="344"/>
      <c r="F185" s="79"/>
      <c r="G185" s="984"/>
      <c r="H185" s="701"/>
      <c r="I185" s="177" t="s">
        <v>1191</v>
      </c>
      <c r="J185" s="235"/>
      <c r="K185" s="701"/>
      <c r="L185" s="832"/>
      <c r="M185" s="1055"/>
      <c r="N185" s="781"/>
      <c r="O185" s="129"/>
      <c r="P185" s="129"/>
      <c r="AH185" s="50">
        <v>0</v>
      </c>
    </row>
    <row r="186" s="50" customFormat="1" ht="0.75" hidden="1" customHeight="1">
      <c r="A186" s="143"/>
      <c r="B186" s="143"/>
      <c r="C186" s="395" t="s">
        <v>1199</v>
      </c>
      <c r="D186" s="1069"/>
      <c r="E186" s="344"/>
      <c r="F186" s="79"/>
      <c r="G186" s="1068"/>
      <c r="H186" s="701"/>
      <c r="I186" s="177"/>
      <c r="J186" s="235"/>
      <c r="K186" s="701"/>
      <c r="L186" s="832"/>
      <c r="M186" s="1055"/>
      <c r="N186" s="781"/>
      <c r="O186" s="129"/>
      <c r="P186" s="129"/>
      <c r="AH186" s="50">
        <v>0</v>
      </c>
    </row>
    <row r="187" s="50" customFormat="1" ht="18.75" hidden="1" customHeight="1">
      <c r="A187" s="143" t="s">
        <v>240</v>
      </c>
      <c r="B187" s="143" t="s">
        <v>241</v>
      </c>
      <c r="C187" s="395"/>
      <c r="D187" s="1069"/>
      <c r="E187" s="344"/>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84" t="str">
        <f>INDEX(PT_DIFFERENTIATION_NTAR,MATCH(B187,PT_DIFFERENTIATION_NTAR_ID,0))</f>
        <v/>
      </c>
      <c r="H187" s="417"/>
      <c r="I187" s="1059"/>
      <c r="J187" s="1060"/>
      <c r="K187" s="433"/>
      <c r="L187" s="417" t="s">
        <v>301</v>
      </c>
      <c r="M187" s="1055"/>
      <c r="N187" s="781"/>
      <c r="O187" s="129"/>
      <c r="P187" s="129"/>
      <c r="AH187" s="50">
        <v>0</v>
      </c>
    </row>
    <row r="188" s="50" customFormat="1" ht="18.75" hidden="1" customHeight="1">
      <c r="A188" s="143"/>
      <c r="B188" s="143"/>
      <c r="C188" s="395" t="s">
        <v>1192</v>
      </c>
      <c r="D188" s="1069"/>
      <c r="E188" s="344"/>
      <c r="F188" s="79"/>
      <c r="G188" s="984"/>
      <c r="H188" s="701"/>
      <c r="I188" s="177" t="s">
        <v>1191</v>
      </c>
      <c r="J188" s="235"/>
      <c r="K188" s="701"/>
      <c r="L188" s="832"/>
      <c r="M188" s="1055"/>
      <c r="N188" s="781"/>
      <c r="O188" s="129"/>
      <c r="P188" s="129"/>
      <c r="AH188" s="50">
        <v>0</v>
      </c>
    </row>
    <row r="189" s="50" customFormat="1" ht="0.75" hidden="1" customHeight="1">
      <c r="A189" s="143"/>
      <c r="B189" s="143"/>
      <c r="C189" s="395" t="s">
        <v>1199</v>
      </c>
      <c r="D189" s="1069"/>
      <c r="E189" s="344"/>
      <c r="F189" s="79"/>
      <c r="G189" s="1068"/>
      <c r="H189" s="701"/>
      <c r="I189" s="177"/>
      <c r="J189" s="235"/>
      <c r="K189" s="701"/>
      <c r="L189" s="832"/>
      <c r="M189" s="1055"/>
      <c r="N189" s="781"/>
      <c r="O189" s="129"/>
      <c r="P189" s="129"/>
      <c r="AH189" s="50">
        <v>0</v>
      </c>
    </row>
    <row r="190" s="50" customFormat="1" ht="18.75" hidden="1" customHeight="1">
      <c r="A190" s="143" t="s">
        <v>245</v>
      </c>
      <c r="B190" s="143" t="s">
        <v>246</v>
      </c>
      <c r="C190" s="395"/>
      <c r="D190" s="1069"/>
      <c r="E190" s="344"/>
      <c r="F190" s="79" t="str">
        <f>INDEX(PT_DIFFERENTIATION_VTAR,MATCH(A190,PT_DIFFERENTIATION_VTAR_ID,0))</f>
        <v xml:space="preserve">Тариф на горячую воду (горячее водоснабжение)</v>
      </c>
      <c r="G190" s="984" t="str">
        <f>INDEX(PT_DIFFERENTIATION_NTAR,MATCH(B190,PT_DIFFERENTIATION_NTAR_ID,0))</f>
        <v/>
      </c>
      <c r="H190" s="417"/>
      <c r="I190" s="1059"/>
      <c r="J190" s="1060"/>
      <c r="K190" s="433"/>
      <c r="L190" s="417" t="s">
        <v>301</v>
      </c>
      <c r="M190" s="1055"/>
      <c r="N190" s="781"/>
      <c r="O190" s="129"/>
      <c r="P190" s="129"/>
      <c r="AH190" s="50">
        <v>0</v>
      </c>
    </row>
    <row r="191" s="50" customFormat="1" ht="18.75" hidden="1" customHeight="1">
      <c r="A191" s="143"/>
      <c r="B191" s="143"/>
      <c r="C191" s="395" t="s">
        <v>1192</v>
      </c>
      <c r="D191" s="1069"/>
      <c r="E191" s="344"/>
      <c r="F191" s="79"/>
      <c r="G191" s="984"/>
      <c r="H191" s="701"/>
      <c r="I191" s="177" t="s">
        <v>1191</v>
      </c>
      <c r="J191" s="235"/>
      <c r="K191" s="701"/>
      <c r="L191" s="832"/>
      <c r="M191" s="1055"/>
      <c r="N191" s="781"/>
      <c r="O191" s="129"/>
      <c r="P191" s="129"/>
      <c r="AH191" s="50">
        <v>0</v>
      </c>
    </row>
    <row r="192" s="50" customFormat="1" ht="0.75" hidden="1" customHeight="1">
      <c r="A192" s="143"/>
      <c r="B192" s="143"/>
      <c r="C192" s="395" t="s">
        <v>1199</v>
      </c>
      <c r="D192" s="1069"/>
      <c r="E192" s="344"/>
      <c r="F192" s="79"/>
      <c r="G192" s="1068"/>
      <c r="H192" s="701"/>
      <c r="I192" s="177"/>
      <c r="J192" s="235"/>
      <c r="K192" s="701"/>
      <c r="L192" s="832"/>
      <c r="M192" s="1055"/>
      <c r="N192" s="781"/>
      <c r="O192" s="129"/>
      <c r="P192" s="129"/>
      <c r="AH192" s="50">
        <v>0</v>
      </c>
    </row>
    <row r="193" s="50" customFormat="1" ht="18.75" hidden="1" customHeight="1">
      <c r="A193" s="143" t="s">
        <v>250</v>
      </c>
      <c r="B193" s="143" t="s">
        <v>251</v>
      </c>
      <c r="C193" s="395"/>
      <c r="D193" s="1069"/>
      <c r="E193" s="344"/>
      <c r="F193" s="79" t="str">
        <f>INDEX(PT_DIFFERENTIATION_VTAR,MATCH(A193,PT_DIFFERENTIATION_VTAR_ID,0))</f>
        <v xml:space="preserve">Тариф на транспортировку горячей воды</v>
      </c>
      <c r="G193" s="984" t="str">
        <f>INDEX(PT_DIFFERENTIATION_NTAR,MATCH(B193,PT_DIFFERENTIATION_NTAR_ID,0))</f>
        <v/>
      </c>
      <c r="H193" s="417"/>
      <c r="I193" s="1059"/>
      <c r="J193" s="1060"/>
      <c r="K193" s="433"/>
      <c r="L193" s="417" t="s">
        <v>301</v>
      </c>
      <c r="M193" s="1055"/>
      <c r="N193" s="781"/>
      <c r="O193" s="129"/>
      <c r="P193" s="129"/>
      <c r="AH193" s="50">
        <v>0</v>
      </c>
    </row>
    <row r="194" s="50" customFormat="1" ht="18.75" hidden="1" customHeight="1">
      <c r="A194" s="143"/>
      <c r="B194" s="143"/>
      <c r="C194" s="395" t="s">
        <v>1192</v>
      </c>
      <c r="D194" s="1069"/>
      <c r="E194" s="344"/>
      <c r="F194" s="79"/>
      <c r="G194" s="984"/>
      <c r="H194" s="701"/>
      <c r="I194" s="177" t="s">
        <v>1191</v>
      </c>
      <c r="J194" s="235"/>
      <c r="K194" s="701"/>
      <c r="L194" s="832"/>
      <c r="M194" s="1055"/>
      <c r="N194" s="781"/>
      <c r="O194" s="129"/>
      <c r="P194" s="129"/>
      <c r="AH194" s="50">
        <v>0</v>
      </c>
    </row>
    <row r="195" s="50" customFormat="1" ht="0.75" hidden="1" customHeight="1">
      <c r="A195" s="143"/>
      <c r="B195" s="143"/>
      <c r="C195" s="395" t="s">
        <v>1199</v>
      </c>
      <c r="D195" s="1069"/>
      <c r="E195" s="344"/>
      <c r="F195" s="79"/>
      <c r="G195" s="1068"/>
      <c r="H195" s="701"/>
      <c r="I195" s="177"/>
      <c r="J195" s="235"/>
      <c r="K195" s="701"/>
      <c r="L195" s="832"/>
      <c r="M195" s="1055"/>
      <c r="N195" s="781"/>
      <c r="O195" s="129"/>
      <c r="P195" s="129"/>
      <c r="AH195" s="50">
        <v>0</v>
      </c>
    </row>
    <row r="196" s="50" customFormat="1" ht="18.75" hidden="1" customHeight="1">
      <c r="A196" s="143" t="s">
        <v>255</v>
      </c>
      <c r="B196" s="143" t="s">
        <v>256</v>
      </c>
      <c r="C196" s="395"/>
      <c r="D196" s="1069"/>
      <c r="E196" s="344"/>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84" t="str">
        <f>INDEX(PT_DIFFERENTIATION_NTAR,MATCH(B196,PT_DIFFERENTIATION_NTAR_ID,0))</f>
        <v/>
      </c>
      <c r="H196" s="417"/>
      <c r="I196" s="1059"/>
      <c r="J196" s="1060"/>
      <c r="K196" s="433"/>
      <c r="L196" s="417" t="s">
        <v>301</v>
      </c>
      <c r="M196" s="1055"/>
      <c r="N196" s="781"/>
      <c r="O196" s="129"/>
      <c r="P196" s="129"/>
      <c r="AH196" s="50">
        <v>0</v>
      </c>
    </row>
    <row r="197" s="50" customFormat="1" ht="18.75" hidden="1" customHeight="1">
      <c r="A197" s="143"/>
      <c r="B197" s="143"/>
      <c r="C197" s="395" t="s">
        <v>1192</v>
      </c>
      <c r="D197" s="1069"/>
      <c r="E197" s="344"/>
      <c r="F197" s="79"/>
      <c r="G197" s="984"/>
      <c r="H197" s="701"/>
      <c r="I197" s="177" t="s">
        <v>1191</v>
      </c>
      <c r="J197" s="235"/>
      <c r="K197" s="701"/>
      <c r="L197" s="832"/>
      <c r="M197" s="1055"/>
      <c r="N197" s="781"/>
      <c r="O197" s="129"/>
      <c r="P197" s="129"/>
      <c r="AH197" s="50">
        <v>0</v>
      </c>
    </row>
    <row r="198" s="50" customFormat="1" ht="0.75" hidden="1" customHeight="1">
      <c r="A198" s="143"/>
      <c r="B198" s="143"/>
      <c r="C198" s="395" t="s">
        <v>1199</v>
      </c>
      <c r="D198" s="1069"/>
      <c r="E198" s="344"/>
      <c r="F198" s="79"/>
      <c r="G198" s="1068"/>
      <c r="H198" s="701"/>
      <c r="I198" s="177"/>
      <c r="J198" s="235"/>
      <c r="K198" s="701"/>
      <c r="L198" s="832"/>
      <c r="M198" s="1055"/>
      <c r="N198" s="781"/>
      <c r="O198" s="129"/>
      <c r="P198" s="129"/>
      <c r="AH198" s="50">
        <v>0</v>
      </c>
    </row>
    <row r="199" s="50" customFormat="1" ht="18.75" hidden="1" customHeight="1">
      <c r="A199" s="143" t="s">
        <v>260</v>
      </c>
      <c r="B199" s="143" t="s">
        <v>261</v>
      </c>
      <c r="C199" s="395"/>
      <c r="D199" s="1069"/>
      <c r="E199" s="344"/>
      <c r="F199" s="79" t="str">
        <f>INDEX(PT_DIFFERENTIATION_VTAR,MATCH(A199,PT_DIFFERENTIATION_VTAR_ID,0))</f>
        <v xml:space="preserve">Тариф на водоотведение</v>
      </c>
      <c r="G199" s="984" t="str">
        <f>INDEX(PT_DIFFERENTIATION_NTAR,MATCH(B199,PT_DIFFERENTIATION_NTAR_ID,0))</f>
        <v/>
      </c>
      <c r="H199" s="417"/>
      <c r="I199" s="1059"/>
      <c r="J199" s="1060"/>
      <c r="K199" s="433"/>
      <c r="L199" s="417" t="s">
        <v>301</v>
      </c>
      <c r="M199" s="1055"/>
      <c r="N199" s="781"/>
      <c r="O199" s="129"/>
      <c r="P199" s="129"/>
      <c r="AH199" s="50">
        <v>0</v>
      </c>
    </row>
    <row r="200" s="50" customFormat="1" ht="18.75" hidden="1" customHeight="1">
      <c r="A200" s="143"/>
      <c r="B200" s="143"/>
      <c r="C200" s="395" t="s">
        <v>1192</v>
      </c>
      <c r="D200" s="1069"/>
      <c r="E200" s="344"/>
      <c r="F200" s="79"/>
      <c r="G200" s="984"/>
      <c r="H200" s="701"/>
      <c r="I200" s="177" t="s">
        <v>1191</v>
      </c>
      <c r="J200" s="235"/>
      <c r="K200" s="701"/>
      <c r="L200" s="832"/>
      <c r="M200" s="1055"/>
      <c r="N200" s="781"/>
      <c r="O200" s="129"/>
      <c r="P200" s="129"/>
      <c r="AH200" s="50">
        <v>0</v>
      </c>
    </row>
    <row r="201" s="50" customFormat="1" ht="0.75" hidden="1" customHeight="1">
      <c r="A201" s="143"/>
      <c r="B201" s="143"/>
      <c r="C201" s="395" t="s">
        <v>1199</v>
      </c>
      <c r="D201" s="1069"/>
      <c r="E201" s="344"/>
      <c r="F201" s="79"/>
      <c r="G201" s="1068"/>
      <c r="H201" s="701"/>
      <c r="I201" s="177"/>
      <c r="J201" s="235"/>
      <c r="K201" s="701"/>
      <c r="L201" s="832"/>
      <c r="M201" s="1055"/>
      <c r="N201" s="781"/>
      <c r="O201" s="129"/>
      <c r="P201" s="129"/>
      <c r="AH201" s="50">
        <v>0</v>
      </c>
    </row>
    <row r="202" s="50" customFormat="1" ht="18.75" hidden="1" customHeight="1">
      <c r="A202" s="143" t="s">
        <v>265</v>
      </c>
      <c r="B202" s="143" t="s">
        <v>266</v>
      </c>
      <c r="C202" s="395"/>
      <c r="D202" s="1069"/>
      <c r="E202" s="344"/>
      <c r="F202" s="79" t="str">
        <f>INDEX(PT_DIFFERENTIATION_VTAR,MATCH(A202,PT_DIFFERENTIATION_VTAR_ID,0))</f>
        <v xml:space="preserve">Тариф на транспортировку сточных вод</v>
      </c>
      <c r="G202" s="984" t="str">
        <f>INDEX(PT_DIFFERENTIATION_NTAR,MATCH(B202,PT_DIFFERENTIATION_NTAR_ID,0))</f>
        <v/>
      </c>
      <c r="H202" s="417"/>
      <c r="I202" s="1059"/>
      <c r="J202" s="1060"/>
      <c r="K202" s="433"/>
      <c r="L202" s="417" t="s">
        <v>301</v>
      </c>
      <c r="M202" s="1055"/>
      <c r="N202" s="781"/>
      <c r="O202" s="129"/>
      <c r="P202" s="129"/>
      <c r="AH202" s="50">
        <v>0</v>
      </c>
    </row>
    <row r="203" s="50" customFormat="1" ht="18.75" hidden="1" customHeight="1">
      <c r="A203" s="143"/>
      <c r="B203" s="143"/>
      <c r="C203" s="395" t="s">
        <v>1192</v>
      </c>
      <c r="D203" s="1069"/>
      <c r="E203" s="344"/>
      <c r="F203" s="79"/>
      <c r="G203" s="984"/>
      <c r="H203" s="701"/>
      <c r="I203" s="177" t="s">
        <v>1191</v>
      </c>
      <c r="J203" s="235"/>
      <c r="K203" s="701"/>
      <c r="L203" s="832"/>
      <c r="M203" s="1055"/>
      <c r="N203" s="781"/>
      <c r="O203" s="129"/>
      <c r="P203" s="129"/>
      <c r="AH203" s="50">
        <v>0</v>
      </c>
    </row>
    <row r="204" s="50" customFormat="1" ht="0.75" hidden="1" customHeight="1">
      <c r="A204" s="143"/>
      <c r="B204" s="143"/>
      <c r="C204" s="395" t="s">
        <v>1199</v>
      </c>
      <c r="D204" s="1069"/>
      <c r="E204" s="344"/>
      <c r="F204" s="79"/>
      <c r="G204" s="1068"/>
      <c r="H204" s="701"/>
      <c r="I204" s="177"/>
      <c r="J204" s="235"/>
      <c r="K204" s="701"/>
      <c r="L204" s="832"/>
      <c r="M204" s="1055"/>
      <c r="N204" s="781"/>
      <c r="O204" s="129"/>
      <c r="P204" s="129"/>
      <c r="AH204" s="50">
        <v>0</v>
      </c>
    </row>
    <row r="205" s="50" customFormat="1" ht="18.75" hidden="1" customHeight="1">
      <c r="A205" s="143" t="s">
        <v>270</v>
      </c>
      <c r="B205" s="143" t="s">
        <v>271</v>
      </c>
      <c r="C205" s="395"/>
      <c r="D205" s="1069"/>
      <c r="E205" s="344"/>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84" t="str">
        <f>INDEX(PT_DIFFERENTIATION_NTAR,MATCH(B205,PT_DIFFERENTIATION_NTAR_ID,0))</f>
        <v/>
      </c>
      <c r="H205" s="417"/>
      <c r="I205" s="1059"/>
      <c r="J205" s="1060"/>
      <c r="K205" s="433"/>
      <c r="L205" s="417" t="s">
        <v>301</v>
      </c>
      <c r="M205" s="1055"/>
      <c r="N205" s="781"/>
      <c r="O205" s="129"/>
      <c r="P205" s="129"/>
      <c r="AH205" s="50">
        <v>0</v>
      </c>
    </row>
    <row r="206" s="50" customFormat="1" ht="18.75" hidden="1" customHeight="1">
      <c r="A206" s="143"/>
      <c r="B206" s="143"/>
      <c r="C206" s="395" t="s">
        <v>1192</v>
      </c>
      <c r="D206" s="1069"/>
      <c r="E206" s="344"/>
      <c r="F206" s="79"/>
      <c r="G206" s="984"/>
      <c r="H206" s="701"/>
      <c r="I206" s="177" t="s">
        <v>1191</v>
      </c>
      <c r="J206" s="235"/>
      <c r="K206" s="701"/>
      <c r="L206" s="832"/>
      <c r="M206" s="1055"/>
      <c r="N206" s="781"/>
      <c r="O206" s="129"/>
      <c r="P206" s="129"/>
      <c r="AH206" s="50">
        <v>0</v>
      </c>
    </row>
    <row r="207" s="50" customFormat="1" ht="1.05" customHeight="1">
      <c r="A207" s="143"/>
      <c r="B207" s="143"/>
      <c r="C207" s="395" t="s">
        <v>1199</v>
      </c>
      <c r="D207" s="1069"/>
      <c r="E207" s="344"/>
      <c r="F207" s="79"/>
      <c r="G207" s="1068"/>
      <c r="H207" s="701"/>
      <c r="I207" s="177"/>
      <c r="J207" s="235"/>
      <c r="K207" s="701"/>
      <c r="L207" s="832"/>
      <c r="M207" s="1055"/>
      <c r="N207" s="781"/>
      <c r="O207" s="129"/>
      <c r="P207" s="129"/>
      <c r="AH207" s="50">
        <v>1</v>
      </c>
    </row>
    <row r="208" ht="27.300000000000001" customHeight="1">
      <c r="A208" s="143"/>
      <c r="B208" s="143"/>
      <c r="D208" s="539"/>
      <c r="E208" s="344" t="s">
        <v>108</v>
      </c>
      <c r="F208" s="8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30"/>
      <c r="H208" s="830"/>
      <c r="I208" s="830"/>
      <c r="J208" s="830"/>
      <c r="K208" s="830"/>
      <c r="L208" s="830"/>
      <c r="M208" s="822"/>
      <c r="N208" s="781"/>
      <c r="AH208" s="50">
        <v>26</v>
      </c>
    </row>
    <row r="209" s="50" customFormat="1" ht="60.75" hidden="1" customHeight="1">
      <c r="A209" s="143" t="s">
        <v>152</v>
      </c>
      <c r="B209" s="143" t="s">
        <v>153</v>
      </c>
      <c r="C209" s="395"/>
      <c r="D209" s="1069"/>
      <c r="E209" s="344"/>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84" t="str">
        <f>INDEX(PT_DIFFERENTIATION_NTAR,MATCH(B209,PT_DIFFERENTIATION_NTAR_ID,0))</f>
        <v/>
      </c>
      <c r="H209" s="417"/>
      <c r="I209" s="1059"/>
      <c r="J209" s="1060"/>
      <c r="K209" s="433"/>
      <c r="L209" s="417" t="s">
        <v>301</v>
      </c>
      <c r="M209"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781"/>
      <c r="O209" s="129"/>
      <c r="P209" s="129"/>
      <c r="AH209" s="50">
        <v>0</v>
      </c>
    </row>
    <row r="210" s="50" customFormat="1" ht="18.75" hidden="1" customHeight="1">
      <c r="A210" s="143"/>
      <c r="B210" s="143"/>
      <c r="C210" s="395" t="s">
        <v>1192</v>
      </c>
      <c r="D210" s="1069"/>
      <c r="E210" s="344"/>
      <c r="F210" s="79"/>
      <c r="G210" s="984"/>
      <c r="H210" s="701"/>
      <c r="I210" s="177" t="s">
        <v>1191</v>
      </c>
      <c r="J210" s="235"/>
      <c r="K210" s="701"/>
      <c r="L210" s="832"/>
      <c r="M210" s="287"/>
      <c r="N210" s="781"/>
      <c r="O210" s="129"/>
      <c r="P210" s="129"/>
      <c r="AH210" s="50">
        <v>0</v>
      </c>
    </row>
    <row r="211" s="50" customFormat="1" ht="0.75" hidden="1" customHeight="1">
      <c r="A211" s="143"/>
      <c r="B211" s="143"/>
      <c r="C211" s="395" t="s">
        <v>1199</v>
      </c>
      <c r="D211" s="1069"/>
      <c r="E211" s="344"/>
      <c r="F211" s="79"/>
      <c r="G211" s="1068"/>
      <c r="H211" s="701"/>
      <c r="I211" s="177"/>
      <c r="J211" s="235"/>
      <c r="K211" s="701"/>
      <c r="L211" s="832"/>
      <c r="M211" s="287"/>
      <c r="N211" s="781"/>
      <c r="O211" s="129"/>
      <c r="P211" s="129"/>
      <c r="AH211" s="50">
        <v>0</v>
      </c>
    </row>
    <row r="212" s="50" customFormat="1" ht="45" hidden="1" customHeight="1">
      <c r="A212" s="143" t="s">
        <v>157</v>
      </c>
      <c r="B212" s="143" t="s">
        <v>158</v>
      </c>
      <c r="C212" s="395"/>
      <c r="D212" s="1069"/>
      <c r="E212" s="344"/>
      <c r="F212" s="79" t="str">
        <f>INDEX(PT_DIFFERENTIATION_VTAR,MATCH(A212,PT_DIFFERENTIATION_VTAR_ID,0))</f>
        <v/>
      </c>
      <c r="G212" s="984" t="str">
        <f>INDEX(PT_DIFFERENTIATION_NTAR,MATCH(B212,PT_DIFFERENTIATION_NTAR_ID,0))</f>
        <v/>
      </c>
      <c r="H212" s="417"/>
      <c r="I212" s="1059"/>
      <c r="J212" s="1060"/>
      <c r="K212" s="433"/>
      <c r="L212" s="417" t="s">
        <v>301</v>
      </c>
      <c r="M212" s="289"/>
      <c r="N212" s="781"/>
      <c r="O212" s="129"/>
      <c r="P212" s="129"/>
      <c r="AH212" s="50">
        <v>0</v>
      </c>
    </row>
    <row r="213" s="50" customFormat="1" ht="18.75" hidden="1" customHeight="1">
      <c r="A213" s="143"/>
      <c r="B213" s="143"/>
      <c r="C213" s="395" t="s">
        <v>1192</v>
      </c>
      <c r="D213" s="1069"/>
      <c r="E213" s="344"/>
      <c r="F213" s="79"/>
      <c r="G213" s="984"/>
      <c r="H213" s="701"/>
      <c r="I213" s="177" t="s">
        <v>1191</v>
      </c>
      <c r="J213" s="235"/>
      <c r="K213" s="701"/>
      <c r="L213" s="832"/>
      <c r="M213" s="287"/>
      <c r="N213" s="781"/>
      <c r="O213" s="129"/>
      <c r="P213" s="129"/>
      <c r="AH213" s="50">
        <v>0</v>
      </c>
    </row>
    <row r="214" s="50" customFormat="1" ht="0.75" hidden="1" customHeight="1">
      <c r="A214" s="143"/>
      <c r="B214" s="143"/>
      <c r="C214" s="395" t="s">
        <v>1199</v>
      </c>
      <c r="D214" s="1069"/>
      <c r="E214" s="344"/>
      <c r="F214" s="79"/>
      <c r="G214" s="1068"/>
      <c r="H214" s="701"/>
      <c r="I214" s="177"/>
      <c r="J214" s="235"/>
      <c r="K214" s="701"/>
      <c r="L214" s="832"/>
      <c r="M214" s="1055"/>
      <c r="N214" s="781"/>
      <c r="O214" s="129"/>
      <c r="P214" s="129"/>
      <c r="AH214" s="50">
        <v>0</v>
      </c>
    </row>
    <row r="215" s="50" customFormat="1" ht="45" hidden="1" customHeight="1">
      <c r="A215" s="143" t="s">
        <v>164</v>
      </c>
      <c r="B215" s="143" t="s">
        <v>165</v>
      </c>
      <c r="C215" s="395"/>
      <c r="D215" s="1069"/>
      <c r="E215" s="344"/>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84" t="str">
        <f>INDEX(PT_DIFFERENTIATION_NTAR,MATCH(B215,PT_DIFFERENTIATION_NTAR_ID,0))</f>
        <v/>
      </c>
      <c r="H215" s="417"/>
      <c r="I215" s="1059"/>
      <c r="J215" s="1060"/>
      <c r="K215" s="433"/>
      <c r="L215" s="417" t="s">
        <v>301</v>
      </c>
      <c r="M215" s="1055"/>
      <c r="N215" s="781"/>
      <c r="O215" s="129"/>
      <c r="P215" s="129"/>
      <c r="AH215" s="50">
        <v>0</v>
      </c>
    </row>
    <row r="216" s="50" customFormat="1" ht="18.75" hidden="1" customHeight="1">
      <c r="A216" s="143"/>
      <c r="B216" s="143"/>
      <c r="C216" s="395" t="s">
        <v>1192</v>
      </c>
      <c r="D216" s="1069"/>
      <c r="E216" s="344"/>
      <c r="F216" s="79"/>
      <c r="G216" s="984"/>
      <c r="H216" s="701"/>
      <c r="I216" s="177" t="s">
        <v>1191</v>
      </c>
      <c r="J216" s="235"/>
      <c r="K216" s="701"/>
      <c r="L216" s="832"/>
      <c r="M216" s="1055"/>
      <c r="N216" s="781"/>
      <c r="O216" s="129"/>
      <c r="P216" s="129"/>
      <c r="AH216" s="50">
        <v>0</v>
      </c>
    </row>
    <row r="217" s="50" customFormat="1" ht="0.75" hidden="1" customHeight="1">
      <c r="A217" s="143"/>
      <c r="B217" s="143"/>
      <c r="C217" s="395" t="s">
        <v>1199</v>
      </c>
      <c r="D217" s="1069"/>
      <c r="E217" s="344"/>
      <c r="F217" s="79"/>
      <c r="G217" s="1068"/>
      <c r="H217" s="701"/>
      <c r="I217" s="177"/>
      <c r="J217" s="235"/>
      <c r="K217" s="701"/>
      <c r="L217" s="832"/>
      <c r="M217" s="1055"/>
      <c r="N217" s="781"/>
      <c r="O217" s="129"/>
      <c r="P217" s="129"/>
      <c r="AH217" s="50">
        <v>0</v>
      </c>
    </row>
    <row r="218" s="50" customFormat="1" ht="45" hidden="1" customHeight="1">
      <c r="A218" s="143" t="s">
        <v>170</v>
      </c>
      <c r="B218" s="143" t="s">
        <v>171</v>
      </c>
      <c r="C218" s="395"/>
      <c r="D218" s="1069"/>
      <c r="E218" s="344"/>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84" t="str">
        <f>INDEX(PT_DIFFERENTIATION_NTAR,MATCH(B218,PT_DIFFERENTIATION_NTAR_ID,0))</f>
        <v/>
      </c>
      <c r="H218" s="417"/>
      <c r="I218" s="1059"/>
      <c r="J218" s="1060"/>
      <c r="K218" s="433"/>
      <c r="L218" s="417" t="s">
        <v>301</v>
      </c>
      <c r="M218" s="1055"/>
      <c r="N218" s="781"/>
      <c r="O218" s="129"/>
      <c r="P218" s="129"/>
      <c r="AH218" s="50">
        <v>0</v>
      </c>
    </row>
    <row r="219" s="50" customFormat="1" ht="18.75" hidden="1" customHeight="1">
      <c r="A219" s="143"/>
      <c r="B219" s="143"/>
      <c r="C219" s="395" t="s">
        <v>1192</v>
      </c>
      <c r="D219" s="1069"/>
      <c r="E219" s="344"/>
      <c r="F219" s="79"/>
      <c r="G219" s="984"/>
      <c r="H219" s="701"/>
      <c r="I219" s="177" t="s">
        <v>1191</v>
      </c>
      <c r="J219" s="235"/>
      <c r="K219" s="701"/>
      <c r="L219" s="832"/>
      <c r="M219" s="1055"/>
      <c r="N219" s="781"/>
      <c r="O219" s="129"/>
      <c r="P219" s="129"/>
      <c r="AH219" s="50">
        <v>0</v>
      </c>
    </row>
    <row r="220" s="50" customFormat="1" ht="0.75" hidden="1" customHeight="1">
      <c r="A220" s="143"/>
      <c r="B220" s="143"/>
      <c r="C220" s="395" t="s">
        <v>1199</v>
      </c>
      <c r="D220" s="1069"/>
      <c r="E220" s="344"/>
      <c r="F220" s="79"/>
      <c r="G220" s="1068"/>
      <c r="H220" s="701"/>
      <c r="I220" s="177"/>
      <c r="J220" s="235"/>
      <c r="K220" s="701"/>
      <c r="L220" s="832"/>
      <c r="M220" s="1055"/>
      <c r="N220" s="781"/>
      <c r="O220" s="129"/>
      <c r="P220" s="129"/>
      <c r="AH220" s="50">
        <v>0</v>
      </c>
    </row>
    <row r="221" s="50" customFormat="1" ht="18.75" hidden="1" customHeight="1">
      <c r="A221" s="143" t="s">
        <v>176</v>
      </c>
      <c r="B221" s="143" t="s">
        <v>177</v>
      </c>
      <c r="C221" s="395"/>
      <c r="D221" s="1069"/>
      <c r="E221" s="344"/>
      <c r="F221" s="79" t="str">
        <f>INDEX(PT_DIFFERENTIATION_VTAR,MATCH(A221,PT_DIFFERENTIATION_VTAR_ID,0))</f>
        <v xml:space="preserve">Тарифы на услуги по передаче тепловой энергии</v>
      </c>
      <c r="G221" s="984" t="str">
        <f>INDEX(PT_DIFFERENTIATION_NTAR,MATCH(B221,PT_DIFFERENTIATION_NTAR_ID,0))</f>
        <v/>
      </c>
      <c r="H221" s="417"/>
      <c r="I221" s="1059"/>
      <c r="J221" s="1060"/>
      <c r="K221" s="433"/>
      <c r="L221" s="417" t="s">
        <v>301</v>
      </c>
      <c r="M221" s="1055"/>
      <c r="N221" s="781"/>
      <c r="O221" s="129"/>
      <c r="P221" s="129"/>
      <c r="AH221" s="50">
        <v>0</v>
      </c>
    </row>
    <row r="222" s="50" customFormat="1" ht="18.75" hidden="1" customHeight="1">
      <c r="A222" s="143"/>
      <c r="B222" s="143"/>
      <c r="C222" s="395" t="s">
        <v>1192</v>
      </c>
      <c r="D222" s="1069"/>
      <c r="E222" s="344"/>
      <c r="F222" s="79"/>
      <c r="G222" s="984"/>
      <c r="H222" s="701"/>
      <c r="I222" s="177" t="s">
        <v>1191</v>
      </c>
      <c r="J222" s="235"/>
      <c r="K222" s="701"/>
      <c r="L222" s="832"/>
      <c r="M222" s="1055"/>
      <c r="N222" s="781"/>
      <c r="O222" s="129"/>
      <c r="P222" s="129"/>
      <c r="AH222" s="50">
        <v>0</v>
      </c>
    </row>
    <row r="223" s="50" customFormat="1" ht="0.75" hidden="1" customHeight="1">
      <c r="A223" s="143"/>
      <c r="B223" s="143"/>
      <c r="C223" s="395" t="s">
        <v>1199</v>
      </c>
      <c r="D223" s="1069"/>
      <c r="E223" s="344"/>
      <c r="F223" s="79"/>
      <c r="G223" s="1068"/>
      <c r="H223" s="701"/>
      <c r="I223" s="177"/>
      <c r="J223" s="235"/>
      <c r="K223" s="701"/>
      <c r="L223" s="832"/>
      <c r="M223" s="1055"/>
      <c r="N223" s="781"/>
      <c r="O223" s="129"/>
      <c r="P223" s="129"/>
      <c r="AH223" s="50">
        <v>0</v>
      </c>
    </row>
    <row r="224" s="50" customFormat="1" ht="18.75" hidden="1" customHeight="1">
      <c r="A224" s="143" t="s">
        <v>182</v>
      </c>
      <c r="B224" s="143" t="s">
        <v>183</v>
      </c>
      <c r="C224" s="395"/>
      <c r="D224" s="1069"/>
      <c r="E224" s="344"/>
      <c r="F224" s="79" t="str">
        <f>INDEX(PT_DIFFERENTIATION_VTAR,MATCH(A224,PT_DIFFERENTIATION_VTAR_ID,0))</f>
        <v xml:space="preserve">Тарифы на услуги по передаче теплоносителя</v>
      </c>
      <c r="G224" s="984" t="str">
        <f>INDEX(PT_DIFFERENTIATION_NTAR,MATCH(B224,PT_DIFFERENTIATION_NTAR_ID,0))</f>
        <v/>
      </c>
      <c r="H224" s="417"/>
      <c r="I224" s="1059"/>
      <c r="J224" s="1060"/>
      <c r="K224" s="433"/>
      <c r="L224" s="417" t="s">
        <v>301</v>
      </c>
      <c r="M224" s="1055"/>
      <c r="N224" s="781"/>
      <c r="O224" s="129"/>
      <c r="P224" s="129"/>
      <c r="AH224" s="50">
        <v>0</v>
      </c>
    </row>
    <row r="225" s="50" customFormat="1" ht="18.75" hidden="1" customHeight="1">
      <c r="A225" s="143"/>
      <c r="B225" s="143"/>
      <c r="C225" s="395" t="s">
        <v>1192</v>
      </c>
      <c r="D225" s="1069"/>
      <c r="E225" s="344"/>
      <c r="F225" s="79"/>
      <c r="G225" s="984"/>
      <c r="H225" s="701"/>
      <c r="I225" s="177" t="s">
        <v>1191</v>
      </c>
      <c r="J225" s="235"/>
      <c r="K225" s="701"/>
      <c r="L225" s="832"/>
      <c r="M225" s="1055"/>
      <c r="N225" s="781"/>
      <c r="O225" s="129"/>
      <c r="P225" s="129"/>
      <c r="AH225" s="50">
        <v>0</v>
      </c>
    </row>
    <row r="226" s="50" customFormat="1" ht="0.75" hidden="1" customHeight="1">
      <c r="A226" s="143"/>
      <c r="B226" s="143"/>
      <c r="C226" s="395" t="s">
        <v>1199</v>
      </c>
      <c r="D226" s="1069"/>
      <c r="E226" s="344"/>
      <c r="F226" s="79"/>
      <c r="G226" s="1068"/>
      <c r="H226" s="701"/>
      <c r="I226" s="177"/>
      <c r="J226" s="235"/>
      <c r="K226" s="701"/>
      <c r="L226" s="832"/>
      <c r="M226" s="1055"/>
      <c r="N226" s="781"/>
      <c r="O226" s="129"/>
      <c r="P226" s="129"/>
      <c r="AH226" s="50">
        <v>0</v>
      </c>
    </row>
    <row r="227" s="50" customFormat="1" ht="18.75" hidden="1" customHeight="1">
      <c r="A227" s="143" t="s">
        <v>188</v>
      </c>
      <c r="B227" s="143" t="s">
        <v>189</v>
      </c>
      <c r="C227" s="395"/>
      <c r="D227" s="1069"/>
      <c r="E227" s="344"/>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84" t="str">
        <f>INDEX(PT_DIFFERENTIATION_NTAR,MATCH(B227,PT_DIFFERENTIATION_NTAR_ID,0))</f>
        <v/>
      </c>
      <c r="H227" s="417"/>
      <c r="I227" s="1059"/>
      <c r="J227" s="1060"/>
      <c r="K227" s="433"/>
      <c r="L227" s="417" t="s">
        <v>301</v>
      </c>
      <c r="M227" s="1055"/>
      <c r="N227" s="781"/>
      <c r="O227" s="129"/>
      <c r="P227" s="129"/>
      <c r="AH227" s="50">
        <v>0</v>
      </c>
    </row>
    <row r="228" s="50" customFormat="1" ht="18.75" hidden="1" customHeight="1">
      <c r="A228" s="143"/>
      <c r="B228" s="143"/>
      <c r="C228" s="395" t="s">
        <v>1192</v>
      </c>
      <c r="D228" s="1069"/>
      <c r="E228" s="344"/>
      <c r="F228" s="79"/>
      <c r="G228" s="984"/>
      <c r="H228" s="701"/>
      <c r="I228" s="177" t="s">
        <v>1191</v>
      </c>
      <c r="J228" s="235"/>
      <c r="K228" s="701"/>
      <c r="L228" s="832"/>
      <c r="M228" s="1055"/>
      <c r="N228" s="781"/>
      <c r="O228" s="129"/>
      <c r="P228" s="129"/>
      <c r="AH228" s="50">
        <v>0</v>
      </c>
    </row>
    <row r="229" s="50" customFormat="1" ht="0.75" hidden="1" customHeight="1">
      <c r="A229" s="143"/>
      <c r="B229" s="143"/>
      <c r="C229" s="395" t="s">
        <v>1199</v>
      </c>
      <c r="D229" s="1069"/>
      <c r="E229" s="344"/>
      <c r="F229" s="79"/>
      <c r="G229" s="1068"/>
      <c r="H229" s="701"/>
      <c r="I229" s="177"/>
      <c r="J229" s="235"/>
      <c r="K229" s="701"/>
      <c r="L229" s="832"/>
      <c r="M229" s="1055"/>
      <c r="N229" s="781"/>
      <c r="O229" s="129"/>
      <c r="P229" s="129"/>
      <c r="AH229" s="50">
        <v>0</v>
      </c>
    </row>
    <row r="230" s="50" customFormat="1" ht="18.75" hidden="1" customHeight="1">
      <c r="A230" s="143" t="s">
        <v>194</v>
      </c>
      <c r="B230" s="143" t="s">
        <v>195</v>
      </c>
      <c r="C230" s="395"/>
      <c r="D230" s="1069"/>
      <c r="E230" s="344"/>
      <c r="F230" s="79" t="str">
        <f>INDEX(PT_DIFFERENTIATION_VTAR,MATCH(A230,PT_DIFFERENTIATION_VTAR_ID,0))</f>
        <v xml:space="preserve">Плата за подключение (технологическое присоединение) к системе теплоснабжения</v>
      </c>
      <c r="G230" s="984" t="str">
        <f>INDEX(PT_DIFFERENTIATION_NTAR,MATCH(B230,PT_DIFFERENTIATION_NTAR_ID,0))</f>
        <v/>
      </c>
      <c r="H230" s="417"/>
      <c r="I230" s="1059"/>
      <c r="J230" s="1060"/>
      <c r="K230" s="433"/>
      <c r="L230" s="417" t="s">
        <v>301</v>
      </c>
      <c r="M230" s="1055"/>
      <c r="N230" s="781"/>
      <c r="O230" s="129"/>
      <c r="P230" s="129"/>
      <c r="AH230" s="50">
        <v>0</v>
      </c>
    </row>
    <row r="231" s="50" customFormat="1" ht="18.75" hidden="1" customHeight="1">
      <c r="A231" s="143"/>
      <c r="B231" s="143"/>
      <c r="C231" s="395" t="s">
        <v>1192</v>
      </c>
      <c r="D231" s="1069"/>
      <c r="E231" s="344"/>
      <c r="F231" s="79"/>
      <c r="G231" s="984"/>
      <c r="H231" s="701"/>
      <c r="I231" s="177" t="s">
        <v>1191</v>
      </c>
      <c r="J231" s="235"/>
      <c r="K231" s="701"/>
      <c r="L231" s="832"/>
      <c r="M231" s="1055"/>
      <c r="N231" s="781"/>
      <c r="O231" s="129"/>
      <c r="P231" s="129"/>
      <c r="AH231" s="50">
        <v>0</v>
      </c>
    </row>
    <row r="232" s="50" customFormat="1" ht="0.75" hidden="1" customHeight="1">
      <c r="A232" s="143"/>
      <c r="B232" s="143"/>
      <c r="C232" s="395" t="s">
        <v>1199</v>
      </c>
      <c r="D232" s="1069"/>
      <c r="E232" s="344"/>
      <c r="F232" s="79"/>
      <c r="G232" s="1068"/>
      <c r="H232" s="701"/>
      <c r="I232" s="177"/>
      <c r="J232" s="235"/>
      <c r="K232" s="701"/>
      <c r="L232" s="832"/>
      <c r="M232" s="1055"/>
      <c r="N232" s="781"/>
      <c r="O232" s="129"/>
      <c r="P232" s="129"/>
      <c r="AH232" s="50">
        <v>0</v>
      </c>
    </row>
    <row r="233" s="50" customFormat="1" ht="18.75" hidden="1" customHeight="1">
      <c r="A233" s="143" t="s">
        <v>200</v>
      </c>
      <c r="B233" s="143" t="s">
        <v>201</v>
      </c>
      <c r="C233" s="395"/>
      <c r="D233" s="1069"/>
      <c r="E233" s="344"/>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84" t="str">
        <f>INDEX(PT_DIFFERENTIATION_NTAR,MATCH(B233,PT_DIFFERENTIATION_NTAR_ID,0))</f>
        <v/>
      </c>
      <c r="H233" s="417"/>
      <c r="I233" s="1059"/>
      <c r="J233" s="1060"/>
      <c r="K233" s="433"/>
      <c r="L233" s="417" t="s">
        <v>301</v>
      </c>
      <c r="M233" s="1055"/>
      <c r="N233" s="781"/>
      <c r="O233" s="129"/>
      <c r="P233" s="129"/>
      <c r="AH233" s="50">
        <v>0</v>
      </c>
    </row>
    <row r="234" s="50" customFormat="1" ht="18.75" hidden="1" customHeight="1">
      <c r="A234" s="143"/>
      <c r="B234" s="143"/>
      <c r="C234" s="395" t="s">
        <v>1192</v>
      </c>
      <c r="D234" s="1069"/>
      <c r="E234" s="344"/>
      <c r="F234" s="79"/>
      <c r="G234" s="984"/>
      <c r="H234" s="701"/>
      <c r="I234" s="177" t="s">
        <v>1191</v>
      </c>
      <c r="J234" s="235"/>
      <c r="K234" s="701"/>
      <c r="L234" s="832"/>
      <c r="M234" s="1055"/>
      <c r="N234" s="781"/>
      <c r="O234" s="129"/>
      <c r="P234" s="129"/>
      <c r="AH234" s="50">
        <v>0</v>
      </c>
    </row>
    <row r="235" s="50" customFormat="1" ht="0.75" hidden="1" customHeight="1">
      <c r="A235" s="143"/>
      <c r="B235" s="143"/>
      <c r="C235" s="395" t="s">
        <v>1199</v>
      </c>
      <c r="D235" s="1069"/>
      <c r="E235" s="344"/>
      <c r="F235" s="79"/>
      <c r="G235" s="1068"/>
      <c r="H235" s="701"/>
      <c r="I235" s="177"/>
      <c r="J235" s="235"/>
      <c r="K235" s="701"/>
      <c r="L235" s="832"/>
      <c r="M235" s="1055"/>
      <c r="N235" s="781"/>
      <c r="O235" s="129"/>
      <c r="P235" s="129"/>
      <c r="AH235" s="50">
        <v>0</v>
      </c>
    </row>
    <row r="236" s="50" customFormat="1" ht="18.75" hidden="1" customHeight="1">
      <c r="A236" s="143" t="s">
        <v>220</v>
      </c>
      <c r="B236" s="143" t="s">
        <v>221</v>
      </c>
      <c r="C236" s="395"/>
      <c r="D236" s="1069"/>
      <c r="E236" s="344"/>
      <c r="F236" s="79" t="str">
        <f>INDEX(PT_DIFFERENTIATION_VTAR,MATCH(A236,PT_DIFFERENTIATION_VTAR_ID,0))</f>
        <v xml:space="preserve">Тариф на питьевую воду (питьевое водоснабжение)</v>
      </c>
      <c r="G236" s="984" t="str">
        <f>INDEX(PT_DIFFERENTIATION_NTAR,MATCH(B236,PT_DIFFERENTIATION_NTAR_ID,0))</f>
        <v/>
      </c>
      <c r="H236" s="417"/>
      <c r="I236" s="1059"/>
      <c r="J236" s="1060"/>
      <c r="K236" s="433"/>
      <c r="L236" s="417" t="s">
        <v>301</v>
      </c>
      <c r="M236" s="1055"/>
      <c r="N236" s="781"/>
      <c r="O236" s="129"/>
      <c r="P236" s="129"/>
      <c r="AH236" s="50">
        <v>0</v>
      </c>
    </row>
    <row r="237" s="50" customFormat="1" ht="18.75" hidden="1" customHeight="1">
      <c r="A237" s="143"/>
      <c r="B237" s="143"/>
      <c r="C237" s="395" t="s">
        <v>1192</v>
      </c>
      <c r="D237" s="1069"/>
      <c r="E237" s="344"/>
      <c r="F237" s="79"/>
      <c r="G237" s="984"/>
      <c r="H237" s="701"/>
      <c r="I237" s="177" t="s">
        <v>1191</v>
      </c>
      <c r="J237" s="235"/>
      <c r="K237" s="701"/>
      <c r="L237" s="832"/>
      <c r="M237" s="1055"/>
      <c r="N237" s="781"/>
      <c r="O237" s="129"/>
      <c r="P237" s="129"/>
      <c r="AH237" s="50">
        <v>0</v>
      </c>
    </row>
    <row r="238" s="50" customFormat="1" ht="0.75" hidden="1" customHeight="1">
      <c r="A238" s="143"/>
      <c r="B238" s="143"/>
      <c r="C238" s="395" t="s">
        <v>1199</v>
      </c>
      <c r="D238" s="1069"/>
      <c r="E238" s="344"/>
      <c r="F238" s="79"/>
      <c r="G238" s="1068"/>
      <c r="H238" s="701"/>
      <c r="I238" s="177"/>
      <c r="J238" s="235"/>
      <c r="K238" s="701"/>
      <c r="L238" s="832"/>
      <c r="M238" s="1055"/>
      <c r="N238" s="781"/>
      <c r="O238" s="129"/>
      <c r="P238" s="129"/>
      <c r="AH238" s="50">
        <v>0</v>
      </c>
    </row>
    <row r="239" s="50" customFormat="1" ht="18.75" hidden="1" customHeight="1">
      <c r="A239" s="143" t="s">
        <v>225</v>
      </c>
      <c r="B239" s="143" t="s">
        <v>226</v>
      </c>
      <c r="C239" s="395"/>
      <c r="D239" s="1069"/>
      <c r="E239" s="344"/>
      <c r="F239" s="79" t="str">
        <f>INDEX(PT_DIFFERENTIATION_VTAR,MATCH(A239,PT_DIFFERENTIATION_VTAR_ID,0))</f>
        <v xml:space="preserve">Тариф на техническую воду</v>
      </c>
      <c r="G239" s="984" t="str">
        <f>INDEX(PT_DIFFERENTIATION_NTAR,MATCH(B239,PT_DIFFERENTIATION_NTAR_ID,0))</f>
        <v/>
      </c>
      <c r="H239" s="417"/>
      <c r="I239" s="1059"/>
      <c r="J239" s="1060"/>
      <c r="K239" s="433"/>
      <c r="L239" s="417" t="s">
        <v>301</v>
      </c>
      <c r="M239" s="1055"/>
      <c r="N239" s="781"/>
      <c r="O239" s="129"/>
      <c r="P239" s="129"/>
      <c r="AH239" s="50">
        <v>0</v>
      </c>
    </row>
    <row r="240" s="50" customFormat="1" ht="18.75" hidden="1" customHeight="1">
      <c r="A240" s="143"/>
      <c r="B240" s="143"/>
      <c r="C240" s="395" t="s">
        <v>1192</v>
      </c>
      <c r="D240" s="1069"/>
      <c r="E240" s="344"/>
      <c r="F240" s="79"/>
      <c r="G240" s="984"/>
      <c r="H240" s="701"/>
      <c r="I240" s="177" t="s">
        <v>1191</v>
      </c>
      <c r="J240" s="235"/>
      <c r="K240" s="701"/>
      <c r="L240" s="832"/>
      <c r="M240" s="1055"/>
      <c r="N240" s="781"/>
      <c r="O240" s="129"/>
      <c r="P240" s="129"/>
      <c r="AH240" s="50">
        <v>0</v>
      </c>
    </row>
    <row r="241" s="50" customFormat="1" ht="0.75" hidden="1" customHeight="1">
      <c r="A241" s="143"/>
      <c r="B241" s="143"/>
      <c r="C241" s="395" t="s">
        <v>1199</v>
      </c>
      <c r="D241" s="1069"/>
      <c r="E241" s="344"/>
      <c r="F241" s="79"/>
      <c r="G241" s="1068"/>
      <c r="H241" s="701"/>
      <c r="I241" s="177"/>
      <c r="J241" s="235"/>
      <c r="K241" s="701"/>
      <c r="L241" s="832"/>
      <c r="M241" s="1055"/>
      <c r="N241" s="781"/>
      <c r="O241" s="129"/>
      <c r="P241" s="129"/>
      <c r="AH241" s="50">
        <v>0</v>
      </c>
    </row>
    <row r="242" s="50" customFormat="1" ht="18.75" hidden="1" customHeight="1">
      <c r="A242" s="143" t="s">
        <v>230</v>
      </c>
      <c r="B242" s="143" t="s">
        <v>231</v>
      </c>
      <c r="C242" s="395"/>
      <c r="D242" s="1069"/>
      <c r="E242" s="344"/>
      <c r="F242" s="79" t="str">
        <f>INDEX(PT_DIFFERENTIATION_VTAR,MATCH(A242,PT_DIFFERENTIATION_VTAR_ID,0))</f>
        <v xml:space="preserve">Тариф на транспортировку воды</v>
      </c>
      <c r="G242" s="984" t="str">
        <f>INDEX(PT_DIFFERENTIATION_NTAR,MATCH(B242,PT_DIFFERENTIATION_NTAR_ID,0))</f>
        <v/>
      </c>
      <c r="H242" s="417"/>
      <c r="I242" s="1059"/>
      <c r="J242" s="1060"/>
      <c r="K242" s="433"/>
      <c r="L242" s="417" t="s">
        <v>301</v>
      </c>
      <c r="M242" s="1055"/>
      <c r="N242" s="781"/>
      <c r="O242" s="129"/>
      <c r="P242" s="129"/>
      <c r="AH242" s="50">
        <v>0</v>
      </c>
    </row>
    <row r="243" s="50" customFormat="1" ht="18.75" hidden="1" customHeight="1">
      <c r="A243" s="143"/>
      <c r="B243" s="143"/>
      <c r="C243" s="395" t="s">
        <v>1192</v>
      </c>
      <c r="D243" s="1069"/>
      <c r="E243" s="344"/>
      <c r="F243" s="79"/>
      <c r="G243" s="984"/>
      <c r="H243" s="701"/>
      <c r="I243" s="177" t="s">
        <v>1191</v>
      </c>
      <c r="J243" s="235"/>
      <c r="K243" s="701"/>
      <c r="L243" s="832"/>
      <c r="M243" s="1055"/>
      <c r="N243" s="781"/>
      <c r="O243" s="129"/>
      <c r="P243" s="129"/>
      <c r="AH243" s="50">
        <v>0</v>
      </c>
    </row>
    <row r="244" s="50" customFormat="1" ht="0.75" hidden="1" customHeight="1">
      <c r="A244" s="143"/>
      <c r="B244" s="143"/>
      <c r="C244" s="395" t="s">
        <v>1199</v>
      </c>
      <c r="D244" s="1069"/>
      <c r="E244" s="344"/>
      <c r="F244" s="79"/>
      <c r="G244" s="1068"/>
      <c r="H244" s="701"/>
      <c r="I244" s="177"/>
      <c r="J244" s="235"/>
      <c r="K244" s="701"/>
      <c r="L244" s="832"/>
      <c r="M244" s="1055"/>
      <c r="N244" s="781"/>
      <c r="O244" s="129"/>
      <c r="P244" s="129"/>
      <c r="AH244" s="50">
        <v>0</v>
      </c>
    </row>
    <row r="245" s="50" customFormat="1" ht="18.75" hidden="1" customHeight="1">
      <c r="A245" s="143" t="s">
        <v>235</v>
      </c>
      <c r="B245" s="143" t="s">
        <v>236</v>
      </c>
      <c r="C245" s="395"/>
      <c r="D245" s="1069"/>
      <c r="E245" s="344"/>
      <c r="F245" s="79" t="str">
        <f>INDEX(PT_DIFFERENTIATION_VTAR,MATCH(A245,PT_DIFFERENTIATION_VTAR_ID,0))</f>
        <v xml:space="preserve">Тариф на подвоз воды</v>
      </c>
      <c r="G245" s="984" t="str">
        <f>INDEX(PT_DIFFERENTIATION_NTAR,MATCH(B245,PT_DIFFERENTIATION_NTAR_ID,0))</f>
        <v/>
      </c>
      <c r="H245" s="417"/>
      <c r="I245" s="1059"/>
      <c r="J245" s="1060"/>
      <c r="K245" s="433"/>
      <c r="L245" s="417" t="s">
        <v>301</v>
      </c>
      <c r="M245" s="1055"/>
      <c r="N245" s="781"/>
      <c r="O245" s="129"/>
      <c r="P245" s="129"/>
      <c r="AH245" s="50">
        <v>0</v>
      </c>
    </row>
    <row r="246" s="50" customFormat="1" ht="18.75" hidden="1" customHeight="1">
      <c r="A246" s="143"/>
      <c r="B246" s="143"/>
      <c r="C246" s="395" t="s">
        <v>1192</v>
      </c>
      <c r="D246" s="1069"/>
      <c r="E246" s="344"/>
      <c r="F246" s="79"/>
      <c r="G246" s="984"/>
      <c r="H246" s="701"/>
      <c r="I246" s="177" t="s">
        <v>1191</v>
      </c>
      <c r="J246" s="235"/>
      <c r="K246" s="701"/>
      <c r="L246" s="832"/>
      <c r="M246" s="1055"/>
      <c r="N246" s="781"/>
      <c r="O246" s="129"/>
      <c r="P246" s="129"/>
      <c r="AH246" s="50">
        <v>0</v>
      </c>
    </row>
    <row r="247" s="50" customFormat="1" ht="0.75" hidden="1" customHeight="1">
      <c r="A247" s="143"/>
      <c r="B247" s="143"/>
      <c r="C247" s="395" t="s">
        <v>1199</v>
      </c>
      <c r="D247" s="1069"/>
      <c r="E247" s="344"/>
      <c r="F247" s="79"/>
      <c r="G247" s="1068"/>
      <c r="H247" s="701"/>
      <c r="I247" s="177"/>
      <c r="J247" s="235"/>
      <c r="K247" s="701"/>
      <c r="L247" s="832"/>
      <c r="M247" s="1055"/>
      <c r="N247" s="781"/>
      <c r="O247" s="129"/>
      <c r="P247" s="129"/>
      <c r="AH247" s="50">
        <v>0</v>
      </c>
    </row>
    <row r="248" s="50" customFormat="1" ht="18.75" hidden="1" customHeight="1">
      <c r="A248" s="143" t="s">
        <v>240</v>
      </c>
      <c r="B248" s="143" t="s">
        <v>241</v>
      </c>
      <c r="C248" s="395"/>
      <c r="D248" s="1069"/>
      <c r="E248" s="344"/>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84" t="str">
        <f>INDEX(PT_DIFFERENTIATION_NTAR,MATCH(B248,PT_DIFFERENTIATION_NTAR_ID,0))</f>
        <v/>
      </c>
      <c r="H248" s="417"/>
      <c r="I248" s="1059"/>
      <c r="J248" s="1060"/>
      <c r="K248" s="433"/>
      <c r="L248" s="417" t="s">
        <v>301</v>
      </c>
      <c r="M248" s="1055"/>
      <c r="N248" s="781"/>
      <c r="O248" s="129"/>
      <c r="P248" s="129"/>
      <c r="AH248" s="50">
        <v>0</v>
      </c>
    </row>
    <row r="249" s="50" customFormat="1" ht="18.75" hidden="1" customHeight="1">
      <c r="A249" s="143"/>
      <c r="B249" s="143"/>
      <c r="C249" s="395" t="s">
        <v>1192</v>
      </c>
      <c r="D249" s="1069"/>
      <c r="E249" s="344"/>
      <c r="F249" s="79"/>
      <c r="G249" s="984"/>
      <c r="H249" s="701"/>
      <c r="I249" s="177" t="s">
        <v>1191</v>
      </c>
      <c r="J249" s="235"/>
      <c r="K249" s="701"/>
      <c r="L249" s="832"/>
      <c r="M249" s="1055"/>
      <c r="N249" s="781"/>
      <c r="O249" s="129"/>
      <c r="P249" s="129"/>
      <c r="AH249" s="50">
        <v>0</v>
      </c>
    </row>
    <row r="250" s="50" customFormat="1" ht="0.75" hidden="1" customHeight="1">
      <c r="A250" s="143"/>
      <c r="B250" s="143"/>
      <c r="C250" s="395" t="s">
        <v>1199</v>
      </c>
      <c r="D250" s="1069"/>
      <c r="E250" s="344"/>
      <c r="F250" s="79"/>
      <c r="G250" s="1068"/>
      <c r="H250" s="701"/>
      <c r="I250" s="177"/>
      <c r="J250" s="235"/>
      <c r="K250" s="701"/>
      <c r="L250" s="832"/>
      <c r="M250" s="1055"/>
      <c r="N250" s="781"/>
      <c r="O250" s="129"/>
      <c r="P250" s="129"/>
      <c r="AH250" s="50">
        <v>0</v>
      </c>
    </row>
    <row r="251" s="50" customFormat="1" ht="18.75" hidden="1" customHeight="1">
      <c r="A251" s="143" t="s">
        <v>245</v>
      </c>
      <c r="B251" s="143" t="s">
        <v>246</v>
      </c>
      <c r="C251" s="395"/>
      <c r="D251" s="1069"/>
      <c r="E251" s="344"/>
      <c r="F251" s="79" t="str">
        <f>INDEX(PT_DIFFERENTIATION_VTAR,MATCH(A251,PT_DIFFERENTIATION_VTAR_ID,0))</f>
        <v xml:space="preserve">Тариф на горячую воду (горячее водоснабжение)</v>
      </c>
      <c r="G251" s="984" t="str">
        <f>INDEX(PT_DIFFERENTIATION_NTAR,MATCH(B251,PT_DIFFERENTIATION_NTAR_ID,0))</f>
        <v/>
      </c>
      <c r="H251" s="417"/>
      <c r="I251" s="1059"/>
      <c r="J251" s="1060"/>
      <c r="K251" s="433"/>
      <c r="L251" s="417" t="s">
        <v>301</v>
      </c>
      <c r="M251" s="1055"/>
      <c r="N251" s="781"/>
      <c r="O251" s="129"/>
      <c r="P251" s="129"/>
      <c r="AH251" s="50">
        <v>0</v>
      </c>
    </row>
    <row r="252" s="50" customFormat="1" ht="18.75" hidden="1" customHeight="1">
      <c r="A252" s="143"/>
      <c r="B252" s="143"/>
      <c r="C252" s="395" t="s">
        <v>1192</v>
      </c>
      <c r="D252" s="1069"/>
      <c r="E252" s="344"/>
      <c r="F252" s="79"/>
      <c r="G252" s="984"/>
      <c r="H252" s="701"/>
      <c r="I252" s="177" t="s">
        <v>1191</v>
      </c>
      <c r="J252" s="235"/>
      <c r="K252" s="701"/>
      <c r="L252" s="832"/>
      <c r="M252" s="1055"/>
      <c r="N252" s="781"/>
      <c r="O252" s="129"/>
      <c r="P252" s="129"/>
      <c r="AH252" s="50">
        <v>0</v>
      </c>
    </row>
    <row r="253" s="50" customFormat="1" ht="0.75" hidden="1" customHeight="1">
      <c r="A253" s="143"/>
      <c r="B253" s="143"/>
      <c r="C253" s="395" t="s">
        <v>1199</v>
      </c>
      <c r="D253" s="1069"/>
      <c r="E253" s="344"/>
      <c r="F253" s="79"/>
      <c r="G253" s="1068"/>
      <c r="H253" s="701"/>
      <c r="I253" s="177"/>
      <c r="J253" s="235"/>
      <c r="K253" s="701"/>
      <c r="L253" s="832"/>
      <c r="M253" s="1055"/>
      <c r="N253" s="781"/>
      <c r="O253" s="129"/>
      <c r="P253" s="129"/>
      <c r="AH253" s="50">
        <v>0</v>
      </c>
    </row>
    <row r="254" s="50" customFormat="1" ht="18.75" hidden="1" customHeight="1">
      <c r="A254" s="143" t="s">
        <v>250</v>
      </c>
      <c r="B254" s="143" t="s">
        <v>251</v>
      </c>
      <c r="C254" s="395"/>
      <c r="D254" s="1069"/>
      <c r="E254" s="344"/>
      <c r="F254" s="79" t="str">
        <f>INDEX(PT_DIFFERENTIATION_VTAR,MATCH(A254,PT_DIFFERENTIATION_VTAR_ID,0))</f>
        <v xml:space="preserve">Тариф на транспортировку горячей воды</v>
      </c>
      <c r="G254" s="984" t="str">
        <f>INDEX(PT_DIFFERENTIATION_NTAR,MATCH(B254,PT_DIFFERENTIATION_NTAR_ID,0))</f>
        <v/>
      </c>
      <c r="H254" s="417"/>
      <c r="I254" s="1059"/>
      <c r="J254" s="1060"/>
      <c r="K254" s="433"/>
      <c r="L254" s="417" t="s">
        <v>301</v>
      </c>
      <c r="M254" s="1055"/>
      <c r="N254" s="781"/>
      <c r="O254" s="129"/>
      <c r="P254" s="129"/>
      <c r="AH254" s="50">
        <v>0</v>
      </c>
    </row>
    <row r="255" s="50" customFormat="1" ht="18.75" hidden="1" customHeight="1">
      <c r="A255" s="143"/>
      <c r="B255" s="143"/>
      <c r="C255" s="395" t="s">
        <v>1192</v>
      </c>
      <c r="D255" s="1069"/>
      <c r="E255" s="344"/>
      <c r="F255" s="79"/>
      <c r="G255" s="984"/>
      <c r="H255" s="701"/>
      <c r="I255" s="177" t="s">
        <v>1191</v>
      </c>
      <c r="J255" s="235"/>
      <c r="K255" s="701"/>
      <c r="L255" s="832"/>
      <c r="M255" s="1055"/>
      <c r="N255" s="781"/>
      <c r="O255" s="129"/>
      <c r="P255" s="129"/>
      <c r="AH255" s="50">
        <v>0</v>
      </c>
    </row>
    <row r="256" s="50" customFormat="1" ht="0.75" hidden="1" customHeight="1">
      <c r="A256" s="143"/>
      <c r="B256" s="143"/>
      <c r="C256" s="395" t="s">
        <v>1199</v>
      </c>
      <c r="D256" s="1069"/>
      <c r="E256" s="344"/>
      <c r="F256" s="79"/>
      <c r="G256" s="1068"/>
      <c r="H256" s="701"/>
      <c r="I256" s="177"/>
      <c r="J256" s="235"/>
      <c r="K256" s="701"/>
      <c r="L256" s="832"/>
      <c r="M256" s="1055"/>
      <c r="N256" s="781"/>
      <c r="O256" s="129"/>
      <c r="P256" s="129"/>
      <c r="AH256" s="50">
        <v>0</v>
      </c>
    </row>
    <row r="257" s="50" customFormat="1" ht="18.75" hidden="1" customHeight="1">
      <c r="A257" s="143" t="s">
        <v>255</v>
      </c>
      <c r="B257" s="143" t="s">
        <v>256</v>
      </c>
      <c r="C257" s="395"/>
      <c r="D257" s="1069"/>
      <c r="E257" s="344"/>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84" t="str">
        <f>INDEX(PT_DIFFERENTIATION_NTAR,MATCH(B257,PT_DIFFERENTIATION_NTAR_ID,0))</f>
        <v/>
      </c>
      <c r="H257" s="417"/>
      <c r="I257" s="1059"/>
      <c r="J257" s="1060"/>
      <c r="K257" s="433"/>
      <c r="L257" s="417" t="s">
        <v>301</v>
      </c>
      <c r="M257" s="1055"/>
      <c r="N257" s="781"/>
      <c r="O257" s="129"/>
      <c r="P257" s="129"/>
      <c r="AH257" s="50">
        <v>0</v>
      </c>
    </row>
    <row r="258" s="50" customFormat="1" ht="18.75" hidden="1" customHeight="1">
      <c r="A258" s="143"/>
      <c r="B258" s="143"/>
      <c r="C258" s="395" t="s">
        <v>1192</v>
      </c>
      <c r="D258" s="1069"/>
      <c r="E258" s="344"/>
      <c r="F258" s="79"/>
      <c r="G258" s="984"/>
      <c r="H258" s="701"/>
      <c r="I258" s="177" t="s">
        <v>1191</v>
      </c>
      <c r="J258" s="235"/>
      <c r="K258" s="701"/>
      <c r="L258" s="832"/>
      <c r="M258" s="1055"/>
      <c r="N258" s="781"/>
      <c r="O258" s="129"/>
      <c r="P258" s="129"/>
      <c r="AH258" s="50">
        <v>0</v>
      </c>
    </row>
    <row r="259" s="50" customFormat="1" ht="0.75" hidden="1" customHeight="1">
      <c r="A259" s="143"/>
      <c r="B259" s="143"/>
      <c r="C259" s="395" t="s">
        <v>1199</v>
      </c>
      <c r="D259" s="1069"/>
      <c r="E259" s="344"/>
      <c r="F259" s="79"/>
      <c r="G259" s="1068"/>
      <c r="H259" s="701"/>
      <c r="I259" s="177"/>
      <c r="J259" s="235"/>
      <c r="K259" s="701"/>
      <c r="L259" s="832"/>
      <c r="M259" s="1055"/>
      <c r="N259" s="781"/>
      <c r="O259" s="129"/>
      <c r="P259" s="129"/>
      <c r="AH259" s="50">
        <v>0</v>
      </c>
    </row>
    <row r="260" s="50" customFormat="1" ht="18.75" hidden="1" customHeight="1">
      <c r="A260" s="143" t="s">
        <v>260</v>
      </c>
      <c r="B260" s="143" t="s">
        <v>261</v>
      </c>
      <c r="C260" s="395"/>
      <c r="D260" s="1069"/>
      <c r="E260" s="344"/>
      <c r="F260" s="79" t="str">
        <f>INDEX(PT_DIFFERENTIATION_VTAR,MATCH(A260,PT_DIFFERENTIATION_VTAR_ID,0))</f>
        <v xml:space="preserve">Тариф на водоотведение</v>
      </c>
      <c r="G260" s="984" t="str">
        <f>INDEX(PT_DIFFERENTIATION_NTAR,MATCH(B260,PT_DIFFERENTIATION_NTAR_ID,0))</f>
        <v/>
      </c>
      <c r="H260" s="417"/>
      <c r="I260" s="1059"/>
      <c r="J260" s="1060"/>
      <c r="K260" s="433"/>
      <c r="L260" s="417" t="s">
        <v>301</v>
      </c>
      <c r="M260" s="1055"/>
      <c r="N260" s="781"/>
      <c r="O260" s="129"/>
      <c r="P260" s="129"/>
      <c r="AH260" s="50">
        <v>0</v>
      </c>
    </row>
    <row r="261" s="50" customFormat="1" ht="18.75" hidden="1" customHeight="1">
      <c r="A261" s="143"/>
      <c r="B261" s="143"/>
      <c r="C261" s="395" t="s">
        <v>1192</v>
      </c>
      <c r="D261" s="1069"/>
      <c r="E261" s="344"/>
      <c r="F261" s="79"/>
      <c r="G261" s="984"/>
      <c r="H261" s="701"/>
      <c r="I261" s="177" t="s">
        <v>1191</v>
      </c>
      <c r="J261" s="235"/>
      <c r="K261" s="701"/>
      <c r="L261" s="832"/>
      <c r="M261" s="1055"/>
      <c r="N261" s="781"/>
      <c r="O261" s="129"/>
      <c r="P261" s="129"/>
      <c r="AH261" s="50">
        <v>0</v>
      </c>
    </row>
    <row r="262" s="50" customFormat="1" ht="0.75" hidden="1" customHeight="1">
      <c r="A262" s="143"/>
      <c r="B262" s="143"/>
      <c r="C262" s="395" t="s">
        <v>1199</v>
      </c>
      <c r="D262" s="1069"/>
      <c r="E262" s="344"/>
      <c r="F262" s="79"/>
      <c r="G262" s="1068"/>
      <c r="H262" s="701"/>
      <c r="I262" s="177"/>
      <c r="J262" s="235"/>
      <c r="K262" s="701"/>
      <c r="L262" s="832"/>
      <c r="M262" s="1055"/>
      <c r="N262" s="781"/>
      <c r="O262" s="129"/>
      <c r="P262" s="129"/>
      <c r="AH262" s="50">
        <v>0</v>
      </c>
    </row>
    <row r="263" s="50" customFormat="1" ht="18.75" hidden="1" customHeight="1">
      <c r="A263" s="143" t="s">
        <v>265</v>
      </c>
      <c r="B263" s="143" t="s">
        <v>266</v>
      </c>
      <c r="C263" s="395"/>
      <c r="D263" s="1069"/>
      <c r="E263" s="344"/>
      <c r="F263" s="79" t="str">
        <f>INDEX(PT_DIFFERENTIATION_VTAR,MATCH(A263,PT_DIFFERENTIATION_VTAR_ID,0))</f>
        <v xml:space="preserve">Тариф на транспортировку сточных вод</v>
      </c>
      <c r="G263" s="984" t="str">
        <f>INDEX(PT_DIFFERENTIATION_NTAR,MATCH(B263,PT_DIFFERENTIATION_NTAR_ID,0))</f>
        <v/>
      </c>
      <c r="H263" s="417"/>
      <c r="I263" s="1059"/>
      <c r="J263" s="1060"/>
      <c r="K263" s="433"/>
      <c r="L263" s="417" t="s">
        <v>301</v>
      </c>
      <c r="M263" s="1055"/>
      <c r="N263" s="781"/>
      <c r="O263" s="129"/>
      <c r="P263" s="129"/>
      <c r="AH263" s="50">
        <v>0</v>
      </c>
    </row>
    <row r="264" s="50" customFormat="1" ht="18.75" hidden="1" customHeight="1">
      <c r="A264" s="143"/>
      <c r="B264" s="143"/>
      <c r="C264" s="395" t="s">
        <v>1192</v>
      </c>
      <c r="D264" s="1069"/>
      <c r="E264" s="344"/>
      <c r="F264" s="79"/>
      <c r="G264" s="984"/>
      <c r="H264" s="701"/>
      <c r="I264" s="177" t="s">
        <v>1191</v>
      </c>
      <c r="J264" s="235"/>
      <c r="K264" s="701"/>
      <c r="L264" s="832"/>
      <c r="M264" s="1055"/>
      <c r="N264" s="781"/>
      <c r="O264" s="129"/>
      <c r="P264" s="129"/>
      <c r="AH264" s="50">
        <v>0</v>
      </c>
    </row>
    <row r="265" s="50" customFormat="1" ht="0.75" hidden="1" customHeight="1">
      <c r="A265" s="143"/>
      <c r="B265" s="143"/>
      <c r="C265" s="395" t="s">
        <v>1199</v>
      </c>
      <c r="D265" s="1069"/>
      <c r="E265" s="344"/>
      <c r="F265" s="79"/>
      <c r="G265" s="1068"/>
      <c r="H265" s="701"/>
      <c r="I265" s="177"/>
      <c r="J265" s="235"/>
      <c r="K265" s="701"/>
      <c r="L265" s="832"/>
      <c r="M265" s="1055"/>
      <c r="N265" s="781"/>
      <c r="O265" s="129"/>
      <c r="P265" s="129"/>
      <c r="AH265" s="50">
        <v>0</v>
      </c>
    </row>
    <row r="266" s="50" customFormat="1" ht="18.75" hidden="1" customHeight="1">
      <c r="A266" s="143" t="s">
        <v>270</v>
      </c>
      <c r="B266" s="143" t="s">
        <v>271</v>
      </c>
      <c r="C266" s="395"/>
      <c r="D266" s="1069"/>
      <c r="E266" s="344"/>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84" t="str">
        <f>INDEX(PT_DIFFERENTIATION_NTAR,MATCH(B266,PT_DIFFERENTIATION_NTAR_ID,0))</f>
        <v/>
      </c>
      <c r="H266" s="417"/>
      <c r="I266" s="1059"/>
      <c r="J266" s="1060"/>
      <c r="K266" s="433"/>
      <c r="L266" s="417" t="s">
        <v>301</v>
      </c>
      <c r="M266" s="1055"/>
      <c r="N266" s="781"/>
      <c r="O266" s="129"/>
      <c r="P266" s="129"/>
      <c r="AH266" s="50">
        <v>0</v>
      </c>
    </row>
    <row r="267" s="50" customFormat="1" ht="18.75" hidden="1" customHeight="1">
      <c r="A267" s="143"/>
      <c r="B267" s="143"/>
      <c r="C267" s="395" t="s">
        <v>1192</v>
      </c>
      <c r="D267" s="1069"/>
      <c r="E267" s="344"/>
      <c r="F267" s="79"/>
      <c r="G267" s="984"/>
      <c r="H267" s="701"/>
      <c r="I267" s="177" t="s">
        <v>1191</v>
      </c>
      <c r="J267" s="235"/>
      <c r="K267" s="701"/>
      <c r="L267" s="832"/>
      <c r="M267" s="1055"/>
      <c r="N267" s="781"/>
      <c r="O267" s="129"/>
      <c r="P267" s="129"/>
      <c r="AH267" s="50">
        <v>0</v>
      </c>
    </row>
    <row r="268" s="50" customFormat="1" ht="1.05" customHeight="1">
      <c r="A268" s="143"/>
      <c r="B268" s="143"/>
      <c r="C268" s="395" t="s">
        <v>1199</v>
      </c>
      <c r="D268" s="1069"/>
      <c r="E268" s="344"/>
      <c r="F268" s="79"/>
      <c r="G268" s="1068"/>
      <c r="H268" s="701"/>
      <c r="I268" s="177"/>
      <c r="J268" s="235"/>
      <c r="K268" s="701"/>
      <c r="L268" s="832"/>
      <c r="M268" s="1055"/>
      <c r="N268" s="781"/>
      <c r="O268" s="129"/>
      <c r="P268" s="129"/>
      <c r="AH268" s="50">
        <v>1</v>
      </c>
    </row>
    <row r="269" ht="27.300000000000001" customHeight="1">
      <c r="A269" s="143"/>
      <c r="B269" s="143"/>
      <c r="D269" s="539"/>
      <c r="E269" s="344" t="s">
        <v>92</v>
      </c>
      <c r="F269" s="8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30"/>
      <c r="H269" s="830"/>
      <c r="I269" s="830"/>
      <c r="J269" s="830"/>
      <c r="K269" s="830"/>
      <c r="L269" s="830"/>
      <c r="M269" s="822"/>
      <c r="N269" s="781"/>
      <c r="AH269" s="50">
        <v>26</v>
      </c>
    </row>
    <row r="270" s="50" customFormat="1" ht="60.75" hidden="1" customHeight="1">
      <c r="A270" s="143" t="s">
        <v>152</v>
      </c>
      <c r="B270" s="143" t="s">
        <v>153</v>
      </c>
      <c r="C270" s="395"/>
      <c r="D270" s="1069"/>
      <c r="E270" s="344"/>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84" t="str">
        <f>INDEX(PT_DIFFERENTIATION_NTAR,MATCH(B270,PT_DIFFERENTIATION_NTAR_ID,0))</f>
        <v/>
      </c>
      <c r="H270" s="417"/>
      <c r="I270" s="1059"/>
      <c r="J270" s="1060"/>
      <c r="K270" s="433"/>
      <c r="L270" s="417" t="s">
        <v>301</v>
      </c>
      <c r="M270"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81"/>
      <c r="O270" s="129"/>
      <c r="P270" s="129"/>
      <c r="AH270" s="50">
        <v>0</v>
      </c>
    </row>
    <row r="271" s="50" customFormat="1" ht="18.75" hidden="1" customHeight="1">
      <c r="A271" s="143"/>
      <c r="B271" s="143"/>
      <c r="C271" s="395" t="s">
        <v>1192</v>
      </c>
      <c r="D271" s="1069"/>
      <c r="E271" s="344"/>
      <c r="F271" s="79"/>
      <c r="G271" s="984"/>
      <c r="H271" s="701"/>
      <c r="I271" s="177" t="s">
        <v>1191</v>
      </c>
      <c r="J271" s="235"/>
      <c r="K271" s="701"/>
      <c r="L271" s="832"/>
      <c r="M271" s="287"/>
      <c r="N271" s="781"/>
      <c r="O271" s="129"/>
      <c r="P271" s="129"/>
      <c r="AH271" s="50">
        <v>0</v>
      </c>
    </row>
    <row r="272" s="50" customFormat="1" ht="0.75" hidden="1" customHeight="1">
      <c r="A272" s="143"/>
      <c r="B272" s="143"/>
      <c r="C272" s="395" t="s">
        <v>1199</v>
      </c>
      <c r="D272" s="1069"/>
      <c r="E272" s="344"/>
      <c r="F272" s="79"/>
      <c r="G272" s="1068"/>
      <c r="H272" s="701"/>
      <c r="I272" s="177"/>
      <c r="J272" s="235"/>
      <c r="K272" s="701"/>
      <c r="L272" s="832"/>
      <c r="M272" s="287"/>
      <c r="N272" s="781"/>
      <c r="O272" s="129"/>
      <c r="P272" s="129"/>
      <c r="AH272" s="50">
        <v>0</v>
      </c>
    </row>
    <row r="273" s="50" customFormat="1" ht="45" hidden="1" customHeight="1">
      <c r="A273" s="143" t="s">
        <v>157</v>
      </c>
      <c r="B273" s="143" t="s">
        <v>158</v>
      </c>
      <c r="C273" s="395"/>
      <c r="D273" s="1069"/>
      <c r="E273" s="344"/>
      <c r="F273" s="79" t="str">
        <f>INDEX(PT_DIFFERENTIATION_VTAR,MATCH(A273,PT_DIFFERENTIATION_VTAR_ID,0))</f>
        <v/>
      </c>
      <c r="G273" s="984" t="str">
        <f>INDEX(PT_DIFFERENTIATION_NTAR,MATCH(B273,PT_DIFFERENTIATION_NTAR_ID,0))</f>
        <v/>
      </c>
      <c r="H273" s="417"/>
      <c r="I273" s="1059"/>
      <c r="J273" s="1060"/>
      <c r="K273" s="433"/>
      <c r="L273" s="417" t="s">
        <v>301</v>
      </c>
      <c r="M273" s="289"/>
      <c r="N273" s="781"/>
      <c r="O273" s="129"/>
      <c r="P273" s="129"/>
      <c r="AH273" s="50">
        <v>0</v>
      </c>
    </row>
    <row r="274" s="50" customFormat="1" ht="18.75" hidden="1" customHeight="1">
      <c r="A274" s="143"/>
      <c r="B274" s="143"/>
      <c r="C274" s="395" t="s">
        <v>1192</v>
      </c>
      <c r="D274" s="1069"/>
      <c r="E274" s="344"/>
      <c r="F274" s="79"/>
      <c r="G274" s="984"/>
      <c r="H274" s="701"/>
      <c r="I274" s="177" t="s">
        <v>1191</v>
      </c>
      <c r="J274" s="235"/>
      <c r="K274" s="701"/>
      <c r="L274" s="832"/>
      <c r="M274" s="287"/>
      <c r="N274" s="781"/>
      <c r="O274" s="129"/>
      <c r="P274" s="129"/>
      <c r="AH274" s="50">
        <v>0</v>
      </c>
    </row>
    <row r="275" s="50" customFormat="1" ht="0.75" hidden="1" customHeight="1">
      <c r="A275" s="143"/>
      <c r="B275" s="143"/>
      <c r="C275" s="395" t="s">
        <v>1199</v>
      </c>
      <c r="D275" s="1069"/>
      <c r="E275" s="344"/>
      <c r="F275" s="79"/>
      <c r="G275" s="1068"/>
      <c r="H275" s="701"/>
      <c r="I275" s="177"/>
      <c r="J275" s="235"/>
      <c r="K275" s="701"/>
      <c r="L275" s="832"/>
      <c r="M275" s="1055"/>
      <c r="N275" s="781"/>
      <c r="O275" s="129"/>
      <c r="P275" s="129"/>
      <c r="AH275" s="50">
        <v>0</v>
      </c>
    </row>
    <row r="276" s="50" customFormat="1" ht="45" hidden="1" customHeight="1">
      <c r="A276" s="143" t="s">
        <v>164</v>
      </c>
      <c r="B276" s="143" t="s">
        <v>165</v>
      </c>
      <c r="C276" s="395"/>
      <c r="D276" s="1069"/>
      <c r="E276" s="344"/>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84" t="str">
        <f>INDEX(PT_DIFFERENTIATION_NTAR,MATCH(B276,PT_DIFFERENTIATION_NTAR_ID,0))</f>
        <v/>
      </c>
      <c r="H276" s="417"/>
      <c r="I276" s="1059"/>
      <c r="J276" s="1060"/>
      <c r="K276" s="433"/>
      <c r="L276" s="417" t="s">
        <v>301</v>
      </c>
      <c r="M276" s="1055"/>
      <c r="N276" s="781"/>
      <c r="O276" s="129"/>
      <c r="P276" s="129"/>
      <c r="AH276" s="50">
        <v>0</v>
      </c>
    </row>
    <row r="277" s="50" customFormat="1" ht="18.75" hidden="1" customHeight="1">
      <c r="A277" s="143"/>
      <c r="B277" s="143"/>
      <c r="C277" s="395" t="s">
        <v>1192</v>
      </c>
      <c r="D277" s="1069"/>
      <c r="E277" s="344"/>
      <c r="F277" s="79"/>
      <c r="G277" s="984"/>
      <c r="H277" s="701"/>
      <c r="I277" s="177" t="s">
        <v>1191</v>
      </c>
      <c r="J277" s="235"/>
      <c r="K277" s="701"/>
      <c r="L277" s="832"/>
      <c r="M277" s="1055"/>
      <c r="N277" s="781"/>
      <c r="O277" s="129"/>
      <c r="P277" s="129"/>
      <c r="AH277" s="50">
        <v>0</v>
      </c>
    </row>
    <row r="278" s="50" customFormat="1" ht="0.75" hidden="1" customHeight="1">
      <c r="A278" s="143"/>
      <c r="B278" s="143"/>
      <c r="C278" s="395" t="s">
        <v>1199</v>
      </c>
      <c r="D278" s="1069"/>
      <c r="E278" s="344"/>
      <c r="F278" s="79"/>
      <c r="G278" s="1068"/>
      <c r="H278" s="701"/>
      <c r="I278" s="177"/>
      <c r="J278" s="235"/>
      <c r="K278" s="701"/>
      <c r="L278" s="832"/>
      <c r="M278" s="1055"/>
      <c r="N278" s="781"/>
      <c r="O278" s="129"/>
      <c r="P278" s="129"/>
      <c r="AH278" s="50">
        <v>0</v>
      </c>
    </row>
    <row r="279" s="50" customFormat="1" ht="45" hidden="1" customHeight="1">
      <c r="A279" s="143" t="s">
        <v>170</v>
      </c>
      <c r="B279" s="143" t="s">
        <v>171</v>
      </c>
      <c r="C279" s="395"/>
      <c r="D279" s="1069"/>
      <c r="E279" s="344"/>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84" t="str">
        <f>INDEX(PT_DIFFERENTIATION_NTAR,MATCH(B279,PT_DIFFERENTIATION_NTAR_ID,0))</f>
        <v/>
      </c>
      <c r="H279" s="417"/>
      <c r="I279" s="1059"/>
      <c r="J279" s="1060"/>
      <c r="K279" s="433"/>
      <c r="L279" s="417" t="s">
        <v>301</v>
      </c>
      <c r="M279" s="1055"/>
      <c r="N279" s="781"/>
      <c r="O279" s="129"/>
      <c r="P279" s="129"/>
      <c r="AH279" s="50">
        <v>0</v>
      </c>
    </row>
    <row r="280" s="50" customFormat="1" ht="18.75" hidden="1" customHeight="1">
      <c r="A280" s="143"/>
      <c r="B280" s="143"/>
      <c r="C280" s="395" t="s">
        <v>1192</v>
      </c>
      <c r="D280" s="1069"/>
      <c r="E280" s="344"/>
      <c r="F280" s="79"/>
      <c r="G280" s="984"/>
      <c r="H280" s="701"/>
      <c r="I280" s="177" t="s">
        <v>1191</v>
      </c>
      <c r="J280" s="235"/>
      <c r="K280" s="701"/>
      <c r="L280" s="832"/>
      <c r="M280" s="1055"/>
      <c r="N280" s="781"/>
      <c r="O280" s="129"/>
      <c r="P280" s="129"/>
      <c r="AH280" s="50">
        <v>0</v>
      </c>
    </row>
    <row r="281" s="50" customFormat="1" ht="0.75" hidden="1" customHeight="1">
      <c r="A281" s="143"/>
      <c r="B281" s="143"/>
      <c r="C281" s="395" t="s">
        <v>1199</v>
      </c>
      <c r="D281" s="1069"/>
      <c r="E281" s="344"/>
      <c r="F281" s="79"/>
      <c r="G281" s="1068"/>
      <c r="H281" s="701"/>
      <c r="I281" s="177"/>
      <c r="J281" s="235"/>
      <c r="K281" s="701"/>
      <c r="L281" s="832"/>
      <c r="M281" s="1055"/>
      <c r="N281" s="781"/>
      <c r="O281" s="129"/>
      <c r="P281" s="129"/>
      <c r="AH281" s="50">
        <v>0</v>
      </c>
    </row>
    <row r="282" s="50" customFormat="1" ht="18.75" hidden="1" customHeight="1">
      <c r="A282" s="143" t="s">
        <v>176</v>
      </c>
      <c r="B282" s="143" t="s">
        <v>177</v>
      </c>
      <c r="C282" s="395"/>
      <c r="D282" s="1069"/>
      <c r="E282" s="344"/>
      <c r="F282" s="79" t="str">
        <f>INDEX(PT_DIFFERENTIATION_VTAR,MATCH(A282,PT_DIFFERENTIATION_VTAR_ID,0))</f>
        <v xml:space="preserve">Тарифы на услуги по передаче тепловой энергии</v>
      </c>
      <c r="G282" s="984" t="str">
        <f>INDEX(PT_DIFFERENTIATION_NTAR,MATCH(B282,PT_DIFFERENTIATION_NTAR_ID,0))</f>
        <v/>
      </c>
      <c r="H282" s="417"/>
      <c r="I282" s="1059"/>
      <c r="J282" s="1060"/>
      <c r="K282" s="433"/>
      <c r="L282" s="417" t="s">
        <v>301</v>
      </c>
      <c r="M282" s="1055"/>
      <c r="N282" s="781"/>
      <c r="O282" s="129"/>
      <c r="P282" s="129"/>
      <c r="AH282" s="50">
        <v>0</v>
      </c>
    </row>
    <row r="283" s="50" customFormat="1" ht="18.75" hidden="1" customHeight="1">
      <c r="A283" s="143"/>
      <c r="B283" s="143"/>
      <c r="C283" s="395" t="s">
        <v>1192</v>
      </c>
      <c r="D283" s="1069"/>
      <c r="E283" s="344"/>
      <c r="F283" s="79"/>
      <c r="G283" s="984"/>
      <c r="H283" s="701"/>
      <c r="I283" s="177" t="s">
        <v>1191</v>
      </c>
      <c r="J283" s="235"/>
      <c r="K283" s="701"/>
      <c r="L283" s="832"/>
      <c r="M283" s="1055"/>
      <c r="N283" s="781"/>
      <c r="O283" s="129"/>
      <c r="P283" s="129"/>
      <c r="AH283" s="50">
        <v>0</v>
      </c>
    </row>
    <row r="284" s="50" customFormat="1" ht="0.75" hidden="1" customHeight="1">
      <c r="A284" s="143"/>
      <c r="B284" s="143"/>
      <c r="C284" s="395" t="s">
        <v>1199</v>
      </c>
      <c r="D284" s="1069"/>
      <c r="E284" s="344"/>
      <c r="F284" s="79"/>
      <c r="G284" s="1068"/>
      <c r="H284" s="701"/>
      <c r="I284" s="177"/>
      <c r="J284" s="235"/>
      <c r="K284" s="701"/>
      <c r="L284" s="832"/>
      <c r="M284" s="1055"/>
      <c r="N284" s="781"/>
      <c r="O284" s="129"/>
      <c r="P284" s="129"/>
      <c r="AH284" s="50">
        <v>0</v>
      </c>
    </row>
    <row r="285" s="50" customFormat="1" ht="18.75" hidden="1" customHeight="1">
      <c r="A285" s="143" t="s">
        <v>182</v>
      </c>
      <c r="B285" s="143" t="s">
        <v>183</v>
      </c>
      <c r="C285" s="395"/>
      <c r="D285" s="1069"/>
      <c r="E285" s="344"/>
      <c r="F285" s="79" t="str">
        <f>INDEX(PT_DIFFERENTIATION_VTAR,MATCH(A285,PT_DIFFERENTIATION_VTAR_ID,0))</f>
        <v xml:space="preserve">Тарифы на услуги по передаче теплоносителя</v>
      </c>
      <c r="G285" s="984" t="str">
        <f>INDEX(PT_DIFFERENTIATION_NTAR,MATCH(B285,PT_DIFFERENTIATION_NTAR_ID,0))</f>
        <v/>
      </c>
      <c r="H285" s="417"/>
      <c r="I285" s="1059"/>
      <c r="J285" s="1060"/>
      <c r="K285" s="433"/>
      <c r="L285" s="417" t="s">
        <v>301</v>
      </c>
      <c r="M285" s="1055"/>
      <c r="N285" s="781"/>
      <c r="O285" s="129"/>
      <c r="P285" s="129"/>
      <c r="AH285" s="50">
        <v>0</v>
      </c>
    </row>
    <row r="286" s="50" customFormat="1" ht="18.75" hidden="1" customHeight="1">
      <c r="A286" s="143"/>
      <c r="B286" s="143"/>
      <c r="C286" s="395" t="s">
        <v>1192</v>
      </c>
      <c r="D286" s="1069"/>
      <c r="E286" s="344"/>
      <c r="F286" s="79"/>
      <c r="G286" s="984"/>
      <c r="H286" s="701"/>
      <c r="I286" s="177" t="s">
        <v>1191</v>
      </c>
      <c r="J286" s="235"/>
      <c r="K286" s="701"/>
      <c r="L286" s="832"/>
      <c r="M286" s="1055"/>
      <c r="N286" s="781"/>
      <c r="O286" s="129"/>
      <c r="P286" s="129"/>
      <c r="AH286" s="50">
        <v>0</v>
      </c>
    </row>
    <row r="287" s="50" customFormat="1" ht="0.75" hidden="1" customHeight="1">
      <c r="A287" s="143"/>
      <c r="B287" s="143"/>
      <c r="C287" s="395" t="s">
        <v>1199</v>
      </c>
      <c r="D287" s="1069"/>
      <c r="E287" s="344"/>
      <c r="F287" s="79"/>
      <c r="G287" s="1068"/>
      <c r="H287" s="701"/>
      <c r="I287" s="177"/>
      <c r="J287" s="235"/>
      <c r="K287" s="701"/>
      <c r="L287" s="832"/>
      <c r="M287" s="1055"/>
      <c r="N287" s="781"/>
      <c r="O287" s="129"/>
      <c r="P287" s="129"/>
      <c r="AH287" s="50">
        <v>0</v>
      </c>
    </row>
    <row r="288" s="50" customFormat="1" ht="18.75" hidden="1" customHeight="1">
      <c r="A288" s="143" t="s">
        <v>188</v>
      </c>
      <c r="B288" s="143" t="s">
        <v>189</v>
      </c>
      <c r="C288" s="395"/>
      <c r="D288" s="1069"/>
      <c r="E288" s="344"/>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84" t="str">
        <f>INDEX(PT_DIFFERENTIATION_NTAR,MATCH(B288,PT_DIFFERENTIATION_NTAR_ID,0))</f>
        <v/>
      </c>
      <c r="H288" s="417"/>
      <c r="I288" s="1059"/>
      <c r="J288" s="1060"/>
      <c r="K288" s="433"/>
      <c r="L288" s="417" t="s">
        <v>301</v>
      </c>
      <c r="M288" s="1055"/>
      <c r="N288" s="781"/>
      <c r="O288" s="129"/>
      <c r="P288" s="129"/>
      <c r="AH288" s="50">
        <v>0</v>
      </c>
    </row>
    <row r="289" s="50" customFormat="1" ht="18.75" hidden="1" customHeight="1">
      <c r="A289" s="143"/>
      <c r="B289" s="143"/>
      <c r="C289" s="395" t="s">
        <v>1192</v>
      </c>
      <c r="D289" s="1069"/>
      <c r="E289" s="344"/>
      <c r="F289" s="79"/>
      <c r="G289" s="984"/>
      <c r="H289" s="701"/>
      <c r="I289" s="177" t="s">
        <v>1191</v>
      </c>
      <c r="J289" s="235"/>
      <c r="K289" s="701"/>
      <c r="L289" s="832"/>
      <c r="M289" s="1055"/>
      <c r="N289" s="781"/>
      <c r="O289" s="129"/>
      <c r="P289" s="129"/>
      <c r="AH289" s="50">
        <v>0</v>
      </c>
    </row>
    <row r="290" s="50" customFormat="1" ht="0.75" hidden="1" customHeight="1">
      <c r="A290" s="143"/>
      <c r="B290" s="143"/>
      <c r="C290" s="395" t="s">
        <v>1199</v>
      </c>
      <c r="D290" s="1069"/>
      <c r="E290" s="344"/>
      <c r="F290" s="79"/>
      <c r="G290" s="1068"/>
      <c r="H290" s="701"/>
      <c r="I290" s="177"/>
      <c r="J290" s="235"/>
      <c r="K290" s="701"/>
      <c r="L290" s="832"/>
      <c r="M290" s="1055"/>
      <c r="N290" s="781"/>
      <c r="O290" s="129"/>
      <c r="P290" s="129"/>
      <c r="AH290" s="50">
        <v>0</v>
      </c>
    </row>
    <row r="291" s="50" customFormat="1" ht="18.75" hidden="1" customHeight="1">
      <c r="A291" s="143" t="s">
        <v>194</v>
      </c>
      <c r="B291" s="143" t="s">
        <v>195</v>
      </c>
      <c r="C291" s="395"/>
      <c r="D291" s="1069"/>
      <c r="E291" s="344"/>
      <c r="F291" s="79" t="str">
        <f>INDEX(PT_DIFFERENTIATION_VTAR,MATCH(A291,PT_DIFFERENTIATION_VTAR_ID,0))</f>
        <v xml:space="preserve">Плата за подключение (технологическое присоединение) к системе теплоснабжения</v>
      </c>
      <c r="G291" s="984" t="str">
        <f>INDEX(PT_DIFFERENTIATION_NTAR,MATCH(B291,PT_DIFFERENTIATION_NTAR_ID,0))</f>
        <v/>
      </c>
      <c r="H291" s="417"/>
      <c r="I291" s="1059"/>
      <c r="J291" s="1060"/>
      <c r="K291" s="433"/>
      <c r="L291" s="417" t="s">
        <v>301</v>
      </c>
      <c r="M291" s="1055"/>
      <c r="N291" s="781"/>
      <c r="O291" s="129"/>
      <c r="P291" s="129"/>
      <c r="AH291" s="50">
        <v>0</v>
      </c>
    </row>
    <row r="292" s="50" customFormat="1" ht="18.75" hidden="1" customHeight="1">
      <c r="A292" s="143"/>
      <c r="B292" s="143"/>
      <c r="C292" s="395" t="s">
        <v>1192</v>
      </c>
      <c r="D292" s="1069"/>
      <c r="E292" s="344"/>
      <c r="F292" s="79"/>
      <c r="G292" s="984"/>
      <c r="H292" s="701"/>
      <c r="I292" s="177" t="s">
        <v>1191</v>
      </c>
      <c r="J292" s="235"/>
      <c r="K292" s="701"/>
      <c r="L292" s="832"/>
      <c r="M292" s="1055"/>
      <c r="N292" s="781"/>
      <c r="O292" s="129"/>
      <c r="P292" s="129"/>
      <c r="AH292" s="50">
        <v>0</v>
      </c>
    </row>
    <row r="293" s="50" customFormat="1" ht="0.75" hidden="1" customHeight="1">
      <c r="A293" s="143"/>
      <c r="B293" s="143"/>
      <c r="C293" s="395" t="s">
        <v>1199</v>
      </c>
      <c r="D293" s="1069"/>
      <c r="E293" s="344"/>
      <c r="F293" s="79"/>
      <c r="G293" s="1068"/>
      <c r="H293" s="701"/>
      <c r="I293" s="177"/>
      <c r="J293" s="235"/>
      <c r="K293" s="701"/>
      <c r="L293" s="832"/>
      <c r="M293" s="1055"/>
      <c r="N293" s="781"/>
      <c r="O293" s="129"/>
      <c r="P293" s="129"/>
      <c r="AH293" s="50">
        <v>0</v>
      </c>
    </row>
    <row r="294" s="50" customFormat="1" ht="18.75" hidden="1" customHeight="1">
      <c r="A294" s="143" t="s">
        <v>200</v>
      </c>
      <c r="B294" s="143" t="s">
        <v>201</v>
      </c>
      <c r="C294" s="395"/>
      <c r="D294" s="1069"/>
      <c r="E294" s="344"/>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84" t="str">
        <f>INDEX(PT_DIFFERENTIATION_NTAR,MATCH(B294,PT_DIFFERENTIATION_NTAR_ID,0))</f>
        <v/>
      </c>
      <c r="H294" s="417"/>
      <c r="I294" s="1059"/>
      <c r="J294" s="1060"/>
      <c r="K294" s="433"/>
      <c r="L294" s="417" t="s">
        <v>301</v>
      </c>
      <c r="M294" s="1055"/>
      <c r="N294" s="781"/>
      <c r="O294" s="129"/>
      <c r="P294" s="129"/>
      <c r="AH294" s="50">
        <v>0</v>
      </c>
    </row>
    <row r="295" s="50" customFormat="1" ht="18.75" hidden="1" customHeight="1">
      <c r="A295" s="143"/>
      <c r="B295" s="143"/>
      <c r="C295" s="395" t="s">
        <v>1192</v>
      </c>
      <c r="D295" s="1069"/>
      <c r="E295" s="344"/>
      <c r="F295" s="79"/>
      <c r="G295" s="984"/>
      <c r="H295" s="701"/>
      <c r="I295" s="177" t="s">
        <v>1191</v>
      </c>
      <c r="J295" s="235"/>
      <c r="K295" s="701"/>
      <c r="L295" s="832"/>
      <c r="M295" s="1055"/>
      <c r="N295" s="781"/>
      <c r="O295" s="129"/>
      <c r="P295" s="129"/>
      <c r="AH295" s="50">
        <v>0</v>
      </c>
    </row>
    <row r="296" s="50" customFormat="1" ht="0.75" hidden="1" customHeight="1">
      <c r="A296" s="143"/>
      <c r="B296" s="143"/>
      <c r="C296" s="395" t="s">
        <v>1199</v>
      </c>
      <c r="D296" s="1069"/>
      <c r="E296" s="344"/>
      <c r="F296" s="79"/>
      <c r="G296" s="1068"/>
      <c r="H296" s="701"/>
      <c r="I296" s="177"/>
      <c r="J296" s="235"/>
      <c r="K296" s="701"/>
      <c r="L296" s="832"/>
      <c r="M296" s="1055"/>
      <c r="N296" s="781"/>
      <c r="O296" s="129"/>
      <c r="P296" s="129"/>
      <c r="AH296" s="50">
        <v>0</v>
      </c>
    </row>
    <row r="297" s="50" customFormat="1" ht="18.75" hidden="1" customHeight="1">
      <c r="A297" s="143" t="s">
        <v>220</v>
      </c>
      <c r="B297" s="143" t="s">
        <v>221</v>
      </c>
      <c r="C297" s="395"/>
      <c r="D297" s="1069"/>
      <c r="E297" s="344"/>
      <c r="F297" s="79" t="str">
        <f>INDEX(PT_DIFFERENTIATION_VTAR,MATCH(A297,PT_DIFFERENTIATION_VTAR_ID,0))</f>
        <v xml:space="preserve">Тариф на питьевую воду (питьевое водоснабжение)</v>
      </c>
      <c r="G297" s="984" t="str">
        <f>INDEX(PT_DIFFERENTIATION_NTAR,MATCH(B297,PT_DIFFERENTIATION_NTAR_ID,0))</f>
        <v/>
      </c>
      <c r="H297" s="417"/>
      <c r="I297" s="1059"/>
      <c r="J297" s="1060"/>
      <c r="K297" s="433"/>
      <c r="L297" s="417" t="s">
        <v>301</v>
      </c>
      <c r="M297" s="1055"/>
      <c r="N297" s="781"/>
      <c r="O297" s="129"/>
      <c r="P297" s="129"/>
      <c r="AH297" s="50">
        <v>0</v>
      </c>
    </row>
    <row r="298" s="50" customFormat="1" ht="18.75" hidden="1" customHeight="1">
      <c r="A298" s="143"/>
      <c r="B298" s="143"/>
      <c r="C298" s="395" t="s">
        <v>1192</v>
      </c>
      <c r="D298" s="1069"/>
      <c r="E298" s="344"/>
      <c r="F298" s="79"/>
      <c r="G298" s="984"/>
      <c r="H298" s="701"/>
      <c r="I298" s="177" t="s">
        <v>1191</v>
      </c>
      <c r="J298" s="235"/>
      <c r="K298" s="701"/>
      <c r="L298" s="832"/>
      <c r="M298" s="1055"/>
      <c r="N298" s="781"/>
      <c r="O298" s="129"/>
      <c r="P298" s="129"/>
      <c r="AH298" s="50">
        <v>0</v>
      </c>
    </row>
    <row r="299" s="50" customFormat="1" ht="0.75" hidden="1" customHeight="1">
      <c r="A299" s="143"/>
      <c r="B299" s="143"/>
      <c r="C299" s="395" t="s">
        <v>1199</v>
      </c>
      <c r="D299" s="1069"/>
      <c r="E299" s="344"/>
      <c r="F299" s="79"/>
      <c r="G299" s="1068"/>
      <c r="H299" s="701"/>
      <c r="I299" s="177"/>
      <c r="J299" s="235"/>
      <c r="K299" s="701"/>
      <c r="L299" s="832"/>
      <c r="M299" s="1055"/>
      <c r="N299" s="781"/>
      <c r="O299" s="129"/>
      <c r="P299" s="129"/>
      <c r="AH299" s="50">
        <v>0</v>
      </c>
    </row>
    <row r="300" s="50" customFormat="1" ht="18.75" hidden="1" customHeight="1">
      <c r="A300" s="143" t="s">
        <v>225</v>
      </c>
      <c r="B300" s="143" t="s">
        <v>226</v>
      </c>
      <c r="C300" s="395"/>
      <c r="D300" s="1069"/>
      <c r="E300" s="344"/>
      <c r="F300" s="79" t="str">
        <f>INDEX(PT_DIFFERENTIATION_VTAR,MATCH(A300,PT_DIFFERENTIATION_VTAR_ID,0))</f>
        <v xml:space="preserve">Тариф на техническую воду</v>
      </c>
      <c r="G300" s="984" t="str">
        <f>INDEX(PT_DIFFERENTIATION_NTAR,MATCH(B300,PT_DIFFERENTIATION_NTAR_ID,0))</f>
        <v/>
      </c>
      <c r="H300" s="417"/>
      <c r="I300" s="1059"/>
      <c r="J300" s="1060"/>
      <c r="K300" s="433"/>
      <c r="L300" s="417" t="s">
        <v>301</v>
      </c>
      <c r="M300" s="1055"/>
      <c r="N300" s="781"/>
      <c r="O300" s="129"/>
      <c r="P300" s="129"/>
      <c r="AH300" s="50">
        <v>0</v>
      </c>
    </row>
    <row r="301" s="50" customFormat="1" ht="18.75" hidden="1" customHeight="1">
      <c r="A301" s="143"/>
      <c r="B301" s="143"/>
      <c r="C301" s="395" t="s">
        <v>1192</v>
      </c>
      <c r="D301" s="1069"/>
      <c r="E301" s="344"/>
      <c r="F301" s="79"/>
      <c r="G301" s="984"/>
      <c r="H301" s="701"/>
      <c r="I301" s="177" t="s">
        <v>1191</v>
      </c>
      <c r="J301" s="235"/>
      <c r="K301" s="701"/>
      <c r="L301" s="832"/>
      <c r="M301" s="1055"/>
      <c r="N301" s="781"/>
      <c r="O301" s="129"/>
      <c r="P301" s="129"/>
      <c r="AH301" s="50">
        <v>0</v>
      </c>
    </row>
    <row r="302" s="50" customFormat="1" ht="0.75" hidden="1" customHeight="1">
      <c r="A302" s="143"/>
      <c r="B302" s="143"/>
      <c r="C302" s="395" t="s">
        <v>1199</v>
      </c>
      <c r="D302" s="1069"/>
      <c r="E302" s="344"/>
      <c r="F302" s="79"/>
      <c r="G302" s="1068"/>
      <c r="H302" s="701"/>
      <c r="I302" s="177"/>
      <c r="J302" s="235"/>
      <c r="K302" s="701"/>
      <c r="L302" s="832"/>
      <c r="M302" s="1055"/>
      <c r="N302" s="781"/>
      <c r="O302" s="129"/>
      <c r="P302" s="129"/>
      <c r="AH302" s="50">
        <v>0</v>
      </c>
    </row>
    <row r="303" s="50" customFormat="1" ht="18.75" hidden="1" customHeight="1">
      <c r="A303" s="143" t="s">
        <v>230</v>
      </c>
      <c r="B303" s="143" t="s">
        <v>231</v>
      </c>
      <c r="C303" s="395"/>
      <c r="D303" s="1069"/>
      <c r="E303" s="344"/>
      <c r="F303" s="79" t="str">
        <f>INDEX(PT_DIFFERENTIATION_VTAR,MATCH(A303,PT_DIFFERENTIATION_VTAR_ID,0))</f>
        <v xml:space="preserve">Тариф на транспортировку воды</v>
      </c>
      <c r="G303" s="984" t="str">
        <f>INDEX(PT_DIFFERENTIATION_NTAR,MATCH(B303,PT_DIFFERENTIATION_NTAR_ID,0))</f>
        <v/>
      </c>
      <c r="H303" s="417"/>
      <c r="I303" s="1059"/>
      <c r="J303" s="1060"/>
      <c r="K303" s="433"/>
      <c r="L303" s="417" t="s">
        <v>301</v>
      </c>
      <c r="M303" s="1055"/>
      <c r="N303" s="781"/>
      <c r="O303" s="129"/>
      <c r="P303" s="129"/>
      <c r="AH303" s="50">
        <v>0</v>
      </c>
    </row>
    <row r="304" s="50" customFormat="1" ht="18.75" hidden="1" customHeight="1">
      <c r="A304" s="143"/>
      <c r="B304" s="143"/>
      <c r="C304" s="395" t="s">
        <v>1192</v>
      </c>
      <c r="D304" s="1069"/>
      <c r="E304" s="344"/>
      <c r="F304" s="79"/>
      <c r="G304" s="984"/>
      <c r="H304" s="701"/>
      <c r="I304" s="177" t="s">
        <v>1191</v>
      </c>
      <c r="J304" s="235"/>
      <c r="K304" s="701"/>
      <c r="L304" s="832"/>
      <c r="M304" s="1055"/>
      <c r="N304" s="781"/>
      <c r="O304" s="129"/>
      <c r="P304" s="129"/>
      <c r="AH304" s="50">
        <v>0</v>
      </c>
    </row>
    <row r="305" s="50" customFormat="1" ht="0.75" hidden="1" customHeight="1">
      <c r="A305" s="143"/>
      <c r="B305" s="143"/>
      <c r="C305" s="395" t="s">
        <v>1199</v>
      </c>
      <c r="D305" s="1069"/>
      <c r="E305" s="344"/>
      <c r="F305" s="79"/>
      <c r="G305" s="1068"/>
      <c r="H305" s="701"/>
      <c r="I305" s="177"/>
      <c r="J305" s="235"/>
      <c r="K305" s="701"/>
      <c r="L305" s="832"/>
      <c r="M305" s="1055"/>
      <c r="N305" s="781"/>
      <c r="O305" s="129"/>
      <c r="P305" s="129"/>
      <c r="AH305" s="50">
        <v>0</v>
      </c>
    </row>
    <row r="306" s="50" customFormat="1" ht="18.75" hidden="1" customHeight="1">
      <c r="A306" s="143" t="s">
        <v>235</v>
      </c>
      <c r="B306" s="143" t="s">
        <v>236</v>
      </c>
      <c r="C306" s="395"/>
      <c r="D306" s="1069"/>
      <c r="E306" s="344"/>
      <c r="F306" s="79" t="str">
        <f>INDEX(PT_DIFFERENTIATION_VTAR,MATCH(A306,PT_DIFFERENTIATION_VTAR_ID,0))</f>
        <v xml:space="preserve">Тариф на подвоз воды</v>
      </c>
      <c r="G306" s="984" t="str">
        <f>INDEX(PT_DIFFERENTIATION_NTAR,MATCH(B306,PT_DIFFERENTIATION_NTAR_ID,0))</f>
        <v/>
      </c>
      <c r="H306" s="417"/>
      <c r="I306" s="1059"/>
      <c r="J306" s="1060"/>
      <c r="K306" s="433"/>
      <c r="L306" s="417" t="s">
        <v>301</v>
      </c>
      <c r="M306" s="1055"/>
      <c r="N306" s="781"/>
      <c r="O306" s="129"/>
      <c r="P306" s="129"/>
      <c r="AH306" s="50">
        <v>0</v>
      </c>
    </row>
    <row r="307" s="50" customFormat="1" ht="18.75" hidden="1" customHeight="1">
      <c r="A307" s="143"/>
      <c r="B307" s="143"/>
      <c r="C307" s="395" t="s">
        <v>1192</v>
      </c>
      <c r="D307" s="1069"/>
      <c r="E307" s="344"/>
      <c r="F307" s="79"/>
      <c r="G307" s="984"/>
      <c r="H307" s="701"/>
      <c r="I307" s="177" t="s">
        <v>1191</v>
      </c>
      <c r="J307" s="235"/>
      <c r="K307" s="701"/>
      <c r="L307" s="832"/>
      <c r="M307" s="1055"/>
      <c r="N307" s="781"/>
      <c r="O307" s="129"/>
      <c r="P307" s="129"/>
      <c r="AH307" s="50">
        <v>0</v>
      </c>
    </row>
    <row r="308" s="50" customFormat="1" ht="0.75" hidden="1" customHeight="1">
      <c r="A308" s="143"/>
      <c r="B308" s="143"/>
      <c r="C308" s="395" t="s">
        <v>1199</v>
      </c>
      <c r="D308" s="1069"/>
      <c r="E308" s="344"/>
      <c r="F308" s="79"/>
      <c r="G308" s="1068"/>
      <c r="H308" s="701"/>
      <c r="I308" s="177"/>
      <c r="J308" s="235"/>
      <c r="K308" s="701"/>
      <c r="L308" s="832"/>
      <c r="M308" s="1055"/>
      <c r="N308" s="781"/>
      <c r="O308" s="129"/>
      <c r="P308" s="129"/>
      <c r="AH308" s="50">
        <v>0</v>
      </c>
    </row>
    <row r="309" s="50" customFormat="1" ht="18.75" hidden="1" customHeight="1">
      <c r="A309" s="143" t="s">
        <v>240</v>
      </c>
      <c r="B309" s="143" t="s">
        <v>241</v>
      </c>
      <c r="C309" s="395"/>
      <c r="D309" s="1069"/>
      <c r="E309" s="344"/>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84" t="str">
        <f>INDEX(PT_DIFFERENTIATION_NTAR,MATCH(B309,PT_DIFFERENTIATION_NTAR_ID,0))</f>
        <v/>
      </c>
      <c r="H309" s="417"/>
      <c r="I309" s="1059"/>
      <c r="J309" s="1060"/>
      <c r="K309" s="433"/>
      <c r="L309" s="417" t="s">
        <v>301</v>
      </c>
      <c r="M309" s="1055"/>
      <c r="N309" s="781"/>
      <c r="O309" s="129"/>
      <c r="P309" s="129"/>
      <c r="AH309" s="50">
        <v>0</v>
      </c>
    </row>
    <row r="310" s="50" customFormat="1" ht="18.75" hidden="1" customHeight="1">
      <c r="A310" s="143"/>
      <c r="B310" s="143"/>
      <c r="C310" s="395" t="s">
        <v>1192</v>
      </c>
      <c r="D310" s="1069"/>
      <c r="E310" s="344"/>
      <c r="F310" s="79"/>
      <c r="G310" s="984"/>
      <c r="H310" s="701"/>
      <c r="I310" s="177" t="s">
        <v>1191</v>
      </c>
      <c r="J310" s="235"/>
      <c r="K310" s="701"/>
      <c r="L310" s="832"/>
      <c r="M310" s="1055"/>
      <c r="N310" s="781"/>
      <c r="O310" s="129"/>
      <c r="P310" s="129"/>
      <c r="AH310" s="50">
        <v>0</v>
      </c>
    </row>
    <row r="311" s="50" customFormat="1" ht="0.75" hidden="1" customHeight="1">
      <c r="A311" s="143"/>
      <c r="B311" s="143"/>
      <c r="C311" s="395" t="s">
        <v>1199</v>
      </c>
      <c r="D311" s="1069"/>
      <c r="E311" s="344"/>
      <c r="F311" s="79"/>
      <c r="G311" s="1068"/>
      <c r="H311" s="701"/>
      <c r="I311" s="177"/>
      <c r="J311" s="235"/>
      <c r="K311" s="701"/>
      <c r="L311" s="832"/>
      <c r="M311" s="1055"/>
      <c r="N311" s="781"/>
      <c r="O311" s="129"/>
      <c r="P311" s="129"/>
      <c r="AH311" s="50">
        <v>0</v>
      </c>
    </row>
    <row r="312" s="50" customFormat="1" ht="18.75" hidden="1" customHeight="1">
      <c r="A312" s="143" t="s">
        <v>245</v>
      </c>
      <c r="B312" s="143" t="s">
        <v>246</v>
      </c>
      <c r="C312" s="395"/>
      <c r="D312" s="1069"/>
      <c r="E312" s="344"/>
      <c r="F312" s="79" t="str">
        <f>INDEX(PT_DIFFERENTIATION_VTAR,MATCH(A312,PT_DIFFERENTIATION_VTAR_ID,0))</f>
        <v xml:space="preserve">Тариф на горячую воду (горячее водоснабжение)</v>
      </c>
      <c r="G312" s="984" t="str">
        <f>INDEX(PT_DIFFERENTIATION_NTAR,MATCH(B312,PT_DIFFERENTIATION_NTAR_ID,0))</f>
        <v/>
      </c>
      <c r="H312" s="417"/>
      <c r="I312" s="1059"/>
      <c r="J312" s="1060"/>
      <c r="K312" s="433"/>
      <c r="L312" s="417" t="s">
        <v>301</v>
      </c>
      <c r="M312" s="1055"/>
      <c r="N312" s="781"/>
      <c r="O312" s="129"/>
      <c r="P312" s="129"/>
      <c r="AH312" s="50">
        <v>0</v>
      </c>
    </row>
    <row r="313" s="50" customFormat="1" ht="18.75" hidden="1" customHeight="1">
      <c r="A313" s="143"/>
      <c r="B313" s="143"/>
      <c r="C313" s="395" t="s">
        <v>1192</v>
      </c>
      <c r="D313" s="1069"/>
      <c r="E313" s="344"/>
      <c r="F313" s="79"/>
      <c r="G313" s="984"/>
      <c r="H313" s="701"/>
      <c r="I313" s="177" t="s">
        <v>1191</v>
      </c>
      <c r="J313" s="235"/>
      <c r="K313" s="701"/>
      <c r="L313" s="832"/>
      <c r="M313" s="1055"/>
      <c r="N313" s="781"/>
      <c r="O313" s="129"/>
      <c r="P313" s="129"/>
      <c r="AH313" s="50">
        <v>0</v>
      </c>
    </row>
    <row r="314" s="50" customFormat="1" ht="0.75" hidden="1" customHeight="1">
      <c r="A314" s="143"/>
      <c r="B314" s="143"/>
      <c r="C314" s="395" t="s">
        <v>1199</v>
      </c>
      <c r="D314" s="1069"/>
      <c r="E314" s="344"/>
      <c r="F314" s="79"/>
      <c r="G314" s="1068"/>
      <c r="H314" s="701"/>
      <c r="I314" s="177"/>
      <c r="J314" s="235"/>
      <c r="K314" s="701"/>
      <c r="L314" s="832"/>
      <c r="M314" s="1055"/>
      <c r="N314" s="781"/>
      <c r="O314" s="129"/>
      <c r="P314" s="129"/>
      <c r="AH314" s="50">
        <v>0</v>
      </c>
    </row>
    <row r="315" s="50" customFormat="1" ht="18.75" hidden="1" customHeight="1">
      <c r="A315" s="143" t="s">
        <v>250</v>
      </c>
      <c r="B315" s="143" t="s">
        <v>251</v>
      </c>
      <c r="C315" s="395"/>
      <c r="D315" s="1069"/>
      <c r="E315" s="344"/>
      <c r="F315" s="79" t="str">
        <f>INDEX(PT_DIFFERENTIATION_VTAR,MATCH(A315,PT_DIFFERENTIATION_VTAR_ID,0))</f>
        <v xml:space="preserve">Тариф на транспортировку горячей воды</v>
      </c>
      <c r="G315" s="984" t="str">
        <f>INDEX(PT_DIFFERENTIATION_NTAR,MATCH(B315,PT_DIFFERENTIATION_NTAR_ID,0))</f>
        <v/>
      </c>
      <c r="H315" s="417"/>
      <c r="I315" s="1059"/>
      <c r="J315" s="1060"/>
      <c r="K315" s="433"/>
      <c r="L315" s="417" t="s">
        <v>301</v>
      </c>
      <c r="M315" s="1055"/>
      <c r="N315" s="781"/>
      <c r="O315" s="129"/>
      <c r="P315" s="129"/>
      <c r="AH315" s="50">
        <v>0</v>
      </c>
    </row>
    <row r="316" s="50" customFormat="1" ht="18.75" hidden="1" customHeight="1">
      <c r="A316" s="143"/>
      <c r="B316" s="143"/>
      <c r="C316" s="395" t="s">
        <v>1192</v>
      </c>
      <c r="D316" s="1069"/>
      <c r="E316" s="344"/>
      <c r="F316" s="79"/>
      <c r="G316" s="984"/>
      <c r="H316" s="701"/>
      <c r="I316" s="177" t="s">
        <v>1191</v>
      </c>
      <c r="J316" s="235"/>
      <c r="K316" s="701"/>
      <c r="L316" s="832"/>
      <c r="M316" s="1055"/>
      <c r="N316" s="781"/>
      <c r="O316" s="129"/>
      <c r="P316" s="129"/>
      <c r="AH316" s="50">
        <v>0</v>
      </c>
    </row>
    <row r="317" s="50" customFormat="1" ht="0.75" hidden="1" customHeight="1">
      <c r="A317" s="143"/>
      <c r="B317" s="143"/>
      <c r="C317" s="395" t="s">
        <v>1199</v>
      </c>
      <c r="D317" s="1069"/>
      <c r="E317" s="344"/>
      <c r="F317" s="79"/>
      <c r="G317" s="1068"/>
      <c r="H317" s="701"/>
      <c r="I317" s="177"/>
      <c r="J317" s="235"/>
      <c r="K317" s="701"/>
      <c r="L317" s="832"/>
      <c r="M317" s="1055"/>
      <c r="N317" s="781"/>
      <c r="O317" s="129"/>
      <c r="P317" s="129"/>
      <c r="AH317" s="50">
        <v>0</v>
      </c>
    </row>
    <row r="318" s="50" customFormat="1" ht="18.75" hidden="1" customHeight="1">
      <c r="A318" s="143" t="s">
        <v>255</v>
      </c>
      <c r="B318" s="143" t="s">
        <v>256</v>
      </c>
      <c r="C318" s="395"/>
      <c r="D318" s="1069"/>
      <c r="E318" s="344"/>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84" t="str">
        <f>INDEX(PT_DIFFERENTIATION_NTAR,MATCH(B318,PT_DIFFERENTIATION_NTAR_ID,0))</f>
        <v/>
      </c>
      <c r="H318" s="417"/>
      <c r="I318" s="1059"/>
      <c r="J318" s="1060"/>
      <c r="K318" s="433"/>
      <c r="L318" s="417" t="s">
        <v>301</v>
      </c>
      <c r="M318" s="1055"/>
      <c r="N318" s="781"/>
      <c r="O318" s="129"/>
      <c r="P318" s="129"/>
      <c r="AH318" s="50">
        <v>0</v>
      </c>
    </row>
    <row r="319" s="50" customFormat="1" ht="18.75" hidden="1" customHeight="1">
      <c r="A319" s="143"/>
      <c r="B319" s="143"/>
      <c r="C319" s="395" t="s">
        <v>1192</v>
      </c>
      <c r="D319" s="1069"/>
      <c r="E319" s="344"/>
      <c r="F319" s="79"/>
      <c r="G319" s="984"/>
      <c r="H319" s="701"/>
      <c r="I319" s="177" t="s">
        <v>1191</v>
      </c>
      <c r="J319" s="235"/>
      <c r="K319" s="701"/>
      <c r="L319" s="832"/>
      <c r="M319" s="1055"/>
      <c r="N319" s="781"/>
      <c r="O319" s="129"/>
      <c r="P319" s="129"/>
      <c r="AH319" s="50">
        <v>0</v>
      </c>
    </row>
    <row r="320" s="50" customFormat="1" ht="0.75" hidden="1" customHeight="1">
      <c r="A320" s="143"/>
      <c r="B320" s="143"/>
      <c r="C320" s="395" t="s">
        <v>1199</v>
      </c>
      <c r="D320" s="1069"/>
      <c r="E320" s="344"/>
      <c r="F320" s="79"/>
      <c r="G320" s="1068"/>
      <c r="H320" s="701"/>
      <c r="I320" s="177"/>
      <c r="J320" s="235"/>
      <c r="K320" s="701"/>
      <c r="L320" s="832"/>
      <c r="M320" s="1055"/>
      <c r="N320" s="781"/>
      <c r="O320" s="129"/>
      <c r="P320" s="129"/>
      <c r="AH320" s="50">
        <v>0</v>
      </c>
    </row>
    <row r="321" s="50" customFormat="1" ht="18.75" hidden="1" customHeight="1">
      <c r="A321" s="143" t="s">
        <v>260</v>
      </c>
      <c r="B321" s="143" t="s">
        <v>261</v>
      </c>
      <c r="C321" s="395"/>
      <c r="D321" s="1069"/>
      <c r="E321" s="344"/>
      <c r="F321" s="79" t="str">
        <f>INDEX(PT_DIFFERENTIATION_VTAR,MATCH(A321,PT_DIFFERENTIATION_VTAR_ID,0))</f>
        <v xml:space="preserve">Тариф на водоотведение</v>
      </c>
      <c r="G321" s="984" t="str">
        <f>INDEX(PT_DIFFERENTIATION_NTAR,MATCH(B321,PT_DIFFERENTIATION_NTAR_ID,0))</f>
        <v/>
      </c>
      <c r="H321" s="417"/>
      <c r="I321" s="1059"/>
      <c r="J321" s="1060"/>
      <c r="K321" s="433"/>
      <c r="L321" s="417" t="s">
        <v>301</v>
      </c>
      <c r="M321" s="1055"/>
      <c r="N321" s="781"/>
      <c r="O321" s="129"/>
      <c r="P321" s="129"/>
      <c r="AH321" s="50">
        <v>0</v>
      </c>
    </row>
    <row r="322" s="50" customFormat="1" ht="18.75" hidden="1" customHeight="1">
      <c r="A322" s="143"/>
      <c r="B322" s="143"/>
      <c r="C322" s="395" t="s">
        <v>1192</v>
      </c>
      <c r="D322" s="1069"/>
      <c r="E322" s="344"/>
      <c r="F322" s="79"/>
      <c r="G322" s="984"/>
      <c r="H322" s="701"/>
      <c r="I322" s="177" t="s">
        <v>1191</v>
      </c>
      <c r="J322" s="235"/>
      <c r="K322" s="701"/>
      <c r="L322" s="832"/>
      <c r="M322" s="1055"/>
      <c r="N322" s="781"/>
      <c r="O322" s="129"/>
      <c r="P322" s="129"/>
      <c r="AH322" s="50">
        <v>0</v>
      </c>
    </row>
    <row r="323" s="50" customFormat="1" ht="0.75" hidden="1" customHeight="1">
      <c r="A323" s="143"/>
      <c r="B323" s="143"/>
      <c r="C323" s="395" t="s">
        <v>1199</v>
      </c>
      <c r="D323" s="1069"/>
      <c r="E323" s="344"/>
      <c r="F323" s="79"/>
      <c r="G323" s="1068"/>
      <c r="H323" s="701"/>
      <c r="I323" s="177"/>
      <c r="J323" s="235"/>
      <c r="K323" s="701"/>
      <c r="L323" s="832"/>
      <c r="M323" s="1055"/>
      <c r="N323" s="781"/>
      <c r="O323" s="129"/>
      <c r="P323" s="129"/>
      <c r="AH323" s="50">
        <v>0</v>
      </c>
    </row>
    <row r="324" s="50" customFormat="1" ht="18.75" hidden="1" customHeight="1">
      <c r="A324" s="143" t="s">
        <v>265</v>
      </c>
      <c r="B324" s="143" t="s">
        <v>266</v>
      </c>
      <c r="C324" s="395"/>
      <c r="D324" s="1069"/>
      <c r="E324" s="344"/>
      <c r="F324" s="79" t="str">
        <f>INDEX(PT_DIFFERENTIATION_VTAR,MATCH(A324,PT_DIFFERENTIATION_VTAR_ID,0))</f>
        <v xml:space="preserve">Тариф на транспортировку сточных вод</v>
      </c>
      <c r="G324" s="984" t="str">
        <f>INDEX(PT_DIFFERENTIATION_NTAR,MATCH(B324,PT_DIFFERENTIATION_NTAR_ID,0))</f>
        <v/>
      </c>
      <c r="H324" s="417"/>
      <c r="I324" s="1059"/>
      <c r="J324" s="1060"/>
      <c r="K324" s="433"/>
      <c r="L324" s="417" t="s">
        <v>301</v>
      </c>
      <c r="M324" s="1055"/>
      <c r="N324" s="781"/>
      <c r="O324" s="129"/>
      <c r="P324" s="129"/>
      <c r="AH324" s="50">
        <v>0</v>
      </c>
    </row>
    <row r="325" s="50" customFormat="1" ht="18.75" hidden="1" customHeight="1">
      <c r="A325" s="143"/>
      <c r="B325" s="143"/>
      <c r="C325" s="395" t="s">
        <v>1192</v>
      </c>
      <c r="D325" s="1069"/>
      <c r="E325" s="344"/>
      <c r="F325" s="79"/>
      <c r="G325" s="984"/>
      <c r="H325" s="701"/>
      <c r="I325" s="177" t="s">
        <v>1191</v>
      </c>
      <c r="J325" s="235"/>
      <c r="K325" s="701"/>
      <c r="L325" s="832"/>
      <c r="M325" s="1055"/>
      <c r="N325" s="781"/>
      <c r="O325" s="129"/>
      <c r="P325" s="129"/>
      <c r="AH325" s="50">
        <v>0</v>
      </c>
    </row>
    <row r="326" s="50" customFormat="1" ht="0.75" hidden="1" customHeight="1">
      <c r="A326" s="143"/>
      <c r="B326" s="143"/>
      <c r="C326" s="395" t="s">
        <v>1199</v>
      </c>
      <c r="D326" s="1069"/>
      <c r="E326" s="344"/>
      <c r="F326" s="79"/>
      <c r="G326" s="1068"/>
      <c r="H326" s="701"/>
      <c r="I326" s="177"/>
      <c r="J326" s="235"/>
      <c r="K326" s="701"/>
      <c r="L326" s="832"/>
      <c r="M326" s="1055"/>
      <c r="N326" s="781"/>
      <c r="O326" s="129"/>
      <c r="P326" s="129"/>
      <c r="AH326" s="50">
        <v>0</v>
      </c>
    </row>
    <row r="327" s="50" customFormat="1" ht="18.75" hidden="1" customHeight="1">
      <c r="A327" s="143" t="s">
        <v>270</v>
      </c>
      <c r="B327" s="143" t="s">
        <v>271</v>
      </c>
      <c r="C327" s="395"/>
      <c r="D327" s="1069"/>
      <c r="E327" s="344"/>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84" t="str">
        <f>INDEX(PT_DIFFERENTIATION_NTAR,MATCH(B327,PT_DIFFERENTIATION_NTAR_ID,0))</f>
        <v/>
      </c>
      <c r="H327" s="417"/>
      <c r="I327" s="1059"/>
      <c r="J327" s="1060"/>
      <c r="K327" s="433"/>
      <c r="L327" s="417" t="s">
        <v>301</v>
      </c>
      <c r="M327" s="1055"/>
      <c r="N327" s="781"/>
      <c r="O327" s="129"/>
      <c r="P327" s="129"/>
      <c r="AH327" s="50">
        <v>0</v>
      </c>
    </row>
    <row r="328" s="50" customFormat="1" ht="18.75" hidden="1" customHeight="1">
      <c r="A328" s="143"/>
      <c r="B328" s="143"/>
      <c r="C328" s="395" t="s">
        <v>1192</v>
      </c>
      <c r="D328" s="1069"/>
      <c r="E328" s="344"/>
      <c r="F328" s="79"/>
      <c r="G328" s="984"/>
      <c r="H328" s="701"/>
      <c r="I328" s="177" t="s">
        <v>1191</v>
      </c>
      <c r="J328" s="235"/>
      <c r="K328" s="701"/>
      <c r="L328" s="832"/>
      <c r="M328" s="1055"/>
      <c r="N328" s="781"/>
      <c r="O328" s="129"/>
      <c r="P328" s="129"/>
      <c r="AH328" s="50">
        <v>0</v>
      </c>
    </row>
    <row r="329" s="50" customFormat="1" ht="1.05" customHeight="1">
      <c r="A329" s="143"/>
      <c r="B329" s="143"/>
      <c r="C329" s="395" t="s">
        <v>1199</v>
      </c>
      <c r="D329" s="1069"/>
      <c r="E329" s="344"/>
      <c r="F329" s="79"/>
      <c r="G329" s="1068"/>
      <c r="H329" s="701"/>
      <c r="I329" s="177"/>
      <c r="J329" s="235"/>
      <c r="K329" s="701"/>
      <c r="L329" s="832"/>
      <c r="M329" s="1055"/>
      <c r="N329" s="781"/>
      <c r="O329" s="129"/>
      <c r="P329" s="129"/>
      <c r="AH329" s="50">
        <v>1</v>
      </c>
    </row>
    <row r="330" s="143" customFormat="1" ht="3" customHeight="1">
      <c r="A330" s="143"/>
      <c r="B330" s="143"/>
      <c r="C330" s="143"/>
      <c r="E330" s="1073"/>
      <c r="F330" s="1073"/>
      <c r="G330" s="1073"/>
      <c r="H330" s="1073"/>
      <c r="I330" s="1073"/>
      <c r="J330" s="1073"/>
      <c r="K330" s="1073"/>
      <c r="L330" s="1073"/>
      <c r="M330" s="1073"/>
      <c r="O330" s="167"/>
      <c r="P330" s="167"/>
      <c r="AH330" s="143">
        <v>3</v>
      </c>
    </row>
    <row r="331" ht="26.25" customHeight="1">
      <c r="E331" s="1074"/>
      <c r="F331" s="574"/>
      <c r="G331" s="574"/>
      <c r="H331" s="574"/>
      <c r="I331" s="574"/>
      <c r="J331" s="574"/>
      <c r="K331" s="574"/>
      <c r="L331" s="574"/>
      <c r="M331" s="574"/>
      <c r="AH331" s="50">
        <v>25</v>
      </c>
    </row>
    <row r="332" ht="14.25" hidden="1" customHeight="1">
      <c r="A332" s="11" t="s">
        <v>82</v>
      </c>
      <c r="B332" s="11">
        <v>0</v>
      </c>
      <c r="C332" s="395">
        <v>0</v>
      </c>
      <c r="D332" s="478">
        <v>3</v>
      </c>
      <c r="E332" s="50">
        <v>6</v>
      </c>
      <c r="F332" s="50">
        <v>46</v>
      </c>
      <c r="G332" s="50">
        <v>35</v>
      </c>
      <c r="H332" s="50">
        <v>3</v>
      </c>
      <c r="I332" s="50">
        <v>11</v>
      </c>
      <c r="J332" s="50">
        <v>11</v>
      </c>
      <c r="K332" s="50">
        <v>35</v>
      </c>
      <c r="L332" s="50">
        <v>35</v>
      </c>
      <c r="M332" s="50">
        <v>84</v>
      </c>
      <c r="N332" s="50">
        <v>10</v>
      </c>
      <c r="O332" s="129">
        <v>10</v>
      </c>
      <c r="P332" s="129">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1" deleteRows="1" formatCells="1" formatColumns="0" formatRows="0" insertColumns="1" insertHyperlinks="1" insertRows="1" objects="0" pivotTables="1" scenarios="0" selectLockedCells="0" selectUnlockedCells="0" sheet="1" sort="1"/>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0000F-00D3-4F7F-8214-00C300EA00A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21005D-0095-44F0-AE44-005A00F60031}"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4C008A-00D1-4F9F-AC2A-0060008C008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78"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9" width="10.00390625"/>
    <col customWidth="1" min="12" max="17" style="50" width="10.00390625"/>
    <col hidden="1" min="18" max="18" style="50" width="10.57421875"/>
  </cols>
  <sheetData>
    <row r="1" ht="22.5" hidden="1" customHeight="1">
      <c r="N1" s="820"/>
      <c r="O1" s="820"/>
      <c r="Q1" s="820"/>
      <c r="R1" s="50" t="s">
        <v>14</v>
      </c>
    </row>
    <row r="2" s="50" customFormat="1" ht="18.75" hidden="1" customHeight="1">
      <c r="A2" s="143"/>
      <c r="B2" s="53"/>
      <c r="C2" s="821" t="s">
        <v>684</v>
      </c>
      <c r="D2" s="344"/>
      <c r="E2" s="382"/>
      <c r="F2" s="1056"/>
      <c r="G2" s="470"/>
      <c r="H2" s="50"/>
      <c r="I2" s="129"/>
      <c r="J2" s="129"/>
      <c r="R2" s="50">
        <v>0</v>
      </c>
    </row>
    <row r="3" ht="14.25" hidden="1" customHeight="1">
      <c r="R3" s="50">
        <v>0</v>
      </c>
    </row>
    <row r="4" ht="6.2999999999999998" customHeight="1">
      <c r="C4" s="539"/>
      <c r="D4" s="91"/>
      <c r="E4" s="91"/>
      <c r="F4" s="91"/>
      <c r="G4" s="823"/>
      <c r="H4" s="823"/>
      <c r="R4" s="50">
        <v>6</v>
      </c>
    </row>
    <row r="5" ht="34.5" customHeight="1">
      <c r="C5" s="539"/>
      <c r="D5" s="236"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
      <c r="F5" s="237"/>
      <c r="G5" s="238"/>
      <c r="H5" s="239"/>
      <c r="R5" s="50">
        <v>33</v>
      </c>
    </row>
    <row r="6" s="50" customFormat="1" ht="18" customHeight="1">
      <c r="A6" s="60"/>
      <c r="B6" s="53"/>
      <c r="C6" s="539"/>
      <c r="D6" s="408" t="str">
        <f>IF(org=0,"Не определено",org)</f>
        <v xml:space="preserve">АО "ДГК" СП "Биробиджанская ТЭЦ"</v>
      </c>
      <c r="E6" s="409"/>
      <c r="F6" s="409"/>
      <c r="G6" s="410"/>
      <c r="H6" s="239"/>
      <c r="J6" s="129"/>
      <c r="K6" s="129"/>
      <c r="R6" s="50">
        <v>17</v>
      </c>
    </row>
    <row r="7" ht="14.65" customHeight="1">
      <c r="C7" s="539"/>
      <c r="D7" s="91"/>
      <c r="E7" s="83"/>
      <c r="F7" s="83"/>
      <c r="G7" s="341"/>
      <c r="H7" s="824"/>
      <c r="R7" s="50">
        <v>14</v>
      </c>
    </row>
    <row r="8" ht="14.65" customHeight="1">
      <c r="C8" s="539"/>
      <c r="D8" s="347" t="s">
        <v>295</v>
      </c>
      <c r="E8" s="347"/>
      <c r="F8" s="347"/>
      <c r="G8" s="347"/>
      <c r="H8" s="828" t="s">
        <v>296</v>
      </c>
      <c r="R8" s="50">
        <v>14</v>
      </c>
    </row>
    <row r="9" ht="24" customHeight="1">
      <c r="C9" s="539"/>
      <c r="D9" s="347" t="s">
        <v>88</v>
      </c>
      <c r="E9" s="246" t="s">
        <v>297</v>
      </c>
      <c r="F9" s="246" t="s">
        <v>298</v>
      </c>
      <c r="G9" s="246" t="s">
        <v>385</v>
      </c>
      <c r="H9" s="828"/>
      <c r="R9" s="50">
        <v>23</v>
      </c>
    </row>
    <row r="10" ht="14.65" customHeight="1">
      <c r="A10" s="143"/>
      <c r="C10" s="539"/>
      <c r="D10" s="344" t="s">
        <v>106</v>
      </c>
      <c r="E10" s="8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056"/>
      <c r="G10" s="470"/>
      <c r="H10" s="285" t="s">
        <v>1200</v>
      </c>
      <c r="R10" s="50">
        <v>14</v>
      </c>
    </row>
    <row r="11" ht="14.65" customHeight="1">
      <c r="A11" s="143"/>
      <c r="C11" s="539"/>
      <c r="D11" s="344" t="s">
        <v>107</v>
      </c>
      <c r="E11" s="8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056"/>
      <c r="G11" s="470"/>
      <c r="H11" s="287"/>
      <c r="R11" s="50">
        <v>14</v>
      </c>
    </row>
    <row r="12" ht="14.65" customHeight="1">
      <c r="A12" s="143"/>
      <c r="C12" s="381"/>
      <c r="D12" s="344" t="s">
        <v>90</v>
      </c>
      <c r="E12" s="830" t="str">
        <f>"Сведения о планировании закупочных процедур"&amp;IF(TEMPLATE_SPHERE="TKO"," &lt;1&gt;","")</f>
        <v xml:space="preserve">Сведения о планировании закупочных процедур</v>
      </c>
      <c r="F12" s="1056"/>
      <c r="G12" s="470"/>
      <c r="H12" s="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9"/>
      <c r="K12" s="50"/>
      <c r="R12" s="50">
        <v>14</v>
      </c>
    </row>
    <row r="13" ht="14.65" customHeight="1">
      <c r="A13" s="143"/>
      <c r="C13" s="381"/>
      <c r="D13" s="344" t="s">
        <v>91</v>
      </c>
      <c r="E13" s="830" t="str">
        <f>"Сведения о результатах проведения закупочных процедур"&amp;IF(TEMPLATE_SPHERE="TKO"," &lt;1&gt;","")</f>
        <v xml:space="preserve">Сведения о результатах проведения закупочных процедур</v>
      </c>
      <c r="F13" s="1056"/>
      <c r="G13" s="470"/>
      <c r="H13" s="287"/>
      <c r="I13" s="129"/>
      <c r="K13" s="50"/>
      <c r="R13" s="50">
        <v>14</v>
      </c>
    </row>
    <row r="14" ht="14.65" customHeight="1">
      <c r="A14" s="143"/>
      <c r="C14" s="539"/>
      <c r="D14" s="831"/>
      <c r="E14" s="177" t="s">
        <v>317</v>
      </c>
      <c r="F14" s="235"/>
      <c r="G14" s="832"/>
      <c r="H14" s="289"/>
      <c r="R14" s="50">
        <v>14</v>
      </c>
    </row>
    <row r="15" s="50" customFormat="1" ht="14.65" customHeight="1">
      <c r="A15" s="143"/>
      <c r="B15" s="53"/>
      <c r="C15" s="539"/>
      <c r="D15" s="775"/>
      <c r="E15" s="833"/>
      <c r="F15" s="834"/>
      <c r="G15" s="835"/>
      <c r="H15" s="1075"/>
      <c r="J15" s="129"/>
      <c r="K15" s="129"/>
      <c r="R15" s="50">
        <v>14</v>
      </c>
    </row>
    <row r="16" ht="14.65" customHeight="1">
      <c r="D16" s="476"/>
      <c r="E16" s="574"/>
      <c r="F16" s="574"/>
      <c r="G16" s="574"/>
      <c r="H16" s="574"/>
      <c r="R16" s="50">
        <v>14</v>
      </c>
    </row>
    <row r="17" ht="22.5" hidden="1" customHeight="1">
      <c r="A17" s="60" t="s">
        <v>82</v>
      </c>
      <c r="B17" s="53">
        <v>0</v>
      </c>
      <c r="C17" s="478">
        <v>3</v>
      </c>
      <c r="D17" s="50">
        <v>6</v>
      </c>
      <c r="E17" s="50">
        <v>53</v>
      </c>
      <c r="F17" s="50">
        <v>35</v>
      </c>
      <c r="G17" s="50">
        <v>35</v>
      </c>
      <c r="H17" s="50">
        <v>89</v>
      </c>
      <c r="I17" s="50">
        <v>10</v>
      </c>
      <c r="J17" s="129">
        <v>10</v>
      </c>
      <c r="K17" s="129">
        <v>10</v>
      </c>
      <c r="L17" s="50">
        <v>10</v>
      </c>
      <c r="M17" s="50">
        <v>10</v>
      </c>
      <c r="N17" s="50">
        <v>10</v>
      </c>
      <c r="O17" s="50">
        <v>10</v>
      </c>
      <c r="P17" s="50">
        <v>10</v>
      </c>
      <c r="Q17" s="50">
        <v>10</v>
      </c>
      <c r="R17"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8:G8"/>
    <mergeCell ref="H8:H9"/>
    <mergeCell ref="H10:H11"/>
    <mergeCell ref="H12:H14"/>
    <mergeCell ref="E16: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4001E-00D4-45BD-BD54-00B50079006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E6000E-00D1-49B5-B7AD-00C200E100BF}"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A1" activeCellId="0" sqref="A1"/>
    </sheetView>
  </sheetViews>
  <sheetFormatPr defaultColWidth="9.140625" defaultRowHeight="11.25" customHeight="1"/>
  <cols>
    <col customWidth="1" hidden="1" min="1" max="2" style="129" width="3.7109375"/>
    <col customWidth="1" min="3" max="3" style="184" width="3.00390625"/>
    <col customWidth="1" min="4" max="4" style="184" width="6.00390625"/>
    <col customWidth="1" min="5" max="5" style="184" width="42.00390625"/>
    <col customWidth="1" min="6" max="6" style="184" width="15.00390625"/>
    <col customWidth="1" min="7" max="7" style="184" width="42.00390625"/>
    <col customWidth="1" min="8" max="8" style="184" width="3.00390625"/>
    <col customWidth="1" min="9" max="9" style="184" width="5.00390625"/>
    <col customWidth="1" min="10" max="10" style="184" width="47.00390625"/>
    <col customWidth="1" min="11" max="12" style="184" width="3.00390625"/>
    <col customWidth="1" min="13" max="13" style="184" width="5.00390625"/>
    <col customWidth="1" min="14" max="14" style="184" width="28.00390625"/>
    <col customWidth="1" min="15" max="16" style="184" width="3.00390625"/>
    <col customWidth="1" min="17" max="17" style="184" width="5.00390625"/>
    <col customWidth="1" min="18" max="18" style="184" width="34.00390625"/>
    <col customWidth="1" min="19" max="20" style="184" width="3.7109375"/>
    <col customWidth="1" min="21" max="21" style="184" width="5.7109375"/>
    <col customWidth="1" min="22" max="22" style="184" width="34.421875"/>
    <col customWidth="1" min="23" max="23" style="184" width="30.00390625"/>
    <col customWidth="1" min="24" max="24" style="184"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4" width="9.140625"/>
  </cols>
  <sheetData>
    <row r="1" ht="11.25" hidden="1" customHeight="1">
      <c r="A1" s="129"/>
      <c r="AR1" s="184" t="s">
        <v>14</v>
      </c>
    </row>
    <row r="2" ht="11.25" hidden="1" customHeight="1">
      <c r="AR2" s="184">
        <v>0</v>
      </c>
    </row>
    <row r="3" ht="11.25" hidden="1" customHeight="1">
      <c r="AR3" s="184">
        <v>0</v>
      </c>
    </row>
    <row r="4" ht="3" customHeight="1">
      <c r="AR4" s="184">
        <v>3</v>
      </c>
    </row>
    <row r="5" s="188" customFormat="1" ht="30.449999999999999" customHeight="1">
      <c r="A5" s="193"/>
      <c r="B5" s="193"/>
      <c r="D5" s="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7"/>
      <c r="F5" s="237"/>
      <c r="G5" s="237"/>
      <c r="H5" s="237"/>
      <c r="I5" s="237"/>
      <c r="J5" s="238"/>
      <c r="K5" s="239"/>
      <c r="L5" s="240"/>
      <c r="M5" s="240"/>
      <c r="N5" s="240"/>
      <c r="O5" s="240"/>
      <c r="P5" s="240"/>
      <c r="Q5" s="240"/>
      <c r="R5" s="240"/>
      <c r="S5" s="240"/>
      <c r="T5" s="240"/>
      <c r="U5" s="240"/>
      <c r="V5" s="240"/>
      <c r="W5" s="240"/>
      <c r="Y5" s="194"/>
      <c r="Z5" s="194"/>
      <c r="AA5" s="194"/>
      <c r="AB5" s="194"/>
      <c r="AC5" s="194"/>
      <c r="AD5" s="194"/>
      <c r="AE5" s="194"/>
      <c r="AF5" s="194"/>
      <c r="AG5" s="194"/>
      <c r="AH5" s="194"/>
      <c r="AI5" s="194"/>
      <c r="AJ5" s="194"/>
      <c r="AK5" s="194"/>
      <c r="AL5" s="194"/>
      <c r="AM5" s="194"/>
      <c r="AN5" s="194"/>
      <c r="AO5" s="194"/>
      <c r="AP5" s="194"/>
      <c r="AQ5" s="194"/>
      <c r="AR5" s="188">
        <v>29</v>
      </c>
    </row>
    <row r="6" s="188" customFormat="1" ht="14.65" customHeight="1">
      <c r="A6" s="107"/>
      <c r="B6" s="107"/>
      <c r="C6" s="107"/>
      <c r="D6" s="241" t="str">
        <f>IF(org=0,"Не определено",org)</f>
        <v xml:space="preserve">АО "ДГК" СП "Биробиджанская ТЭЦ"</v>
      </c>
      <c r="E6" s="241"/>
      <c r="F6" s="241"/>
      <c r="G6" s="241"/>
      <c r="H6" s="241"/>
      <c r="I6" s="241"/>
      <c r="J6" s="241"/>
      <c r="K6" s="192"/>
      <c r="L6" s="192"/>
      <c r="M6" s="192"/>
      <c r="N6" s="192"/>
      <c r="O6" s="193"/>
      <c r="P6" s="193"/>
      <c r="Q6" s="193"/>
      <c r="R6" s="193"/>
      <c r="S6" s="193"/>
      <c r="T6" s="193"/>
      <c r="U6" s="193"/>
      <c r="V6" s="193"/>
      <c r="W6" s="193"/>
      <c r="X6" s="192"/>
      <c r="Y6" s="194"/>
      <c r="Z6" s="194"/>
      <c r="AA6" s="194"/>
      <c r="AB6" s="194"/>
      <c r="AC6" s="194"/>
      <c r="AD6" s="194"/>
      <c r="AE6" s="194"/>
      <c r="AF6" s="194"/>
      <c r="AG6" s="194"/>
      <c r="AH6" s="194"/>
      <c r="AI6" s="194"/>
      <c r="AJ6" s="194"/>
      <c r="AK6" s="194"/>
      <c r="AL6" s="194"/>
      <c r="AM6" s="194"/>
      <c r="AN6" s="194"/>
      <c r="AO6" s="194"/>
      <c r="AP6" s="194"/>
      <c r="AQ6" s="194"/>
      <c r="AR6" s="188">
        <v>14</v>
      </c>
    </row>
    <row r="7" s="242" customFormat="1" ht="11.5" customHeight="1">
      <c r="A7" s="129"/>
      <c r="B7" s="129"/>
      <c r="D7" s="243"/>
      <c r="E7" s="244"/>
      <c r="F7" s="244"/>
      <c r="G7" s="244"/>
      <c r="H7" s="244"/>
      <c r="I7" s="244"/>
      <c r="J7" s="245"/>
      <c r="S7" s="242"/>
      <c r="T7" s="242"/>
      <c r="U7" s="242"/>
      <c r="V7" s="242"/>
      <c r="Y7" s="107"/>
      <c r="Z7" s="107"/>
      <c r="AA7" s="107"/>
      <c r="AB7" s="107"/>
      <c r="AC7" s="107"/>
      <c r="AD7" s="107"/>
      <c r="AE7" s="107"/>
      <c r="AF7" s="107"/>
      <c r="AG7" s="107"/>
      <c r="AH7" s="107"/>
      <c r="AI7" s="107"/>
      <c r="AJ7" s="107"/>
      <c r="AK7" s="107"/>
      <c r="AL7" s="107"/>
      <c r="AM7" s="107"/>
      <c r="AN7" s="107"/>
      <c r="AO7" s="107"/>
      <c r="AP7" s="107"/>
      <c r="AQ7" s="107"/>
      <c r="AR7" s="242">
        <v>11</v>
      </c>
    </row>
    <row r="8" s="188" customFormat="1" ht="1.05" customHeight="1">
      <c r="A8" s="193"/>
      <c r="B8" s="193"/>
      <c r="D8" s="197"/>
      <c r="E8" s="197"/>
      <c r="F8" s="197"/>
      <c r="G8" s="197"/>
      <c r="H8" s="197"/>
      <c r="I8" s="197"/>
      <c r="J8" s="197"/>
      <c r="K8" s="197"/>
      <c r="L8" s="197"/>
      <c r="M8" s="197"/>
      <c r="N8" s="197"/>
      <c r="O8" s="197"/>
      <c r="P8" s="197"/>
      <c r="Q8" s="197"/>
      <c r="R8" s="197"/>
      <c r="S8" s="197"/>
      <c r="T8" s="197"/>
      <c r="U8" s="197"/>
      <c r="V8" s="197"/>
      <c r="W8" s="197"/>
      <c r="X8" s="188"/>
      <c r="Y8" s="194"/>
      <c r="Z8" s="194"/>
      <c r="AA8" s="194"/>
      <c r="AB8" s="194"/>
      <c r="AC8" s="194"/>
      <c r="AD8" s="194"/>
      <c r="AE8" s="194"/>
      <c r="AF8" s="194"/>
      <c r="AG8" s="194"/>
      <c r="AH8" s="194"/>
      <c r="AI8" s="194"/>
      <c r="AJ8" s="194"/>
      <c r="AK8" s="194"/>
      <c r="AL8" s="194"/>
      <c r="AM8" s="194"/>
      <c r="AN8" s="194"/>
      <c r="AO8" s="194"/>
      <c r="AP8" s="194"/>
      <c r="AQ8" s="194"/>
      <c r="AR8" s="188">
        <v>1</v>
      </c>
    </row>
    <row r="9" ht="28.5" customHeight="1">
      <c r="D9" s="157" t="s">
        <v>88</v>
      </c>
      <c r="E9" s="73" t="s">
        <v>119</v>
      </c>
      <c r="F9" s="72"/>
      <c r="G9" s="157" t="s">
        <v>102</v>
      </c>
      <c r="H9" s="157" t="s">
        <v>88</v>
      </c>
      <c r="I9" s="157"/>
      <c r="J9" s="157" t="s">
        <v>120</v>
      </c>
      <c r="K9" s="246" t="s">
        <v>121</v>
      </c>
      <c r="L9" s="246"/>
      <c r="M9" s="246"/>
      <c r="N9" s="246"/>
      <c r="O9" s="246" t="s">
        <v>122</v>
      </c>
      <c r="P9" s="246"/>
      <c r="Q9" s="246"/>
      <c r="R9" s="246"/>
      <c r="S9" s="246" t="s">
        <v>123</v>
      </c>
      <c r="T9" s="246"/>
      <c r="U9" s="246"/>
      <c r="V9" s="246"/>
      <c r="W9" s="157" t="s">
        <v>124</v>
      </c>
      <c r="AR9" s="184">
        <v>27</v>
      </c>
    </row>
    <row r="10" ht="31.5" customHeight="1">
      <c r="D10" s="157"/>
      <c r="E10" s="157" t="s">
        <v>89</v>
      </c>
      <c r="F10" s="157" t="s">
        <v>125</v>
      </c>
      <c r="G10" s="157"/>
      <c r="H10" s="157"/>
      <c r="I10" s="157"/>
      <c r="J10" s="157"/>
      <c r="K10" s="157" t="s">
        <v>105</v>
      </c>
      <c r="L10" s="157" t="s">
        <v>88</v>
      </c>
      <c r="M10" s="157"/>
      <c r="N10" s="157" t="s">
        <v>126</v>
      </c>
      <c r="O10" s="157" t="s">
        <v>105</v>
      </c>
      <c r="P10" s="157" t="s">
        <v>88</v>
      </c>
      <c r="Q10" s="157"/>
      <c r="R10" s="157" t="s">
        <v>126</v>
      </c>
      <c r="S10" s="157" t="s">
        <v>105</v>
      </c>
      <c r="T10" s="157" t="s">
        <v>88</v>
      </c>
      <c r="U10" s="157"/>
      <c r="V10" s="157" t="s">
        <v>89</v>
      </c>
      <c r="W10" s="157"/>
      <c r="Z10" s="107" t="s">
        <v>127</v>
      </c>
      <c r="AA10" s="107" t="s">
        <v>128</v>
      </c>
      <c r="AB10" s="107" t="s">
        <v>129</v>
      </c>
      <c r="AC10" s="107" t="s">
        <v>130</v>
      </c>
      <c r="AD10" s="107" t="s">
        <v>131</v>
      </c>
      <c r="AE10" s="107" t="s">
        <v>132</v>
      </c>
      <c r="AF10" s="107" t="s">
        <v>133</v>
      </c>
      <c r="AG10" s="107" t="s">
        <v>134</v>
      </c>
      <c r="AH10" s="107" t="s">
        <v>135</v>
      </c>
      <c r="AI10" s="107" t="s">
        <v>136</v>
      </c>
      <c r="AJ10" s="107" t="s">
        <v>137</v>
      </c>
      <c r="AK10" s="107" t="s">
        <v>138</v>
      </c>
      <c r="AL10" s="107" t="s">
        <v>139</v>
      </c>
      <c r="AM10" s="107" t="s">
        <v>140</v>
      </c>
      <c r="AN10" s="107" t="s">
        <v>141</v>
      </c>
      <c r="AO10" s="107" t="s">
        <v>142</v>
      </c>
      <c r="AP10" s="107" t="s">
        <v>143</v>
      </c>
      <c r="AQ10" s="107" t="s">
        <v>144</v>
      </c>
      <c r="AR10" s="184">
        <v>30</v>
      </c>
    </row>
    <row r="11" s="129" customFormat="1" ht="12" hidden="1" customHeight="1">
      <c r="D11" s="247" t="s">
        <v>106</v>
      </c>
      <c r="E11" s="247" t="s">
        <v>107</v>
      </c>
      <c r="F11" s="247"/>
      <c r="G11" s="247" t="s">
        <v>90</v>
      </c>
      <c r="H11" s="248" t="s">
        <v>108</v>
      </c>
      <c r="I11" s="248"/>
      <c r="J11" s="247" t="s">
        <v>92</v>
      </c>
      <c r="K11" s="247" t="s">
        <v>93</v>
      </c>
      <c r="L11" s="248" t="s">
        <v>109</v>
      </c>
      <c r="M11" s="248"/>
      <c r="N11" s="247" t="s">
        <v>145</v>
      </c>
      <c r="O11" s="247" t="s">
        <v>146</v>
      </c>
      <c r="P11" s="248" t="s">
        <v>147</v>
      </c>
      <c r="Q11" s="248"/>
      <c r="R11" s="247" t="s">
        <v>148</v>
      </c>
      <c r="S11" s="247" t="s">
        <v>147</v>
      </c>
      <c r="T11" s="248" t="s">
        <v>148</v>
      </c>
      <c r="U11" s="248"/>
      <c r="V11" s="247" t="s">
        <v>149</v>
      </c>
      <c r="W11" s="247" t="s">
        <v>150</v>
      </c>
      <c r="Y11" s="107"/>
      <c r="Z11" s="107"/>
      <c r="AA11" s="107"/>
      <c r="AB11" s="107"/>
      <c r="AC11" s="107"/>
      <c r="AD11" s="107"/>
      <c r="AE11" s="107"/>
      <c r="AF11" s="107"/>
      <c r="AG11" s="107"/>
      <c r="AH11" s="107"/>
      <c r="AI11" s="107"/>
      <c r="AJ11" s="107"/>
      <c r="AK11" s="107"/>
      <c r="AL11" s="107"/>
      <c r="AM11" s="107"/>
      <c r="AN11" s="107"/>
      <c r="AO11" s="107"/>
      <c r="AP11" s="107"/>
      <c r="AQ11" s="107"/>
      <c r="AR11" s="129">
        <v>0</v>
      </c>
    </row>
    <row r="12" ht="14.25" hidden="1" customHeight="1">
      <c r="C12" s="128"/>
      <c r="D12" s="249">
        <v>0</v>
      </c>
      <c r="E12" s="157"/>
      <c r="F12" s="157"/>
      <c r="G12" s="157"/>
      <c r="H12" s="250"/>
      <c r="I12" s="250"/>
      <c r="J12" s="218"/>
      <c r="K12" s="218"/>
      <c r="L12" s="218"/>
      <c r="M12" s="218"/>
      <c r="N12" s="251"/>
      <c r="O12" s="218"/>
      <c r="P12" s="218"/>
      <c r="Q12" s="218"/>
      <c r="R12" s="252"/>
      <c r="S12" s="218"/>
      <c r="T12" s="218"/>
      <c r="U12" s="218"/>
      <c r="V12" s="252"/>
      <c r="W12" s="218"/>
      <c r="X12" s="184"/>
      <c r="AR12" s="184">
        <v>0</v>
      </c>
    </row>
    <row r="13" s="184" customFormat="1" ht="17.25" hidden="1" customHeight="1">
      <c r="A13" s="253"/>
      <c r="C13" s="128"/>
      <c r="D13" s="254">
        <v>1</v>
      </c>
      <c r="E13" s="255" t="s">
        <v>151</v>
      </c>
      <c r="F13" s="256" t="s">
        <v>19</v>
      </c>
      <c r="G13" s="255"/>
      <c r="H13" s="257"/>
      <c r="I13" s="258"/>
      <c r="J13" s="259"/>
      <c r="K13" s="260"/>
      <c r="L13" s="260"/>
      <c r="M13" s="260"/>
      <c r="N13" s="261"/>
      <c r="O13" s="260"/>
      <c r="P13" s="260"/>
      <c r="Q13" s="260"/>
      <c r="R13" s="262"/>
      <c r="S13" s="260"/>
      <c r="T13" s="260"/>
      <c r="U13" s="260"/>
      <c r="V13" s="262"/>
      <c r="W13" s="263"/>
      <c r="Y13" s="264"/>
      <c r="Z13" s="264"/>
      <c r="AA13" s="264"/>
      <c r="AB13" s="264"/>
      <c r="AC13" s="264" t="s">
        <v>152</v>
      </c>
      <c r="AD13" s="264" t="s">
        <v>153</v>
      </c>
      <c r="AE13" s="264" t="s">
        <v>154</v>
      </c>
      <c r="AF13" s="264" t="s">
        <v>155</v>
      </c>
      <c r="AG13" s="264" t="s">
        <v>156</v>
      </c>
      <c r="AH13" s="264"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4" t="str">
        <f>IF($G$13=0,"",$G$13)</f>
        <v/>
      </c>
      <c r="AJ13" s="264" t="str">
        <f>IF($J$13=0,"",$J$13)</f>
        <v/>
      </c>
      <c r="AK13" s="264" t="str">
        <f>IF($K$13="нет","без дифференциации",IF($N$13=0,"",$N$13))</f>
        <v/>
      </c>
      <c r="AL13" s="264" t="str">
        <f>IF($O$13="нет","без дифференциации",IF($R$13=0,"",$R$13))</f>
        <v/>
      </c>
      <c r="AM13" s="264" t="str">
        <f>IF($S$13="нет","без дифференциации",IF($V$13=0,"",$V$13))</f>
        <v/>
      </c>
      <c r="AN13" s="264">
        <f>$I$13</f>
        <v>0</v>
      </c>
      <c r="AO13" s="264" t="str">
        <f>$I$13&amp;"."&amp;$M$13</f>
        <v>.</v>
      </c>
      <c r="AP13" s="264" t="str">
        <f>$I$13&amp;"."&amp;$M$13&amp;"."&amp;$Q$13</f>
        <v>..</v>
      </c>
      <c r="AQ13" s="264" t="str">
        <f>$I$13&amp;"."&amp;$M$13&amp;"."&amp;$Q$13&amp;"."&amp;$U$13</f>
        <v>...</v>
      </c>
      <c r="AR13" s="184">
        <v>0</v>
      </c>
    </row>
    <row r="14" s="184" customFormat="1" ht="17.25" hidden="1" customHeight="1">
      <c r="A14" s="253"/>
      <c r="C14" s="184"/>
      <c r="D14" s="254"/>
      <c r="E14" s="255"/>
      <c r="F14" s="265"/>
      <c r="G14" s="255"/>
      <c r="H14" s="266"/>
      <c r="I14" s="267"/>
      <c r="J14" s="268"/>
      <c r="K14" s="125"/>
      <c r="L14" s="125"/>
      <c r="M14" s="125"/>
      <c r="N14" s="269"/>
      <c r="O14" s="125"/>
      <c r="P14" s="125"/>
      <c r="Q14" s="125"/>
      <c r="R14" s="270"/>
      <c r="S14" s="125"/>
      <c r="T14" s="271"/>
      <c r="U14" s="271"/>
      <c r="V14" s="271"/>
      <c r="W14" s="272"/>
      <c r="Y14" s="107"/>
      <c r="Z14" s="107"/>
      <c r="AA14" s="107"/>
      <c r="AB14" s="107"/>
      <c r="AC14" s="107"/>
      <c r="AD14" s="107"/>
      <c r="AE14" s="107"/>
      <c r="AF14" s="107"/>
      <c r="AG14" s="107"/>
      <c r="AH14" s="107"/>
      <c r="AI14" s="107"/>
      <c r="AJ14" s="107"/>
      <c r="AK14" s="107"/>
      <c r="AL14" s="107"/>
      <c r="AM14" s="107"/>
      <c r="AN14" s="107"/>
      <c r="AO14" s="107"/>
      <c r="AP14" s="107"/>
      <c r="AQ14" s="107"/>
      <c r="AR14" s="184">
        <v>0</v>
      </c>
    </row>
    <row r="15" s="184" customFormat="1" ht="17.25" hidden="1" customHeight="1">
      <c r="A15" s="253"/>
      <c r="C15" s="128"/>
      <c r="D15" s="254"/>
      <c r="E15" s="255"/>
      <c r="F15" s="265"/>
      <c r="G15" s="255"/>
      <c r="H15" s="266"/>
      <c r="I15" s="267"/>
      <c r="J15" s="273"/>
      <c r="K15" s="125"/>
      <c r="L15" s="125"/>
      <c r="M15" s="125"/>
      <c r="N15" s="270"/>
      <c r="O15" s="125"/>
      <c r="P15" s="125"/>
      <c r="Q15" s="271"/>
      <c r="R15" s="271"/>
      <c r="S15" s="184"/>
      <c r="T15" s="184"/>
      <c r="U15" s="184"/>
      <c r="V15" s="184"/>
      <c r="W15" s="272"/>
      <c r="Y15" s="264"/>
      <c r="Z15" s="264"/>
      <c r="AA15" s="264"/>
      <c r="AB15" s="264"/>
      <c r="AC15" s="264"/>
      <c r="AD15" s="264"/>
      <c r="AE15" s="264"/>
      <c r="AF15" s="264"/>
      <c r="AG15" s="264"/>
      <c r="AH15" s="264"/>
      <c r="AI15" s="264"/>
      <c r="AJ15" s="264"/>
      <c r="AK15" s="264"/>
      <c r="AL15" s="264"/>
      <c r="AM15" s="264"/>
      <c r="AN15" s="264"/>
      <c r="AO15" s="264"/>
      <c r="AP15" s="264"/>
      <c r="AQ15" s="264"/>
      <c r="AR15" s="184">
        <v>0</v>
      </c>
    </row>
    <row r="16" s="184" customFormat="1" ht="17.25" hidden="1" customHeight="1">
      <c r="A16" s="253"/>
      <c r="C16" s="184"/>
      <c r="D16" s="254"/>
      <c r="E16" s="255"/>
      <c r="F16" s="265"/>
      <c r="G16" s="255"/>
      <c r="H16" s="266"/>
      <c r="I16" s="267"/>
      <c r="J16" s="273"/>
      <c r="K16" s="125"/>
      <c r="L16" s="271"/>
      <c r="M16" s="271"/>
      <c r="N16" s="271"/>
      <c r="O16" s="271"/>
      <c r="P16" s="271"/>
      <c r="Q16" s="271"/>
      <c r="R16" s="271"/>
      <c r="S16" s="184"/>
      <c r="T16" s="184"/>
      <c r="U16" s="184"/>
      <c r="V16" s="184"/>
      <c r="W16" s="272"/>
      <c r="Y16" s="107"/>
      <c r="Z16" s="107"/>
      <c r="AA16" s="107"/>
      <c r="AB16" s="107"/>
      <c r="AC16" s="107"/>
      <c r="AD16" s="107"/>
      <c r="AE16" s="107"/>
      <c r="AF16" s="107"/>
      <c r="AG16" s="107"/>
      <c r="AH16" s="107"/>
      <c r="AI16" s="107"/>
      <c r="AJ16" s="107"/>
      <c r="AK16" s="107"/>
      <c r="AL16" s="107"/>
      <c r="AM16" s="107"/>
      <c r="AN16" s="107"/>
      <c r="AO16" s="107"/>
      <c r="AP16" s="107"/>
      <c r="AQ16" s="107"/>
      <c r="AR16" s="184">
        <v>0</v>
      </c>
    </row>
    <row r="17" s="184" customFormat="1" ht="17.25" hidden="1" customHeight="1">
      <c r="A17" s="253"/>
      <c r="C17" s="184"/>
      <c r="D17" s="274"/>
      <c r="E17" s="275"/>
      <c r="F17" s="276"/>
      <c r="G17" s="275"/>
      <c r="H17" s="277"/>
      <c r="I17" s="278"/>
      <c r="J17" s="278"/>
      <c r="K17" s="278"/>
      <c r="L17" s="278"/>
      <c r="M17" s="278"/>
      <c r="N17" s="278"/>
      <c r="O17" s="278"/>
      <c r="P17" s="278"/>
      <c r="Q17" s="278"/>
      <c r="R17" s="278"/>
      <c r="S17" s="279"/>
      <c r="T17" s="279"/>
      <c r="U17" s="279"/>
      <c r="V17" s="279"/>
      <c r="W17" s="280"/>
      <c r="Y17" s="107"/>
      <c r="Z17" s="107"/>
      <c r="AA17" s="107"/>
      <c r="AB17" s="107"/>
      <c r="AC17" s="107"/>
      <c r="AD17" s="107"/>
      <c r="AE17" s="107"/>
      <c r="AF17" s="107"/>
      <c r="AG17" s="107"/>
      <c r="AH17" s="107"/>
      <c r="AI17" s="107"/>
      <c r="AJ17" s="107"/>
      <c r="AK17" s="107"/>
      <c r="AL17" s="107"/>
      <c r="AM17" s="107"/>
      <c r="AN17" s="107"/>
      <c r="AO17" s="107"/>
      <c r="AP17" s="107"/>
      <c r="AQ17" s="107"/>
      <c r="AR17" s="184">
        <v>0</v>
      </c>
    </row>
    <row r="18" s="184" customFormat="1" ht="17.25" hidden="1" customHeight="1">
      <c r="A18" s="253"/>
      <c r="C18" s="128"/>
      <c r="D18" s="254">
        <v>2</v>
      </c>
      <c r="E18" s="281"/>
      <c r="F18" s="256" t="s">
        <v>19</v>
      </c>
      <c r="G18" s="255"/>
      <c r="H18" s="257"/>
      <c r="I18" s="258"/>
      <c r="J18" s="259"/>
      <c r="K18" s="260"/>
      <c r="L18" s="260"/>
      <c r="M18" s="260"/>
      <c r="N18" s="261"/>
      <c r="O18" s="260"/>
      <c r="P18" s="260"/>
      <c r="Q18" s="260"/>
      <c r="R18" s="262"/>
      <c r="S18" s="260"/>
      <c r="T18" s="260"/>
      <c r="U18" s="260"/>
      <c r="V18" s="262"/>
      <c r="W18" s="263"/>
      <c r="X18" s="264"/>
      <c r="Y18" s="264"/>
      <c r="Z18" s="264"/>
      <c r="AA18" s="264"/>
      <c r="AB18" s="264"/>
      <c r="AC18" s="264" t="s">
        <v>157</v>
      </c>
      <c r="AD18" s="264" t="s">
        <v>158</v>
      </c>
      <c r="AE18" s="264" t="s">
        <v>159</v>
      </c>
      <c r="AF18" s="264" t="s">
        <v>160</v>
      </c>
      <c r="AG18" s="264" t="s">
        <v>161</v>
      </c>
      <c r="AH18" s="264" t="str">
        <f>IF($E$18=0,"",$E$18)</f>
        <v/>
      </c>
      <c r="AI18" s="264" t="str">
        <f>IF($G$18=0,"",$G$18)</f>
        <v/>
      </c>
      <c r="AJ18" s="264" t="str">
        <f>IF($J$18=0,"",$J$18)</f>
        <v/>
      </c>
      <c r="AK18" s="264" t="str">
        <f>IF($K$18="нет","без дифференциации",IF($N$18=0,"",$N$18))</f>
        <v/>
      </c>
      <c r="AL18" s="264" t="str">
        <f>IF($O$18="нет","без дифференциации",IF($R$18=0,"",$R$18))</f>
        <v/>
      </c>
      <c r="AM18" s="264" t="str">
        <f>IF($S$18="нет","без дифференциации",IF($V$18=0,"",$V$18))</f>
        <v/>
      </c>
      <c r="AN18" s="282">
        <f>$I$18</f>
        <v>0</v>
      </c>
      <c r="AO18" s="264" t="str">
        <f>$I$18&amp;"."&amp;$M$18</f>
        <v>.</v>
      </c>
      <c r="AP18" s="107" t="str">
        <f>$I$18&amp;"."&amp;$M$18&amp;"."&amp;$Q$18</f>
        <v>..</v>
      </c>
      <c r="AQ18" s="107" t="str">
        <f>$I$18&amp;"."&amp;$M$18&amp;"."&amp;$Q$18&amp;"."&amp;$U$18</f>
        <v>...</v>
      </c>
      <c r="AR18" s="184">
        <v>0</v>
      </c>
    </row>
    <row r="19" s="184" customFormat="1" ht="17.25" hidden="1" customHeight="1">
      <c r="A19" s="253"/>
      <c r="C19" s="184"/>
      <c r="D19" s="254"/>
      <c r="E19" s="281"/>
      <c r="F19" s="265"/>
      <c r="G19" s="255"/>
      <c r="H19" s="266"/>
      <c r="I19" s="267"/>
      <c r="J19" s="268"/>
      <c r="K19" s="125"/>
      <c r="L19" s="125"/>
      <c r="M19" s="125"/>
      <c r="N19" s="269"/>
      <c r="O19" s="125"/>
      <c r="P19" s="125"/>
      <c r="Q19" s="125"/>
      <c r="R19" s="270"/>
      <c r="S19" s="125"/>
      <c r="T19" s="271"/>
      <c r="U19" s="271"/>
      <c r="V19" s="271"/>
      <c r="W19" s="272"/>
      <c r="X19" s="107"/>
      <c r="Y19" s="107"/>
      <c r="Z19" s="107"/>
      <c r="AA19" s="107"/>
      <c r="AB19" s="107"/>
      <c r="AC19" s="107"/>
      <c r="AD19" s="107"/>
      <c r="AE19" s="107"/>
      <c r="AF19" s="107"/>
      <c r="AG19" s="107"/>
      <c r="AH19" s="107"/>
      <c r="AI19" s="107"/>
      <c r="AJ19" s="107"/>
      <c r="AK19" s="107"/>
      <c r="AL19" s="107"/>
      <c r="AM19" s="107"/>
      <c r="AN19" s="107"/>
      <c r="AO19" s="107"/>
      <c r="AP19" s="107"/>
      <c r="AQ19" s="107"/>
      <c r="AR19" s="184">
        <v>0</v>
      </c>
    </row>
    <row r="20" s="184" customFormat="1" ht="17.25" hidden="1" customHeight="1">
      <c r="A20" s="253"/>
      <c r="C20" s="184"/>
      <c r="D20" s="274"/>
      <c r="E20" s="283"/>
      <c r="F20" s="265"/>
      <c r="G20" s="275"/>
      <c r="H20" s="266"/>
      <c r="I20" s="267"/>
      <c r="J20" s="273"/>
      <c r="K20" s="125"/>
      <c r="L20" s="125"/>
      <c r="M20" s="125"/>
      <c r="N20" s="270"/>
      <c r="O20" s="125"/>
      <c r="P20" s="125"/>
      <c r="Q20" s="271"/>
      <c r="R20" s="271"/>
      <c r="S20" s="184"/>
      <c r="T20" s="184"/>
      <c r="U20" s="184"/>
      <c r="V20" s="184"/>
      <c r="W20" s="272"/>
      <c r="X20" s="107"/>
      <c r="Y20" s="107"/>
      <c r="Z20" s="107"/>
      <c r="AA20" s="107"/>
      <c r="AB20" s="107"/>
      <c r="AC20" s="107"/>
      <c r="AD20" s="107"/>
      <c r="AE20" s="107"/>
      <c r="AF20" s="107"/>
      <c r="AG20" s="107"/>
      <c r="AH20" s="107"/>
      <c r="AI20" s="107"/>
      <c r="AJ20" s="107"/>
      <c r="AK20" s="107"/>
      <c r="AL20" s="107"/>
      <c r="AM20" s="107"/>
      <c r="AN20" s="107"/>
      <c r="AO20" s="107"/>
      <c r="AP20" s="107"/>
      <c r="AQ20" s="107"/>
      <c r="AR20" s="184">
        <v>0</v>
      </c>
    </row>
    <row r="21" s="184" customFormat="1" ht="17.25" hidden="1" customHeight="1">
      <c r="A21" s="253"/>
      <c r="C21" s="184"/>
      <c r="D21" s="274"/>
      <c r="E21" s="283"/>
      <c r="F21" s="265"/>
      <c r="G21" s="275"/>
      <c r="H21" s="266"/>
      <c r="I21" s="267"/>
      <c r="J21" s="273"/>
      <c r="K21" s="125"/>
      <c r="L21" s="271"/>
      <c r="M21" s="271"/>
      <c r="N21" s="271"/>
      <c r="O21" s="271"/>
      <c r="P21" s="271"/>
      <c r="Q21" s="271"/>
      <c r="R21" s="271"/>
      <c r="S21" s="184"/>
      <c r="T21" s="184"/>
      <c r="U21" s="184"/>
      <c r="V21" s="184"/>
      <c r="W21" s="272"/>
      <c r="X21" s="107"/>
      <c r="Y21" s="107"/>
      <c r="Z21" s="107"/>
      <c r="AA21" s="107"/>
      <c r="AB21" s="107"/>
      <c r="AC21" s="107"/>
      <c r="AD21" s="107"/>
      <c r="AE21" s="107"/>
      <c r="AF21" s="107"/>
      <c r="AG21" s="107"/>
      <c r="AH21" s="107"/>
      <c r="AI21" s="107"/>
      <c r="AJ21" s="107"/>
      <c r="AK21" s="107"/>
      <c r="AL21" s="107"/>
      <c r="AM21" s="107"/>
      <c r="AN21" s="107"/>
      <c r="AO21" s="107"/>
      <c r="AP21" s="107"/>
      <c r="AQ21" s="107"/>
      <c r="AR21" s="184">
        <v>0</v>
      </c>
    </row>
    <row r="22" s="184" customFormat="1" ht="17.25" hidden="1" customHeight="1">
      <c r="A22" s="253"/>
      <c r="C22" s="184"/>
      <c r="D22" s="274"/>
      <c r="E22" s="283"/>
      <c r="F22" s="276"/>
      <c r="G22" s="275"/>
      <c r="H22" s="277"/>
      <c r="I22" s="278"/>
      <c r="J22" s="278"/>
      <c r="K22" s="278"/>
      <c r="L22" s="278"/>
      <c r="M22" s="278"/>
      <c r="N22" s="278"/>
      <c r="O22" s="278"/>
      <c r="P22" s="278"/>
      <c r="Q22" s="278"/>
      <c r="R22" s="278"/>
      <c r="S22" s="279"/>
      <c r="T22" s="279"/>
      <c r="U22" s="279"/>
      <c r="V22" s="279"/>
      <c r="W22" s="280"/>
      <c r="X22" s="107"/>
      <c r="Y22" s="107"/>
      <c r="Z22" s="107"/>
      <c r="AA22" s="107"/>
      <c r="AB22" s="107"/>
      <c r="AC22" s="107"/>
      <c r="AD22" s="107"/>
      <c r="AE22" s="107"/>
      <c r="AF22" s="107"/>
      <c r="AG22" s="107"/>
      <c r="AH22" s="107"/>
      <c r="AI22" s="107"/>
      <c r="AJ22" s="107"/>
      <c r="AK22" s="107"/>
      <c r="AL22" s="107"/>
      <c r="AM22" s="107"/>
      <c r="AN22" s="107"/>
      <c r="AO22" s="107"/>
      <c r="AP22" s="107"/>
      <c r="AQ22" s="107"/>
      <c r="AR22" s="184">
        <v>0</v>
      </c>
    </row>
    <row r="23" s="184" customFormat="1" ht="17.25" hidden="1" customHeight="1">
      <c r="A23" s="253"/>
      <c r="C23" s="128"/>
      <c r="D23" s="254">
        <v>2</v>
      </c>
      <c r="E23" s="255" t="s">
        <v>162</v>
      </c>
      <c r="F23" s="256" t="s">
        <v>19</v>
      </c>
      <c r="G23" s="255"/>
      <c r="H23" s="257"/>
      <c r="I23" s="258"/>
      <c r="J23" s="259"/>
      <c r="K23" s="260"/>
      <c r="L23" s="260"/>
      <c r="M23" s="260"/>
      <c r="N23" s="261"/>
      <c r="O23" s="260"/>
      <c r="P23" s="260"/>
      <c r="Q23" s="260"/>
      <c r="R23" s="262"/>
      <c r="S23" s="260"/>
      <c r="T23" s="260"/>
      <c r="U23" s="260"/>
      <c r="V23" s="262"/>
      <c r="W23" s="263"/>
      <c r="X23" s="264"/>
      <c r="Y23" s="264"/>
      <c r="Z23" s="264"/>
      <c r="AA23" s="264"/>
      <c r="AB23" s="264"/>
      <c r="AC23" s="264" t="s">
        <v>157</v>
      </c>
      <c r="AD23" s="264" t="s">
        <v>158</v>
      </c>
      <c r="AE23" s="264" t="s">
        <v>159</v>
      </c>
      <c r="AF23" s="264" t="s">
        <v>160</v>
      </c>
      <c r="AG23" s="264" t="s">
        <v>161</v>
      </c>
      <c r="AH23" s="264"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4" t="str">
        <f>IF($G$23=0,"",$G$23)</f>
        <v/>
      </c>
      <c r="AJ23" s="264" t="str">
        <f>IF($J$23=0,"",$J$23)</f>
        <v/>
      </c>
      <c r="AK23" s="264" t="str">
        <f>IF($K$23="нет","без дифференциации",IF($N$23=0,"",$N$23))</f>
        <v/>
      </c>
      <c r="AL23" s="264" t="str">
        <f>IF($O$23="нет","без дифференциации",IF($R$23=0,"",$R$23))</f>
        <v/>
      </c>
      <c r="AM23" s="264" t="str">
        <f>IF($S$23="нет","без дифференциации",IF($V$23=0,"",$V$23))</f>
        <v/>
      </c>
      <c r="AN23" s="282">
        <f>$I$23</f>
        <v>0</v>
      </c>
      <c r="AO23" s="264" t="str">
        <f>$I$23&amp;"."&amp;$M$23</f>
        <v>.</v>
      </c>
      <c r="AP23" s="107" t="str">
        <f>$I$23&amp;"."&amp;$M$23&amp;"."&amp;$Q$23</f>
        <v>..</v>
      </c>
      <c r="AQ23" s="107" t="str">
        <f>$I$23&amp;"."&amp;$M$23&amp;"."&amp;$Q$23&amp;"."&amp;$U$23</f>
        <v>...</v>
      </c>
      <c r="AR23" s="184">
        <v>0</v>
      </c>
    </row>
    <row r="24" s="184" customFormat="1" ht="17.25" hidden="1" customHeight="1">
      <c r="A24" s="253"/>
      <c r="C24" s="184"/>
      <c r="D24" s="254"/>
      <c r="E24" s="255"/>
      <c r="F24" s="265"/>
      <c r="G24" s="255"/>
      <c r="H24" s="266"/>
      <c r="I24" s="267"/>
      <c r="J24" s="268"/>
      <c r="K24" s="125"/>
      <c r="L24" s="125"/>
      <c r="M24" s="125"/>
      <c r="N24" s="269"/>
      <c r="O24" s="125"/>
      <c r="P24" s="125"/>
      <c r="Q24" s="125"/>
      <c r="R24" s="270"/>
      <c r="S24" s="125"/>
      <c r="T24" s="271"/>
      <c r="U24" s="271"/>
      <c r="V24" s="271"/>
      <c r="W24" s="272"/>
      <c r="X24" s="107"/>
      <c r="Y24" s="107"/>
      <c r="Z24" s="107"/>
      <c r="AA24" s="107"/>
      <c r="AB24" s="107"/>
      <c r="AC24" s="107"/>
      <c r="AD24" s="107"/>
      <c r="AE24" s="107"/>
      <c r="AF24" s="107"/>
      <c r="AG24" s="107"/>
      <c r="AH24" s="107"/>
      <c r="AI24" s="107"/>
      <c r="AJ24" s="107"/>
      <c r="AK24" s="107"/>
      <c r="AL24" s="107"/>
      <c r="AM24" s="107"/>
      <c r="AN24" s="107"/>
      <c r="AO24" s="107"/>
      <c r="AP24" s="107"/>
      <c r="AQ24" s="107"/>
      <c r="AR24" s="184">
        <v>0</v>
      </c>
    </row>
    <row r="25" s="184" customFormat="1" ht="17.25" hidden="1" customHeight="1">
      <c r="A25" s="253"/>
      <c r="C25" s="184"/>
      <c r="D25" s="274"/>
      <c r="E25" s="275"/>
      <c r="F25" s="265"/>
      <c r="G25" s="275"/>
      <c r="H25" s="266"/>
      <c r="I25" s="267"/>
      <c r="J25" s="273"/>
      <c r="K25" s="125"/>
      <c r="L25" s="125"/>
      <c r="M25" s="125"/>
      <c r="N25" s="270"/>
      <c r="O25" s="125"/>
      <c r="P25" s="125"/>
      <c r="Q25" s="271"/>
      <c r="R25" s="271"/>
      <c r="S25" s="184"/>
      <c r="T25" s="184"/>
      <c r="U25" s="184"/>
      <c r="V25" s="184"/>
      <c r="W25" s="272"/>
      <c r="X25" s="107"/>
      <c r="Y25" s="107"/>
      <c r="Z25" s="107"/>
      <c r="AA25" s="107"/>
      <c r="AB25" s="107"/>
      <c r="AC25" s="107"/>
      <c r="AD25" s="107"/>
      <c r="AE25" s="107"/>
      <c r="AF25" s="107"/>
      <c r="AG25" s="107"/>
      <c r="AH25" s="107"/>
      <c r="AI25" s="107"/>
      <c r="AJ25" s="107"/>
      <c r="AK25" s="107"/>
      <c r="AL25" s="107"/>
      <c r="AM25" s="107"/>
      <c r="AN25" s="107"/>
      <c r="AO25" s="107"/>
      <c r="AP25" s="107"/>
      <c r="AQ25" s="107"/>
      <c r="AR25" s="184">
        <v>0</v>
      </c>
    </row>
    <row r="26" s="184" customFormat="1" ht="17.25" hidden="1" customHeight="1">
      <c r="A26" s="253"/>
      <c r="C26" s="184"/>
      <c r="D26" s="274"/>
      <c r="E26" s="275"/>
      <c r="F26" s="265"/>
      <c r="G26" s="275"/>
      <c r="H26" s="266"/>
      <c r="I26" s="267"/>
      <c r="J26" s="273"/>
      <c r="K26" s="125"/>
      <c r="L26" s="271"/>
      <c r="M26" s="271"/>
      <c r="N26" s="271"/>
      <c r="O26" s="271"/>
      <c r="P26" s="271"/>
      <c r="Q26" s="271"/>
      <c r="R26" s="271"/>
      <c r="S26" s="184"/>
      <c r="T26" s="184"/>
      <c r="U26" s="184"/>
      <c r="V26" s="184"/>
      <c r="W26" s="272"/>
      <c r="X26" s="107"/>
      <c r="Y26" s="107"/>
      <c r="Z26" s="107"/>
      <c r="AA26" s="107"/>
      <c r="AB26" s="107"/>
      <c r="AC26" s="107"/>
      <c r="AD26" s="107"/>
      <c r="AE26" s="107"/>
      <c r="AF26" s="107"/>
      <c r="AG26" s="107"/>
      <c r="AH26" s="107"/>
      <c r="AI26" s="107"/>
      <c r="AJ26" s="107"/>
      <c r="AK26" s="107"/>
      <c r="AL26" s="107"/>
      <c r="AM26" s="107"/>
      <c r="AN26" s="107"/>
      <c r="AO26" s="107"/>
      <c r="AP26" s="107"/>
      <c r="AQ26" s="107"/>
      <c r="AR26" s="184">
        <v>0</v>
      </c>
    </row>
    <row r="27" s="184" customFormat="1" ht="17.25" hidden="1" customHeight="1">
      <c r="A27" s="253"/>
      <c r="C27" s="184"/>
      <c r="D27" s="274"/>
      <c r="E27" s="275"/>
      <c r="F27" s="276"/>
      <c r="G27" s="275"/>
      <c r="H27" s="277"/>
      <c r="I27" s="278"/>
      <c r="J27" s="278"/>
      <c r="K27" s="278"/>
      <c r="L27" s="278"/>
      <c r="M27" s="278"/>
      <c r="N27" s="278"/>
      <c r="O27" s="278"/>
      <c r="P27" s="278"/>
      <c r="Q27" s="278"/>
      <c r="R27" s="278"/>
      <c r="S27" s="279"/>
      <c r="T27" s="279"/>
      <c r="U27" s="279"/>
      <c r="V27" s="279"/>
      <c r="W27" s="280"/>
      <c r="X27" s="107"/>
      <c r="Y27" s="107"/>
      <c r="Z27" s="107"/>
      <c r="AA27" s="107"/>
      <c r="AB27" s="107"/>
      <c r="AC27" s="107"/>
      <c r="AD27" s="107"/>
      <c r="AE27" s="107"/>
      <c r="AF27" s="107"/>
      <c r="AG27" s="107"/>
      <c r="AH27" s="107"/>
      <c r="AI27" s="107"/>
      <c r="AJ27" s="107"/>
      <c r="AK27" s="107"/>
      <c r="AL27" s="107"/>
      <c r="AM27" s="107"/>
      <c r="AN27" s="107"/>
      <c r="AO27" s="107"/>
      <c r="AP27" s="107"/>
      <c r="AQ27" s="107"/>
      <c r="AR27" s="184">
        <v>0</v>
      </c>
    </row>
    <row r="28" s="184" customFormat="1" ht="17.25" hidden="1" customHeight="1">
      <c r="A28" s="253"/>
      <c r="C28" s="128"/>
      <c r="D28" s="254">
        <v>3</v>
      </c>
      <c r="E28" s="255" t="s">
        <v>163</v>
      </c>
      <c r="F28" s="256" t="s">
        <v>19</v>
      </c>
      <c r="G28" s="255"/>
      <c r="H28" s="257"/>
      <c r="I28" s="258"/>
      <c r="J28" s="259"/>
      <c r="K28" s="260"/>
      <c r="L28" s="260"/>
      <c r="M28" s="260"/>
      <c r="N28" s="261"/>
      <c r="O28" s="260"/>
      <c r="P28" s="260"/>
      <c r="Q28" s="260"/>
      <c r="R28" s="262"/>
      <c r="S28" s="260"/>
      <c r="T28" s="260"/>
      <c r="U28" s="260"/>
      <c r="V28" s="262"/>
      <c r="W28" s="263"/>
      <c r="X28" s="264"/>
      <c r="Y28" s="264"/>
      <c r="Z28" s="264"/>
      <c r="AA28" s="264"/>
      <c r="AB28" s="264"/>
      <c r="AC28" s="264" t="s">
        <v>164</v>
      </c>
      <c r="AD28" s="264" t="s">
        <v>165</v>
      </c>
      <c r="AE28" s="264" t="s">
        <v>166</v>
      </c>
      <c r="AF28" s="264" t="s">
        <v>167</v>
      </c>
      <c r="AG28" s="264" t="s">
        <v>168</v>
      </c>
      <c r="AH28" s="264" t="str">
        <f>IF($E$28=0,"",$E$28)</f>
        <v xml:space="preserve">Тарифы на теплоноситель, поставляемый теплоснабжающими организациями потребителям, другим теплоснабжающим организациям</v>
      </c>
      <c r="AI28" s="264" t="str">
        <f>IF($G$28=0,"",$G$28)</f>
        <v/>
      </c>
      <c r="AJ28" s="264" t="str">
        <f>IF($J$28=0,"",$J$28)</f>
        <v/>
      </c>
      <c r="AK28" s="264" t="str">
        <f>IF($K$28="нет","без дифференциации",IF($N$28=0,"",$N$28))</f>
        <v/>
      </c>
      <c r="AL28" s="264" t="str">
        <f>IF($O$28="нет","без дифференциации",IF($R$28=0,"",$R$28))</f>
        <v/>
      </c>
      <c r="AM28" s="264" t="str">
        <f>IF($S$28="нет","без дифференциации",IF($V$28=0,"",$V$28))</f>
        <v/>
      </c>
      <c r="AN28" s="282">
        <f>$I$28</f>
        <v>0</v>
      </c>
      <c r="AO28" s="264" t="str">
        <f>$I$28&amp;"."&amp;$M$28</f>
        <v>.</v>
      </c>
      <c r="AP28" s="107" t="str">
        <f>$I$28&amp;"."&amp;$M$28&amp;"."&amp;$Q$28</f>
        <v>..</v>
      </c>
      <c r="AQ28" s="107" t="str">
        <f>$I$28&amp;"."&amp;$M$28&amp;"."&amp;$Q$28&amp;"."&amp;$U$28</f>
        <v>...</v>
      </c>
      <c r="AR28" s="184">
        <v>0</v>
      </c>
    </row>
    <row r="29" s="184" customFormat="1" ht="17.25" hidden="1" customHeight="1">
      <c r="A29" s="253"/>
      <c r="C29" s="184"/>
      <c r="D29" s="254"/>
      <c r="E29" s="255"/>
      <c r="F29" s="265"/>
      <c r="G29" s="255"/>
      <c r="H29" s="266"/>
      <c r="I29" s="267"/>
      <c r="J29" s="268"/>
      <c r="K29" s="125"/>
      <c r="L29" s="125"/>
      <c r="M29" s="125"/>
      <c r="N29" s="269"/>
      <c r="O29" s="125"/>
      <c r="P29" s="125"/>
      <c r="Q29" s="125"/>
      <c r="R29" s="270"/>
      <c r="S29" s="125"/>
      <c r="T29" s="271"/>
      <c r="U29" s="271"/>
      <c r="V29" s="271"/>
      <c r="W29" s="272"/>
      <c r="X29" s="107"/>
      <c r="Y29" s="107"/>
      <c r="Z29" s="107"/>
      <c r="AA29" s="107"/>
      <c r="AB29" s="107"/>
      <c r="AC29" s="107"/>
      <c r="AD29" s="107"/>
      <c r="AE29" s="107"/>
      <c r="AF29" s="107"/>
      <c r="AG29" s="107"/>
      <c r="AH29" s="107"/>
      <c r="AI29" s="107"/>
      <c r="AJ29" s="107"/>
      <c r="AK29" s="107"/>
      <c r="AL29" s="107"/>
      <c r="AM29" s="107"/>
      <c r="AN29" s="107"/>
      <c r="AO29" s="107"/>
      <c r="AP29" s="107"/>
      <c r="AQ29" s="107"/>
      <c r="AR29" s="184">
        <v>0</v>
      </c>
    </row>
    <row r="30" s="184" customFormat="1" ht="17.25" hidden="1" customHeight="1">
      <c r="A30" s="253"/>
      <c r="C30" s="184"/>
      <c r="D30" s="274"/>
      <c r="E30" s="275"/>
      <c r="F30" s="265"/>
      <c r="G30" s="275"/>
      <c r="H30" s="266"/>
      <c r="I30" s="267"/>
      <c r="J30" s="273"/>
      <c r="K30" s="125"/>
      <c r="L30" s="125"/>
      <c r="M30" s="125"/>
      <c r="N30" s="270"/>
      <c r="O30" s="125"/>
      <c r="P30" s="125"/>
      <c r="Q30" s="271"/>
      <c r="R30" s="271"/>
      <c r="S30" s="184"/>
      <c r="T30" s="184"/>
      <c r="U30" s="184"/>
      <c r="V30" s="184"/>
      <c r="W30" s="272"/>
      <c r="X30" s="107"/>
      <c r="Y30" s="107"/>
      <c r="Z30" s="107"/>
      <c r="AA30" s="107"/>
      <c r="AB30" s="107"/>
      <c r="AC30" s="107"/>
      <c r="AD30" s="107"/>
      <c r="AE30" s="107"/>
      <c r="AF30" s="107"/>
      <c r="AG30" s="107"/>
      <c r="AH30" s="107"/>
      <c r="AI30" s="107"/>
      <c r="AJ30" s="107"/>
      <c r="AK30" s="107"/>
      <c r="AL30" s="107"/>
      <c r="AM30" s="107"/>
      <c r="AN30" s="107"/>
      <c r="AO30" s="107"/>
      <c r="AP30" s="107"/>
      <c r="AQ30" s="107"/>
      <c r="AR30" s="184">
        <v>0</v>
      </c>
    </row>
    <row r="31" s="184" customFormat="1" ht="17.25" hidden="1" customHeight="1">
      <c r="A31" s="253"/>
      <c r="C31" s="184"/>
      <c r="D31" s="274"/>
      <c r="E31" s="275"/>
      <c r="F31" s="265"/>
      <c r="G31" s="275"/>
      <c r="H31" s="266"/>
      <c r="I31" s="267"/>
      <c r="J31" s="273"/>
      <c r="K31" s="125"/>
      <c r="L31" s="271"/>
      <c r="M31" s="271"/>
      <c r="N31" s="271"/>
      <c r="O31" s="271"/>
      <c r="P31" s="271"/>
      <c r="Q31" s="271"/>
      <c r="R31" s="271"/>
      <c r="S31" s="184"/>
      <c r="T31" s="184"/>
      <c r="U31" s="184"/>
      <c r="V31" s="184"/>
      <c r="W31" s="272"/>
      <c r="X31" s="107"/>
      <c r="Y31" s="107"/>
      <c r="Z31" s="107"/>
      <c r="AA31" s="107"/>
      <c r="AB31" s="107"/>
      <c r="AC31" s="107"/>
      <c r="AD31" s="107"/>
      <c r="AE31" s="107"/>
      <c r="AF31" s="107"/>
      <c r="AG31" s="107"/>
      <c r="AH31" s="107"/>
      <c r="AI31" s="107"/>
      <c r="AJ31" s="107"/>
      <c r="AK31" s="107"/>
      <c r="AL31" s="107"/>
      <c r="AM31" s="107"/>
      <c r="AN31" s="107"/>
      <c r="AO31" s="107"/>
      <c r="AP31" s="107"/>
      <c r="AQ31" s="107"/>
      <c r="AR31" s="184">
        <v>0</v>
      </c>
    </row>
    <row r="32" s="184" customFormat="1" ht="17.25" hidden="1" customHeight="1">
      <c r="A32" s="253"/>
      <c r="C32" s="184"/>
      <c r="D32" s="274"/>
      <c r="E32" s="275"/>
      <c r="F32" s="276"/>
      <c r="G32" s="275"/>
      <c r="H32" s="277"/>
      <c r="I32" s="278"/>
      <c r="J32" s="278"/>
      <c r="K32" s="278"/>
      <c r="L32" s="278"/>
      <c r="M32" s="278"/>
      <c r="N32" s="278"/>
      <c r="O32" s="278"/>
      <c r="P32" s="278"/>
      <c r="Q32" s="278"/>
      <c r="R32" s="278"/>
      <c r="S32" s="279"/>
      <c r="T32" s="279"/>
      <c r="U32" s="279"/>
      <c r="V32" s="279"/>
      <c r="W32" s="280"/>
      <c r="X32" s="107"/>
      <c r="Y32" s="107"/>
      <c r="Z32" s="107"/>
      <c r="AA32" s="107"/>
      <c r="AB32" s="107"/>
      <c r="AC32" s="107"/>
      <c r="AD32" s="107"/>
      <c r="AE32" s="107"/>
      <c r="AF32" s="107"/>
      <c r="AG32" s="107"/>
      <c r="AH32" s="107"/>
      <c r="AI32" s="107"/>
      <c r="AJ32" s="107"/>
      <c r="AK32" s="107"/>
      <c r="AL32" s="107"/>
      <c r="AM32" s="107"/>
      <c r="AN32" s="107"/>
      <c r="AO32" s="107"/>
      <c r="AP32" s="107"/>
      <c r="AQ32" s="107"/>
      <c r="AR32" s="184">
        <v>0</v>
      </c>
    </row>
    <row r="33" s="184" customFormat="1" ht="17.25" hidden="1" customHeight="1">
      <c r="A33" s="253"/>
      <c r="C33" s="128"/>
      <c r="D33" s="254">
        <v>4</v>
      </c>
      <c r="E33" s="255" t="s">
        <v>169</v>
      </c>
      <c r="F33" s="256" t="s">
        <v>19</v>
      </c>
      <c r="G33" s="255"/>
      <c r="H33" s="257"/>
      <c r="I33" s="258"/>
      <c r="J33" s="259"/>
      <c r="K33" s="260"/>
      <c r="L33" s="260"/>
      <c r="M33" s="260"/>
      <c r="N33" s="261"/>
      <c r="O33" s="260"/>
      <c r="P33" s="260"/>
      <c r="Q33" s="260"/>
      <c r="R33" s="262"/>
      <c r="S33" s="260"/>
      <c r="T33" s="260"/>
      <c r="U33" s="260"/>
      <c r="V33" s="262"/>
      <c r="W33" s="263"/>
      <c r="X33" s="264"/>
      <c r="Y33" s="264"/>
      <c r="Z33" s="264"/>
      <c r="AA33" s="264"/>
      <c r="AB33" s="264"/>
      <c r="AC33" s="264" t="s">
        <v>170</v>
      </c>
      <c r="AD33" s="264" t="s">
        <v>171</v>
      </c>
      <c r="AE33" s="264" t="s">
        <v>172</v>
      </c>
      <c r="AF33" s="264" t="s">
        <v>173</v>
      </c>
      <c r="AG33" s="264" t="s">
        <v>174</v>
      </c>
      <c r="AH33" s="264"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4" t="str">
        <f>IF($G$33=0,"",$G$33)</f>
        <v/>
      </c>
      <c r="AJ33" s="264" t="str">
        <f>IF($J$33=0,"",$J$33)</f>
        <v/>
      </c>
      <c r="AK33" s="264" t="str">
        <f>IF($K$33="нет","без дифференциации",IF($N$33=0,"",$N$33))</f>
        <v/>
      </c>
      <c r="AL33" s="264" t="str">
        <f>IF($O$33="нет","без дифференциации",IF($R$33=0,"",$R$33))</f>
        <v/>
      </c>
      <c r="AM33" s="264" t="str">
        <f>IF($S$33="нет","без дифференциации",IF($V$33=0,"",$V$33))</f>
        <v/>
      </c>
      <c r="AN33" s="282">
        <f>$I$33</f>
        <v>0</v>
      </c>
      <c r="AO33" s="264" t="str">
        <f>$I$33&amp;"."&amp;$M$33</f>
        <v>.</v>
      </c>
      <c r="AP33" s="107" t="str">
        <f>$I$33&amp;"."&amp;$M$33&amp;"."&amp;$Q$33</f>
        <v>..</v>
      </c>
      <c r="AQ33" s="107" t="str">
        <f>$I$33&amp;"."&amp;$M$33&amp;"."&amp;$Q$33&amp;"."&amp;$U$33</f>
        <v>...</v>
      </c>
      <c r="AR33" s="184">
        <v>0</v>
      </c>
    </row>
    <row r="34" s="184" customFormat="1" ht="17.25" hidden="1" customHeight="1">
      <c r="A34" s="253"/>
      <c r="C34" s="184"/>
      <c r="D34" s="254"/>
      <c r="E34" s="255"/>
      <c r="F34" s="265"/>
      <c r="G34" s="255"/>
      <c r="H34" s="266"/>
      <c r="I34" s="267"/>
      <c r="J34" s="268"/>
      <c r="K34" s="125"/>
      <c r="L34" s="125"/>
      <c r="M34" s="125"/>
      <c r="N34" s="269"/>
      <c r="O34" s="125"/>
      <c r="P34" s="125"/>
      <c r="Q34" s="125"/>
      <c r="R34" s="270"/>
      <c r="S34" s="125"/>
      <c r="T34" s="271"/>
      <c r="U34" s="271"/>
      <c r="V34" s="271"/>
      <c r="W34" s="272"/>
      <c r="X34" s="107"/>
      <c r="Y34" s="107"/>
      <c r="Z34" s="107"/>
      <c r="AA34" s="107"/>
      <c r="AB34" s="107"/>
      <c r="AC34" s="107"/>
      <c r="AD34" s="107"/>
      <c r="AE34" s="107"/>
      <c r="AF34" s="107"/>
      <c r="AG34" s="107"/>
      <c r="AH34" s="107"/>
      <c r="AI34" s="107"/>
      <c r="AJ34" s="107"/>
      <c r="AK34" s="107"/>
      <c r="AL34" s="107"/>
      <c r="AM34" s="107"/>
      <c r="AN34" s="107"/>
      <c r="AO34" s="107"/>
      <c r="AP34" s="107"/>
      <c r="AQ34" s="107"/>
      <c r="AR34" s="184">
        <v>0</v>
      </c>
    </row>
    <row r="35" s="184" customFormat="1" ht="17.25" hidden="1" customHeight="1">
      <c r="A35" s="253"/>
      <c r="C35" s="184"/>
      <c r="D35" s="274"/>
      <c r="E35" s="275"/>
      <c r="F35" s="265"/>
      <c r="G35" s="275"/>
      <c r="H35" s="266"/>
      <c r="I35" s="267"/>
      <c r="J35" s="273"/>
      <c r="K35" s="125"/>
      <c r="L35" s="125"/>
      <c r="M35" s="125"/>
      <c r="N35" s="270"/>
      <c r="O35" s="125"/>
      <c r="P35" s="125"/>
      <c r="Q35" s="271"/>
      <c r="R35" s="271"/>
      <c r="S35" s="184"/>
      <c r="T35" s="184"/>
      <c r="U35" s="184"/>
      <c r="V35" s="184"/>
      <c r="W35" s="272"/>
      <c r="X35" s="107"/>
      <c r="Y35" s="107"/>
      <c r="Z35" s="107"/>
      <c r="AA35" s="107"/>
      <c r="AB35" s="107"/>
      <c r="AC35" s="107"/>
      <c r="AD35" s="107"/>
      <c r="AE35" s="107"/>
      <c r="AF35" s="107"/>
      <c r="AG35" s="107"/>
      <c r="AH35" s="107"/>
      <c r="AI35" s="107"/>
      <c r="AJ35" s="107"/>
      <c r="AK35" s="107"/>
      <c r="AL35" s="107"/>
      <c r="AM35" s="107"/>
      <c r="AN35" s="107"/>
      <c r="AO35" s="107"/>
      <c r="AP35" s="107"/>
      <c r="AQ35" s="107"/>
      <c r="AR35" s="184">
        <v>0</v>
      </c>
    </row>
    <row r="36" s="184" customFormat="1" ht="17.25" hidden="1" customHeight="1">
      <c r="A36" s="253"/>
      <c r="C36" s="184"/>
      <c r="D36" s="274"/>
      <c r="E36" s="275"/>
      <c r="F36" s="265"/>
      <c r="G36" s="275"/>
      <c r="H36" s="266"/>
      <c r="I36" s="267"/>
      <c r="J36" s="273"/>
      <c r="K36" s="125"/>
      <c r="L36" s="271"/>
      <c r="M36" s="271"/>
      <c r="N36" s="271"/>
      <c r="O36" s="271"/>
      <c r="P36" s="271"/>
      <c r="Q36" s="271"/>
      <c r="R36" s="271"/>
      <c r="S36" s="184"/>
      <c r="T36" s="184"/>
      <c r="U36" s="184"/>
      <c r="V36" s="184"/>
      <c r="W36" s="272"/>
      <c r="X36" s="107"/>
      <c r="Y36" s="107"/>
      <c r="Z36" s="107"/>
      <c r="AA36" s="107"/>
      <c r="AB36" s="107"/>
      <c r="AC36" s="107"/>
      <c r="AD36" s="107"/>
      <c r="AE36" s="107"/>
      <c r="AF36" s="107"/>
      <c r="AG36" s="107"/>
      <c r="AH36" s="107"/>
      <c r="AI36" s="107"/>
      <c r="AJ36" s="107"/>
      <c r="AK36" s="107"/>
      <c r="AL36" s="107"/>
      <c r="AM36" s="107"/>
      <c r="AN36" s="107"/>
      <c r="AO36" s="107"/>
      <c r="AP36" s="107"/>
      <c r="AQ36" s="107"/>
      <c r="AR36" s="184">
        <v>0</v>
      </c>
    </row>
    <row r="37" s="184" customFormat="1" ht="17.25" hidden="1" customHeight="1">
      <c r="A37" s="253"/>
      <c r="C37" s="184"/>
      <c r="D37" s="274"/>
      <c r="E37" s="275"/>
      <c r="F37" s="276"/>
      <c r="G37" s="275"/>
      <c r="H37" s="277"/>
      <c r="I37" s="278"/>
      <c r="J37" s="278"/>
      <c r="K37" s="278"/>
      <c r="L37" s="278"/>
      <c r="M37" s="278"/>
      <c r="N37" s="278"/>
      <c r="O37" s="278"/>
      <c r="P37" s="278"/>
      <c r="Q37" s="278"/>
      <c r="R37" s="278"/>
      <c r="S37" s="279"/>
      <c r="T37" s="279"/>
      <c r="U37" s="279"/>
      <c r="V37" s="279"/>
      <c r="W37" s="280"/>
      <c r="X37" s="107"/>
      <c r="Y37" s="107"/>
      <c r="Z37" s="107"/>
      <c r="AA37" s="107"/>
      <c r="AB37" s="107"/>
      <c r="AC37" s="107"/>
      <c r="AD37" s="107"/>
      <c r="AE37" s="107"/>
      <c r="AF37" s="107"/>
      <c r="AG37" s="107"/>
      <c r="AH37" s="107"/>
      <c r="AI37" s="107"/>
      <c r="AJ37" s="107"/>
      <c r="AK37" s="107"/>
      <c r="AL37" s="107"/>
      <c r="AM37" s="107"/>
      <c r="AN37" s="107"/>
      <c r="AO37" s="107"/>
      <c r="AP37" s="107"/>
      <c r="AQ37" s="107"/>
      <c r="AR37" s="184">
        <v>0</v>
      </c>
    </row>
    <row r="38" s="184" customFormat="1" ht="17.25" hidden="1" customHeight="1">
      <c r="A38" s="253"/>
      <c r="C38" s="128"/>
      <c r="D38" s="254">
        <v>5</v>
      </c>
      <c r="E38" s="255" t="s">
        <v>175</v>
      </c>
      <c r="F38" s="256" t="s">
        <v>19</v>
      </c>
      <c r="G38" s="255"/>
      <c r="H38" s="257"/>
      <c r="I38" s="258"/>
      <c r="J38" s="259"/>
      <c r="K38" s="260"/>
      <c r="L38" s="260"/>
      <c r="M38" s="260"/>
      <c r="N38" s="261"/>
      <c r="O38" s="260"/>
      <c r="P38" s="260"/>
      <c r="Q38" s="260"/>
      <c r="R38" s="262"/>
      <c r="S38" s="260"/>
      <c r="T38" s="260"/>
      <c r="U38" s="260"/>
      <c r="V38" s="262"/>
      <c r="W38" s="263"/>
      <c r="X38" s="264"/>
      <c r="Y38" s="264"/>
      <c r="Z38" s="264"/>
      <c r="AA38" s="264"/>
      <c r="AB38" s="264"/>
      <c r="AC38" s="264" t="s">
        <v>176</v>
      </c>
      <c r="AD38" s="264" t="s">
        <v>177</v>
      </c>
      <c r="AE38" s="264" t="s">
        <v>178</v>
      </c>
      <c r="AF38" s="264" t="s">
        <v>179</v>
      </c>
      <c r="AG38" s="264" t="s">
        <v>180</v>
      </c>
      <c r="AH38" s="264" t="str">
        <f>IF($E$38=0,"",$E$38)</f>
        <v xml:space="preserve">Тарифы на услуги по передаче тепловой энергии</v>
      </c>
      <c r="AI38" s="264" t="str">
        <f>IF($G$38=0,"",$G$38)</f>
        <v/>
      </c>
      <c r="AJ38" s="264" t="str">
        <f>IF($J$38=0,"",$J$38)</f>
        <v/>
      </c>
      <c r="AK38" s="264" t="str">
        <f>IF($K$38="нет","без дифференциации",IF($N$38=0,"",$N$38))</f>
        <v/>
      </c>
      <c r="AL38" s="264" t="str">
        <f>IF($O$38="нет","без дифференциации",IF($R$38=0,"",$R$38))</f>
        <v/>
      </c>
      <c r="AM38" s="264" t="str">
        <f>IF($S$38="нет","без дифференциации",IF($V$38=0,"",$V$38))</f>
        <v/>
      </c>
      <c r="AN38" s="282">
        <f>$I$38</f>
        <v>0</v>
      </c>
      <c r="AO38" s="264" t="str">
        <f>$I$38&amp;"."&amp;$M$38</f>
        <v>.</v>
      </c>
      <c r="AP38" s="107" t="str">
        <f>$I$38&amp;"."&amp;$M$38&amp;"."&amp;$Q$38</f>
        <v>..</v>
      </c>
      <c r="AQ38" s="107" t="str">
        <f>$I$38&amp;"."&amp;$M$38&amp;"."&amp;$Q$38&amp;"."&amp;$U$38</f>
        <v>...</v>
      </c>
      <c r="AR38" s="184">
        <v>0</v>
      </c>
    </row>
    <row r="39" s="184" customFormat="1" ht="17.25" hidden="1" customHeight="1">
      <c r="A39" s="253"/>
      <c r="C39" s="184"/>
      <c r="D39" s="254"/>
      <c r="E39" s="255"/>
      <c r="F39" s="265"/>
      <c r="G39" s="255"/>
      <c r="H39" s="266"/>
      <c r="I39" s="267"/>
      <c r="J39" s="268"/>
      <c r="K39" s="125"/>
      <c r="L39" s="125"/>
      <c r="M39" s="125"/>
      <c r="N39" s="269"/>
      <c r="O39" s="125"/>
      <c r="P39" s="125"/>
      <c r="Q39" s="125"/>
      <c r="R39" s="270"/>
      <c r="S39" s="125"/>
      <c r="T39" s="271"/>
      <c r="U39" s="271"/>
      <c r="V39" s="271"/>
      <c r="W39" s="272"/>
      <c r="X39" s="107"/>
      <c r="Y39" s="107"/>
      <c r="Z39" s="107"/>
      <c r="AA39" s="107"/>
      <c r="AB39" s="107"/>
      <c r="AC39" s="107"/>
      <c r="AD39" s="107"/>
      <c r="AE39" s="107"/>
      <c r="AF39" s="107"/>
      <c r="AG39" s="107"/>
      <c r="AH39" s="107"/>
      <c r="AI39" s="107"/>
      <c r="AJ39" s="107"/>
      <c r="AK39" s="107"/>
      <c r="AL39" s="107"/>
      <c r="AM39" s="107"/>
      <c r="AN39" s="107"/>
      <c r="AO39" s="107"/>
      <c r="AP39" s="107"/>
      <c r="AQ39" s="107"/>
      <c r="AR39" s="184">
        <v>0</v>
      </c>
    </row>
    <row r="40" s="184" customFormat="1" ht="17.25" hidden="1" customHeight="1">
      <c r="A40" s="253"/>
      <c r="C40" s="184"/>
      <c r="D40" s="274"/>
      <c r="E40" s="275"/>
      <c r="F40" s="265"/>
      <c r="G40" s="275"/>
      <c r="H40" s="266"/>
      <c r="I40" s="267"/>
      <c r="J40" s="273"/>
      <c r="K40" s="125"/>
      <c r="L40" s="125"/>
      <c r="M40" s="125"/>
      <c r="N40" s="270"/>
      <c r="O40" s="125"/>
      <c r="P40" s="125"/>
      <c r="Q40" s="271"/>
      <c r="R40" s="271"/>
      <c r="S40" s="184"/>
      <c r="T40" s="184"/>
      <c r="U40" s="184"/>
      <c r="V40" s="184"/>
      <c r="W40" s="272"/>
      <c r="X40" s="107"/>
      <c r="Y40" s="107"/>
      <c r="Z40" s="107"/>
      <c r="AA40" s="107"/>
      <c r="AB40" s="107"/>
      <c r="AC40" s="107"/>
      <c r="AD40" s="107"/>
      <c r="AE40" s="107"/>
      <c r="AF40" s="107"/>
      <c r="AG40" s="107"/>
      <c r="AH40" s="107"/>
      <c r="AI40" s="107"/>
      <c r="AJ40" s="107"/>
      <c r="AK40" s="107"/>
      <c r="AL40" s="107"/>
      <c r="AM40" s="107"/>
      <c r="AN40" s="107"/>
      <c r="AO40" s="107"/>
      <c r="AP40" s="107"/>
      <c r="AQ40" s="107"/>
      <c r="AR40" s="184">
        <v>0</v>
      </c>
    </row>
    <row r="41" s="184" customFormat="1" ht="17.25" hidden="1" customHeight="1">
      <c r="A41" s="253"/>
      <c r="C41" s="184"/>
      <c r="D41" s="274"/>
      <c r="E41" s="275"/>
      <c r="F41" s="265"/>
      <c r="G41" s="275"/>
      <c r="H41" s="266"/>
      <c r="I41" s="267"/>
      <c r="J41" s="273"/>
      <c r="K41" s="125"/>
      <c r="L41" s="271"/>
      <c r="M41" s="271"/>
      <c r="N41" s="271"/>
      <c r="O41" s="271"/>
      <c r="P41" s="271"/>
      <c r="Q41" s="271"/>
      <c r="R41" s="271"/>
      <c r="S41" s="184"/>
      <c r="T41" s="184"/>
      <c r="U41" s="184"/>
      <c r="V41" s="184"/>
      <c r="W41" s="272"/>
      <c r="X41" s="107"/>
      <c r="Y41" s="107"/>
      <c r="Z41" s="107"/>
      <c r="AA41" s="107"/>
      <c r="AB41" s="107"/>
      <c r="AC41" s="107"/>
      <c r="AD41" s="107"/>
      <c r="AE41" s="107"/>
      <c r="AF41" s="107"/>
      <c r="AG41" s="107"/>
      <c r="AH41" s="107"/>
      <c r="AI41" s="107"/>
      <c r="AJ41" s="107"/>
      <c r="AK41" s="107"/>
      <c r="AL41" s="107"/>
      <c r="AM41" s="107"/>
      <c r="AN41" s="107"/>
      <c r="AO41" s="107"/>
      <c r="AP41" s="107"/>
      <c r="AQ41" s="107"/>
      <c r="AR41" s="184">
        <v>0</v>
      </c>
    </row>
    <row r="42" s="184" customFormat="1" ht="17.25" hidden="1" customHeight="1">
      <c r="A42" s="253"/>
      <c r="C42" s="184"/>
      <c r="D42" s="274"/>
      <c r="E42" s="275"/>
      <c r="F42" s="276"/>
      <c r="G42" s="275"/>
      <c r="H42" s="277"/>
      <c r="I42" s="278"/>
      <c r="J42" s="278"/>
      <c r="K42" s="278"/>
      <c r="L42" s="278"/>
      <c r="M42" s="278"/>
      <c r="N42" s="278"/>
      <c r="O42" s="278"/>
      <c r="P42" s="278"/>
      <c r="Q42" s="278"/>
      <c r="R42" s="278"/>
      <c r="S42" s="279"/>
      <c r="T42" s="279"/>
      <c r="U42" s="279"/>
      <c r="V42" s="279"/>
      <c r="W42" s="280"/>
      <c r="X42" s="107"/>
      <c r="Y42" s="107"/>
      <c r="Z42" s="107"/>
      <c r="AA42" s="107"/>
      <c r="AB42" s="107"/>
      <c r="AC42" s="107"/>
      <c r="AD42" s="107"/>
      <c r="AE42" s="107"/>
      <c r="AF42" s="107"/>
      <c r="AG42" s="107"/>
      <c r="AH42" s="107"/>
      <c r="AI42" s="107"/>
      <c r="AJ42" s="107"/>
      <c r="AK42" s="107"/>
      <c r="AL42" s="107"/>
      <c r="AM42" s="107"/>
      <c r="AN42" s="107"/>
      <c r="AO42" s="107"/>
      <c r="AP42" s="107"/>
      <c r="AQ42" s="107"/>
      <c r="AR42" s="184">
        <v>0</v>
      </c>
    </row>
    <row r="43" s="184" customFormat="1" ht="17.25" hidden="1" customHeight="1">
      <c r="A43" s="253"/>
      <c r="C43" s="128"/>
      <c r="D43" s="254">
        <v>6</v>
      </c>
      <c r="E43" s="255" t="s">
        <v>181</v>
      </c>
      <c r="F43" s="256" t="s">
        <v>19</v>
      </c>
      <c r="G43" s="255"/>
      <c r="H43" s="257"/>
      <c r="I43" s="258"/>
      <c r="J43" s="259"/>
      <c r="K43" s="260"/>
      <c r="L43" s="260"/>
      <c r="M43" s="260"/>
      <c r="N43" s="261"/>
      <c r="O43" s="260"/>
      <c r="P43" s="260"/>
      <c r="Q43" s="260"/>
      <c r="R43" s="262"/>
      <c r="S43" s="260"/>
      <c r="T43" s="260"/>
      <c r="U43" s="260"/>
      <c r="V43" s="262"/>
      <c r="W43" s="263"/>
      <c r="X43" s="264"/>
      <c r="Y43" s="264"/>
      <c r="Z43" s="264"/>
      <c r="AA43" s="264"/>
      <c r="AB43" s="264"/>
      <c r="AC43" s="264" t="s">
        <v>182</v>
      </c>
      <c r="AD43" s="264" t="s">
        <v>183</v>
      </c>
      <c r="AE43" s="264" t="s">
        <v>184</v>
      </c>
      <c r="AF43" s="264" t="s">
        <v>185</v>
      </c>
      <c r="AG43" s="264" t="s">
        <v>186</v>
      </c>
      <c r="AH43" s="264" t="str">
        <f>IF($E$43=0,"",$E$43)</f>
        <v xml:space="preserve">Тарифы на услуги по передаче теплоносителя</v>
      </c>
      <c r="AI43" s="264" t="str">
        <f>IF($G$43=0,"",$G$43)</f>
        <v/>
      </c>
      <c r="AJ43" s="264" t="str">
        <f>IF($J$43=0,"",$J$43)</f>
        <v/>
      </c>
      <c r="AK43" s="264" t="str">
        <f>IF($K$43="нет","без дифференциации",IF($N$43=0,"",$N$43))</f>
        <v/>
      </c>
      <c r="AL43" s="264" t="str">
        <f>IF($O$43="нет","без дифференциации",IF($R$43=0,"",$R$43))</f>
        <v/>
      </c>
      <c r="AM43" s="264" t="str">
        <f>IF($S$43="нет","без дифференциации",IF($V$43=0,"",$V$43))</f>
        <v/>
      </c>
      <c r="AN43" s="282">
        <f>$I$43</f>
        <v>0</v>
      </c>
      <c r="AO43" s="264" t="str">
        <f>$I$43&amp;"."&amp;$M$43</f>
        <v>.</v>
      </c>
      <c r="AP43" s="107" t="str">
        <f>$I$43&amp;"."&amp;$M$43&amp;"."&amp;$Q$43</f>
        <v>..</v>
      </c>
      <c r="AQ43" s="107" t="str">
        <f>$I$43&amp;"."&amp;$M$43&amp;"."&amp;$Q$43&amp;"."&amp;$U$43</f>
        <v>...</v>
      </c>
      <c r="AR43" s="184">
        <v>0</v>
      </c>
    </row>
    <row r="44" s="184" customFormat="1" ht="17.25" hidden="1" customHeight="1">
      <c r="A44" s="253"/>
      <c r="C44" s="184"/>
      <c r="D44" s="254"/>
      <c r="E44" s="255"/>
      <c r="F44" s="265"/>
      <c r="G44" s="255"/>
      <c r="H44" s="266"/>
      <c r="I44" s="267"/>
      <c r="J44" s="268"/>
      <c r="K44" s="125"/>
      <c r="L44" s="125"/>
      <c r="M44" s="125"/>
      <c r="N44" s="269"/>
      <c r="O44" s="125"/>
      <c r="P44" s="125"/>
      <c r="Q44" s="125"/>
      <c r="R44" s="270"/>
      <c r="S44" s="125"/>
      <c r="T44" s="271"/>
      <c r="U44" s="271"/>
      <c r="V44" s="271"/>
      <c r="W44" s="272"/>
      <c r="X44" s="107"/>
      <c r="Y44" s="107"/>
      <c r="Z44" s="107"/>
      <c r="AA44" s="107"/>
      <c r="AB44" s="107"/>
      <c r="AC44" s="107"/>
      <c r="AD44" s="107"/>
      <c r="AE44" s="107"/>
      <c r="AF44" s="107"/>
      <c r="AG44" s="107"/>
      <c r="AH44" s="107"/>
      <c r="AI44" s="107"/>
      <c r="AJ44" s="107"/>
      <c r="AK44" s="107"/>
      <c r="AL44" s="107"/>
      <c r="AM44" s="107"/>
      <c r="AN44" s="107"/>
      <c r="AO44" s="107"/>
      <c r="AP44" s="107"/>
      <c r="AQ44" s="107"/>
      <c r="AR44" s="184">
        <v>0</v>
      </c>
    </row>
    <row r="45" s="184" customFormat="1" ht="17.25" hidden="1" customHeight="1">
      <c r="A45" s="253"/>
      <c r="C45" s="184"/>
      <c r="D45" s="274"/>
      <c r="E45" s="275"/>
      <c r="F45" s="265"/>
      <c r="G45" s="275"/>
      <c r="H45" s="266"/>
      <c r="I45" s="267"/>
      <c r="J45" s="273"/>
      <c r="K45" s="125"/>
      <c r="L45" s="125"/>
      <c r="M45" s="125"/>
      <c r="N45" s="270"/>
      <c r="O45" s="125"/>
      <c r="P45" s="125"/>
      <c r="Q45" s="271"/>
      <c r="R45" s="271"/>
      <c r="S45" s="184"/>
      <c r="T45" s="184"/>
      <c r="U45" s="184"/>
      <c r="V45" s="184"/>
      <c r="W45" s="272"/>
      <c r="X45" s="107"/>
      <c r="Y45" s="107"/>
      <c r="Z45" s="107"/>
      <c r="AA45" s="107"/>
      <c r="AB45" s="107"/>
      <c r="AC45" s="107"/>
      <c r="AD45" s="107"/>
      <c r="AE45" s="107"/>
      <c r="AF45" s="107"/>
      <c r="AG45" s="107"/>
      <c r="AH45" s="107"/>
      <c r="AI45" s="107"/>
      <c r="AJ45" s="107"/>
      <c r="AK45" s="107"/>
      <c r="AL45" s="107"/>
      <c r="AM45" s="107"/>
      <c r="AN45" s="107"/>
      <c r="AO45" s="107"/>
      <c r="AP45" s="107"/>
      <c r="AQ45" s="107"/>
      <c r="AR45" s="184">
        <v>0</v>
      </c>
    </row>
    <row r="46" s="184" customFormat="1" ht="17.25" hidden="1" customHeight="1">
      <c r="A46" s="253"/>
      <c r="C46" s="128"/>
      <c r="D46" s="274"/>
      <c r="E46" s="275"/>
      <c r="F46" s="265"/>
      <c r="G46" s="275"/>
      <c r="H46" s="266"/>
      <c r="I46" s="267"/>
      <c r="J46" s="273"/>
      <c r="K46" s="125"/>
      <c r="L46" s="271"/>
      <c r="M46" s="271"/>
      <c r="N46" s="271"/>
      <c r="O46" s="271"/>
      <c r="P46" s="271"/>
      <c r="Q46" s="271"/>
      <c r="R46" s="271"/>
      <c r="S46" s="184"/>
      <c r="T46" s="184"/>
      <c r="U46" s="184"/>
      <c r="V46" s="184"/>
      <c r="W46" s="272"/>
      <c r="Y46" s="264"/>
      <c r="Z46" s="264"/>
      <c r="AA46" s="264"/>
      <c r="AB46" s="264"/>
      <c r="AC46" s="264"/>
      <c r="AD46" s="264"/>
      <c r="AE46" s="264"/>
      <c r="AF46" s="264"/>
      <c r="AG46" s="264"/>
      <c r="AH46" s="264"/>
      <c r="AI46" s="264"/>
      <c r="AJ46" s="264"/>
      <c r="AK46" s="264"/>
      <c r="AL46" s="264"/>
      <c r="AM46" s="264"/>
      <c r="AN46" s="264"/>
      <c r="AO46" s="264"/>
      <c r="AP46" s="264"/>
      <c r="AQ46" s="264"/>
      <c r="AR46" s="184">
        <v>0</v>
      </c>
    </row>
    <row r="47" s="184" customFormat="1" ht="17.25" hidden="1" customHeight="1">
      <c r="A47" s="253"/>
      <c r="C47" s="184"/>
      <c r="D47" s="274"/>
      <c r="E47" s="275"/>
      <c r="F47" s="276"/>
      <c r="G47" s="275"/>
      <c r="H47" s="277"/>
      <c r="I47" s="278"/>
      <c r="J47" s="278"/>
      <c r="K47" s="278"/>
      <c r="L47" s="278"/>
      <c r="M47" s="278"/>
      <c r="N47" s="278"/>
      <c r="O47" s="278"/>
      <c r="P47" s="278"/>
      <c r="Q47" s="278"/>
      <c r="R47" s="278"/>
      <c r="S47" s="279"/>
      <c r="T47" s="279"/>
      <c r="U47" s="279"/>
      <c r="V47" s="279"/>
      <c r="W47" s="280"/>
      <c r="X47" s="107"/>
      <c r="Y47" s="107"/>
      <c r="Z47" s="107"/>
      <c r="AA47" s="107"/>
      <c r="AB47" s="107"/>
      <c r="AC47" s="107"/>
      <c r="AD47" s="107"/>
      <c r="AE47" s="107"/>
      <c r="AF47" s="107"/>
      <c r="AG47" s="107"/>
      <c r="AH47" s="107"/>
      <c r="AI47" s="107"/>
      <c r="AJ47" s="107"/>
      <c r="AK47" s="107"/>
      <c r="AL47" s="107"/>
      <c r="AM47" s="107"/>
      <c r="AN47" s="107"/>
      <c r="AO47" s="107"/>
      <c r="AP47" s="107"/>
      <c r="AQ47" s="107"/>
      <c r="AR47" s="184">
        <v>0</v>
      </c>
    </row>
    <row r="48" s="184" customFormat="1" ht="17.25" hidden="1" customHeight="1">
      <c r="A48" s="253"/>
      <c r="C48" s="128"/>
      <c r="D48" s="284">
        <v>7</v>
      </c>
      <c r="E48" s="285" t="s">
        <v>187</v>
      </c>
      <c r="F48" s="256" t="s">
        <v>19</v>
      </c>
      <c r="G48" s="285"/>
      <c r="H48" s="257"/>
      <c r="I48" s="258"/>
      <c r="J48" s="259"/>
      <c r="K48" s="260"/>
      <c r="L48" s="260"/>
      <c r="M48" s="260"/>
      <c r="N48" s="261"/>
      <c r="O48" s="260"/>
      <c r="P48" s="260"/>
      <c r="Q48" s="260"/>
      <c r="R48" s="262"/>
      <c r="S48" s="260"/>
      <c r="T48" s="260"/>
      <c r="U48" s="260"/>
      <c r="V48" s="262"/>
      <c r="W48" s="263"/>
      <c r="X48" s="264"/>
      <c r="Y48" s="264"/>
      <c r="Z48" s="264"/>
      <c r="AA48" s="264"/>
      <c r="AB48" s="264"/>
      <c r="AC48" s="264" t="s">
        <v>188</v>
      </c>
      <c r="AD48" s="264" t="s">
        <v>189</v>
      </c>
      <c r="AE48" s="264" t="s">
        <v>190</v>
      </c>
      <c r="AF48" s="264" t="s">
        <v>191</v>
      </c>
      <c r="AG48" s="264" t="s">
        <v>192</v>
      </c>
      <c r="AH48" s="264" t="str">
        <f>IF($E$48=0,"",$E$48)</f>
        <v xml:space="preserve">Плата за услуги по поддержанию резервной тепловой мощности при отсутствии потребления тепловой энергии</v>
      </c>
      <c r="AI48" s="264" t="str">
        <f>IF($G$48=0,"",$G$48)</f>
        <v/>
      </c>
      <c r="AJ48" s="264" t="str">
        <f>IF($J$48=0,"",$J$48)</f>
        <v/>
      </c>
      <c r="AK48" s="264" t="str">
        <f>IF($K$48="нет","без дифференциации",IF($N$48=0,"",$N$48))</f>
        <v/>
      </c>
      <c r="AL48" s="264" t="str">
        <f>IF($O$48="нет","без дифференциации",IF($R$48=0,"",$R$48))</f>
        <v/>
      </c>
      <c r="AM48" s="264" t="str">
        <f>IF($S$48="нет","без дифференциации",IF($V$48=0,"",$V$48))</f>
        <v/>
      </c>
      <c r="AN48" s="282">
        <f>$I$48</f>
        <v>0</v>
      </c>
      <c r="AO48" s="264" t="str">
        <f>$I$48&amp;"."&amp;$M$48</f>
        <v>.</v>
      </c>
      <c r="AP48" s="107" t="str">
        <f>$I$48&amp;"."&amp;$M$48&amp;"."&amp;$Q$48</f>
        <v>..</v>
      </c>
      <c r="AQ48" s="107" t="str">
        <f>$I$48&amp;"."&amp;$M$48&amp;"."&amp;$Q$48&amp;"."&amp;$U$48</f>
        <v>...</v>
      </c>
      <c r="AR48" s="184">
        <v>0</v>
      </c>
    </row>
    <row r="49" s="184" customFormat="1" ht="17.25" hidden="1" customHeight="1">
      <c r="A49" s="253"/>
      <c r="C49" s="184"/>
      <c r="D49" s="286"/>
      <c r="E49" s="287"/>
      <c r="F49" s="265"/>
      <c r="G49" s="287"/>
      <c r="H49" s="266"/>
      <c r="I49" s="267"/>
      <c r="J49" s="268"/>
      <c r="K49" s="125"/>
      <c r="L49" s="125"/>
      <c r="M49" s="125"/>
      <c r="N49" s="269"/>
      <c r="O49" s="125"/>
      <c r="P49" s="125"/>
      <c r="Q49" s="125"/>
      <c r="R49" s="270"/>
      <c r="S49" s="125"/>
      <c r="T49" s="271"/>
      <c r="U49" s="271"/>
      <c r="V49" s="271"/>
      <c r="W49" s="272"/>
      <c r="X49" s="107"/>
      <c r="Y49" s="107"/>
      <c r="Z49" s="107"/>
      <c r="AA49" s="107"/>
      <c r="AB49" s="107"/>
      <c r="AC49" s="107"/>
      <c r="AD49" s="107"/>
      <c r="AE49" s="107"/>
      <c r="AF49" s="107"/>
      <c r="AG49" s="107"/>
      <c r="AH49" s="107"/>
      <c r="AI49" s="107"/>
      <c r="AJ49" s="107"/>
      <c r="AK49" s="107"/>
      <c r="AL49" s="107"/>
      <c r="AM49" s="107"/>
      <c r="AN49" s="107"/>
      <c r="AO49" s="107"/>
      <c r="AP49" s="107"/>
      <c r="AQ49" s="107"/>
      <c r="AR49" s="184">
        <v>0</v>
      </c>
    </row>
    <row r="50" s="184" customFormat="1" ht="17.25" hidden="1" customHeight="1">
      <c r="A50" s="253"/>
      <c r="C50" s="184"/>
      <c r="D50" s="286"/>
      <c r="E50" s="287"/>
      <c r="F50" s="265"/>
      <c r="G50" s="287"/>
      <c r="H50" s="266"/>
      <c r="I50" s="267"/>
      <c r="J50" s="273"/>
      <c r="K50" s="125"/>
      <c r="L50" s="125"/>
      <c r="M50" s="125"/>
      <c r="N50" s="270"/>
      <c r="O50" s="125"/>
      <c r="P50" s="125"/>
      <c r="Q50" s="271"/>
      <c r="R50" s="271"/>
      <c r="S50" s="184"/>
      <c r="T50" s="184"/>
      <c r="U50" s="184"/>
      <c r="V50" s="184"/>
      <c r="W50" s="272"/>
      <c r="X50" s="107"/>
      <c r="Y50" s="107"/>
      <c r="Z50" s="107"/>
      <c r="AA50" s="107"/>
      <c r="AB50" s="107"/>
      <c r="AC50" s="107"/>
      <c r="AD50" s="107"/>
      <c r="AE50" s="107"/>
      <c r="AF50" s="107"/>
      <c r="AG50" s="107"/>
      <c r="AH50" s="107"/>
      <c r="AI50" s="107"/>
      <c r="AJ50" s="107"/>
      <c r="AK50" s="107"/>
      <c r="AL50" s="107"/>
      <c r="AM50" s="107"/>
      <c r="AN50" s="107"/>
      <c r="AO50" s="107"/>
      <c r="AP50" s="107"/>
      <c r="AQ50" s="107"/>
      <c r="AR50" s="184">
        <v>0</v>
      </c>
    </row>
    <row r="51" s="184" customFormat="1" ht="17.25" hidden="1" customHeight="1">
      <c r="A51" s="253"/>
      <c r="C51" s="128"/>
      <c r="D51" s="286"/>
      <c r="E51" s="287"/>
      <c r="F51" s="265"/>
      <c r="G51" s="287"/>
      <c r="H51" s="266"/>
      <c r="I51" s="267"/>
      <c r="J51" s="273"/>
      <c r="K51" s="125"/>
      <c r="L51" s="271"/>
      <c r="M51" s="271"/>
      <c r="N51" s="271"/>
      <c r="O51" s="271"/>
      <c r="P51" s="271"/>
      <c r="Q51" s="271"/>
      <c r="R51" s="271"/>
      <c r="S51" s="184"/>
      <c r="T51" s="184"/>
      <c r="U51" s="184"/>
      <c r="V51" s="184"/>
      <c r="W51" s="272"/>
      <c r="Y51" s="264"/>
      <c r="Z51" s="264"/>
      <c r="AA51" s="264"/>
      <c r="AB51" s="264"/>
      <c r="AC51" s="264"/>
      <c r="AD51" s="264"/>
      <c r="AE51" s="264"/>
      <c r="AF51" s="264"/>
      <c r="AG51" s="264"/>
      <c r="AH51" s="264"/>
      <c r="AI51" s="264"/>
      <c r="AJ51" s="264"/>
      <c r="AK51" s="264"/>
      <c r="AL51" s="264"/>
      <c r="AM51" s="264"/>
      <c r="AN51" s="264"/>
      <c r="AO51" s="264"/>
      <c r="AP51" s="264"/>
      <c r="AQ51" s="264"/>
      <c r="AR51" s="184">
        <v>0</v>
      </c>
    </row>
    <row r="52" s="184" customFormat="1" ht="17.25" hidden="1" customHeight="1">
      <c r="A52" s="253"/>
      <c r="C52" s="184"/>
      <c r="D52" s="288"/>
      <c r="E52" s="289"/>
      <c r="F52" s="276"/>
      <c r="G52" s="289"/>
      <c r="H52" s="277"/>
      <c r="I52" s="278"/>
      <c r="J52" s="278"/>
      <c r="K52" s="278"/>
      <c r="L52" s="278"/>
      <c r="M52" s="278"/>
      <c r="N52" s="278"/>
      <c r="O52" s="278"/>
      <c r="P52" s="278"/>
      <c r="Q52" s="278"/>
      <c r="R52" s="278"/>
      <c r="S52" s="279"/>
      <c r="T52" s="279"/>
      <c r="U52" s="279"/>
      <c r="V52" s="279"/>
      <c r="W52" s="280"/>
      <c r="X52" s="107"/>
      <c r="Y52" s="107"/>
      <c r="Z52" s="107"/>
      <c r="AA52" s="107"/>
      <c r="AB52" s="107"/>
      <c r="AC52" s="107"/>
      <c r="AD52" s="107"/>
      <c r="AE52" s="107"/>
      <c r="AF52" s="107"/>
      <c r="AG52" s="107"/>
      <c r="AH52" s="107"/>
      <c r="AI52" s="107"/>
      <c r="AJ52" s="107"/>
      <c r="AK52" s="107"/>
      <c r="AL52" s="107"/>
      <c r="AM52" s="107"/>
      <c r="AN52" s="107"/>
      <c r="AO52" s="107"/>
      <c r="AP52" s="107"/>
      <c r="AQ52" s="107"/>
      <c r="AR52" s="184">
        <v>0</v>
      </c>
    </row>
    <row r="53" s="184" customFormat="1" ht="17.25" hidden="1" customHeight="1">
      <c r="A53" s="253"/>
      <c r="C53" s="128"/>
      <c r="D53" s="254">
        <v>8</v>
      </c>
      <c r="E53" s="255" t="s">
        <v>193</v>
      </c>
      <c r="F53" s="256" t="s">
        <v>19</v>
      </c>
      <c r="G53" s="255"/>
      <c r="H53" s="257"/>
      <c r="I53" s="258"/>
      <c r="J53" s="259"/>
      <c r="K53" s="260"/>
      <c r="L53" s="260"/>
      <c r="M53" s="260"/>
      <c r="N53" s="261"/>
      <c r="O53" s="260"/>
      <c r="P53" s="260"/>
      <c r="Q53" s="260"/>
      <c r="R53" s="262"/>
      <c r="S53" s="260"/>
      <c r="T53" s="260"/>
      <c r="U53" s="260"/>
      <c r="V53" s="262"/>
      <c r="W53" s="263"/>
      <c r="X53" s="264"/>
      <c r="Y53" s="264"/>
      <c r="Z53" s="264"/>
      <c r="AA53" s="264"/>
      <c r="AB53" s="264"/>
      <c r="AC53" s="264" t="s">
        <v>194</v>
      </c>
      <c r="AD53" s="264" t="s">
        <v>195</v>
      </c>
      <c r="AE53" s="264" t="s">
        <v>196</v>
      </c>
      <c r="AF53" s="264" t="s">
        <v>197</v>
      </c>
      <c r="AG53" s="264" t="s">
        <v>198</v>
      </c>
      <c r="AH53" s="264" t="str">
        <f>IF($E$53=0,"",$E$53)</f>
        <v xml:space="preserve">Плата за подключение (технологическое присоединение) к системе теплоснабжения</v>
      </c>
      <c r="AI53" s="264" t="str">
        <f>IF($G$53=0,"",$G$53)</f>
        <v/>
      </c>
      <c r="AJ53" s="264" t="str">
        <f>IF($J$53=0,"",$J$53)</f>
        <v/>
      </c>
      <c r="AK53" s="264" t="str">
        <f>IF($K$53="нет","без дифференциации",IF($N$53=0,"",$N$53))</f>
        <v/>
      </c>
      <c r="AL53" s="264" t="str">
        <f>IF($O$53="нет","без дифференциации",IF($R$53=0,"",$R$53))</f>
        <v/>
      </c>
      <c r="AM53" s="264" t="str">
        <f>IF($S$53="нет","без дифференциации",IF($V$53=0,"",$V$53))</f>
        <v/>
      </c>
      <c r="AN53" s="282">
        <f>$I$53</f>
        <v>0</v>
      </c>
      <c r="AO53" s="264" t="str">
        <f>$I$53&amp;"."&amp;$M$53</f>
        <v>.</v>
      </c>
      <c r="AP53" s="107" t="str">
        <f>$I$53&amp;"."&amp;$M$53&amp;"."&amp;$Q$53</f>
        <v>..</v>
      </c>
      <c r="AQ53" s="107" t="str">
        <f>$I$53&amp;"."&amp;$M$53&amp;"."&amp;$Q$53&amp;"."&amp;$U$53</f>
        <v>...</v>
      </c>
      <c r="AR53" s="184">
        <v>0</v>
      </c>
    </row>
    <row r="54" s="184" customFormat="1" ht="17.25" hidden="1" customHeight="1">
      <c r="A54" s="253"/>
      <c r="C54" s="184"/>
      <c r="D54" s="254"/>
      <c r="E54" s="255"/>
      <c r="F54" s="265"/>
      <c r="G54" s="255"/>
      <c r="H54" s="266"/>
      <c r="I54" s="267"/>
      <c r="J54" s="268"/>
      <c r="K54" s="125"/>
      <c r="L54" s="125"/>
      <c r="M54" s="125"/>
      <c r="N54" s="269"/>
      <c r="O54" s="125"/>
      <c r="P54" s="125"/>
      <c r="Q54" s="125"/>
      <c r="R54" s="270"/>
      <c r="S54" s="125"/>
      <c r="T54" s="271"/>
      <c r="U54" s="271"/>
      <c r="V54" s="271"/>
      <c r="W54" s="272"/>
      <c r="X54" s="107"/>
      <c r="Y54" s="107"/>
      <c r="Z54" s="107"/>
      <c r="AA54" s="107"/>
      <c r="AB54" s="107"/>
      <c r="AC54" s="107"/>
      <c r="AD54" s="107"/>
      <c r="AE54" s="107"/>
      <c r="AF54" s="107"/>
      <c r="AG54" s="107"/>
      <c r="AH54" s="107"/>
      <c r="AI54" s="107"/>
      <c r="AJ54" s="107"/>
      <c r="AK54" s="107"/>
      <c r="AL54" s="107"/>
      <c r="AM54" s="107"/>
      <c r="AN54" s="107"/>
      <c r="AO54" s="107"/>
      <c r="AP54" s="107"/>
      <c r="AQ54" s="107"/>
      <c r="AR54" s="184">
        <v>0</v>
      </c>
    </row>
    <row r="55" s="184" customFormat="1" ht="17.25" hidden="1" customHeight="1">
      <c r="A55" s="253"/>
      <c r="C55" s="184"/>
      <c r="D55" s="274"/>
      <c r="E55" s="275"/>
      <c r="F55" s="265"/>
      <c r="G55" s="275"/>
      <c r="H55" s="266"/>
      <c r="I55" s="267"/>
      <c r="J55" s="273"/>
      <c r="K55" s="125"/>
      <c r="L55" s="125"/>
      <c r="M55" s="125"/>
      <c r="N55" s="270"/>
      <c r="O55" s="125"/>
      <c r="P55" s="125"/>
      <c r="Q55" s="271"/>
      <c r="R55" s="271"/>
      <c r="S55" s="184"/>
      <c r="T55" s="184"/>
      <c r="U55" s="184"/>
      <c r="V55" s="184"/>
      <c r="W55" s="272"/>
      <c r="X55" s="107"/>
      <c r="Y55" s="107"/>
      <c r="Z55" s="107"/>
      <c r="AA55" s="107"/>
      <c r="AB55" s="107"/>
      <c r="AC55" s="107"/>
      <c r="AD55" s="107"/>
      <c r="AE55" s="107"/>
      <c r="AF55" s="107"/>
      <c r="AG55" s="107"/>
      <c r="AH55" s="107"/>
      <c r="AI55" s="107"/>
      <c r="AJ55" s="107"/>
      <c r="AK55" s="107"/>
      <c r="AL55" s="107"/>
      <c r="AM55" s="107"/>
      <c r="AN55" s="107"/>
      <c r="AO55" s="107"/>
      <c r="AP55" s="107"/>
      <c r="AQ55" s="107"/>
      <c r="AR55" s="184">
        <v>0</v>
      </c>
    </row>
    <row r="56" s="184" customFormat="1" ht="17.25" hidden="1" customHeight="1">
      <c r="A56" s="253"/>
      <c r="C56" s="128"/>
      <c r="D56" s="274"/>
      <c r="E56" s="275"/>
      <c r="F56" s="265"/>
      <c r="G56" s="275"/>
      <c r="H56" s="266"/>
      <c r="I56" s="267"/>
      <c r="J56" s="273"/>
      <c r="K56" s="125"/>
      <c r="L56" s="271"/>
      <c r="M56" s="271"/>
      <c r="N56" s="271"/>
      <c r="O56" s="271"/>
      <c r="P56" s="271"/>
      <c r="Q56" s="271"/>
      <c r="R56" s="271"/>
      <c r="S56" s="184"/>
      <c r="T56" s="184"/>
      <c r="U56" s="184"/>
      <c r="V56" s="184"/>
      <c r="W56" s="272"/>
      <c r="Y56" s="264"/>
      <c r="Z56" s="264"/>
      <c r="AA56" s="264"/>
      <c r="AB56" s="264"/>
      <c r="AC56" s="264"/>
      <c r="AD56" s="264"/>
      <c r="AE56" s="264"/>
      <c r="AF56" s="264"/>
      <c r="AG56" s="264"/>
      <c r="AH56" s="264"/>
      <c r="AI56" s="264"/>
      <c r="AJ56" s="264"/>
      <c r="AK56" s="264"/>
      <c r="AL56" s="264"/>
      <c r="AM56" s="264"/>
      <c r="AN56" s="264"/>
      <c r="AO56" s="264"/>
      <c r="AP56" s="264"/>
      <c r="AQ56" s="264"/>
      <c r="AR56" s="184">
        <v>0</v>
      </c>
    </row>
    <row r="57" s="184" customFormat="1" ht="17.25" hidden="1" customHeight="1">
      <c r="A57" s="253"/>
      <c r="C57" s="184"/>
      <c r="D57" s="274"/>
      <c r="E57" s="275"/>
      <c r="F57" s="276"/>
      <c r="G57" s="275"/>
      <c r="H57" s="277"/>
      <c r="I57" s="278"/>
      <c r="J57" s="278"/>
      <c r="K57" s="278"/>
      <c r="L57" s="278"/>
      <c r="M57" s="278"/>
      <c r="N57" s="278"/>
      <c r="O57" s="278"/>
      <c r="P57" s="278"/>
      <c r="Q57" s="278"/>
      <c r="R57" s="278"/>
      <c r="S57" s="279"/>
      <c r="T57" s="279"/>
      <c r="U57" s="279"/>
      <c r="V57" s="279"/>
      <c r="W57" s="280"/>
      <c r="X57" s="107"/>
      <c r="Y57" s="107"/>
      <c r="Z57" s="107"/>
      <c r="AA57" s="107"/>
      <c r="AB57" s="107"/>
      <c r="AC57" s="107"/>
      <c r="AD57" s="107"/>
      <c r="AE57" s="107"/>
      <c r="AF57" s="107"/>
      <c r="AG57" s="107"/>
      <c r="AH57" s="107"/>
      <c r="AI57" s="107"/>
      <c r="AJ57" s="107"/>
      <c r="AK57" s="107"/>
      <c r="AL57" s="107"/>
      <c r="AM57" s="107"/>
      <c r="AN57" s="107"/>
      <c r="AO57" s="107"/>
      <c r="AP57" s="107"/>
      <c r="AQ57" s="107"/>
      <c r="AR57" s="184">
        <v>0</v>
      </c>
    </row>
    <row r="58" s="184" customFormat="1" ht="17.25" hidden="1" customHeight="1">
      <c r="A58" s="253"/>
      <c r="C58" s="128"/>
      <c r="D58" s="254">
        <v>9</v>
      </c>
      <c r="E58" s="255" t="s">
        <v>199</v>
      </c>
      <c r="F58" s="256" t="s">
        <v>19</v>
      </c>
      <c r="G58" s="255"/>
      <c r="H58" s="257"/>
      <c r="I58" s="258"/>
      <c r="J58" s="259"/>
      <c r="K58" s="260"/>
      <c r="L58" s="260"/>
      <c r="M58" s="260"/>
      <c r="N58" s="261"/>
      <c r="O58" s="260"/>
      <c r="P58" s="260"/>
      <c r="Q58" s="260"/>
      <c r="R58" s="262"/>
      <c r="S58" s="260"/>
      <c r="T58" s="260"/>
      <c r="U58" s="260"/>
      <c r="V58" s="262"/>
      <c r="W58" s="263"/>
      <c r="X58" s="264"/>
      <c r="Y58" s="264"/>
      <c r="Z58" s="264"/>
      <c r="AA58" s="264"/>
      <c r="AB58" s="264"/>
      <c r="AC58" s="264" t="s">
        <v>200</v>
      </c>
      <c r="AD58" s="264" t="s">
        <v>201</v>
      </c>
      <c r="AE58" s="264" t="s">
        <v>202</v>
      </c>
      <c r="AF58" s="264" t="s">
        <v>203</v>
      </c>
      <c r="AG58" s="264" t="s">
        <v>204</v>
      </c>
      <c r="AH58" s="264" t="str">
        <f>IF($E$58=0,"",$E$58)</f>
        <v xml:space="preserve">Плата за подключение (технологическое присоединение) к системе теплоснабжения (индивидуальная)</v>
      </c>
      <c r="AI58" s="264" t="str">
        <f>IF($G$58=0,"",$G$58)</f>
        <v/>
      </c>
      <c r="AJ58" s="264" t="str">
        <f>IF($J$58=0,"",$J$58)</f>
        <v/>
      </c>
      <c r="AK58" s="264" t="str">
        <f>IF($K$58="нет","без дифференциации",IF($N$58=0,"",$N$58))</f>
        <v/>
      </c>
      <c r="AL58" s="264" t="str">
        <f>IF($O$58="нет","без дифференциации",IF($R$58=0,"",$R$58))</f>
        <v/>
      </c>
      <c r="AM58" s="264" t="str">
        <f>IF($S$58="нет","без дифференциации",IF($V$58=0,"",$V$58))</f>
        <v/>
      </c>
      <c r="AN58" s="282">
        <f>$I$58</f>
        <v>0</v>
      </c>
      <c r="AO58" s="264" t="str">
        <f>$I$58&amp;"."&amp;$M$58</f>
        <v>.</v>
      </c>
      <c r="AP58" s="107" t="str">
        <f>$I$58&amp;"."&amp;$M$58&amp;"."&amp;$Q$58</f>
        <v>..</v>
      </c>
      <c r="AQ58" s="107" t="str">
        <f>$I$58&amp;"."&amp;$M$58&amp;"."&amp;$Q$58&amp;"."&amp;$U$58</f>
        <v>...</v>
      </c>
      <c r="AR58" s="184">
        <v>0</v>
      </c>
    </row>
    <row r="59" s="184" customFormat="1" ht="17.25" hidden="1" customHeight="1">
      <c r="A59" s="253"/>
      <c r="C59" s="184"/>
      <c r="D59" s="254"/>
      <c r="E59" s="255"/>
      <c r="F59" s="265"/>
      <c r="G59" s="255"/>
      <c r="H59" s="266"/>
      <c r="I59" s="267"/>
      <c r="J59" s="268"/>
      <c r="K59" s="125"/>
      <c r="L59" s="125"/>
      <c r="M59" s="125"/>
      <c r="N59" s="269"/>
      <c r="O59" s="125"/>
      <c r="P59" s="125"/>
      <c r="Q59" s="125"/>
      <c r="R59" s="270"/>
      <c r="S59" s="125"/>
      <c r="T59" s="271"/>
      <c r="U59" s="271"/>
      <c r="V59" s="271"/>
      <c r="W59" s="272"/>
      <c r="X59" s="107"/>
      <c r="Y59" s="107"/>
      <c r="Z59" s="107"/>
      <c r="AA59" s="107"/>
      <c r="AB59" s="107"/>
      <c r="AC59" s="107"/>
      <c r="AD59" s="107"/>
      <c r="AE59" s="107"/>
      <c r="AF59" s="107"/>
      <c r="AG59" s="107"/>
      <c r="AH59" s="107"/>
      <c r="AI59" s="107"/>
      <c r="AJ59" s="107"/>
      <c r="AK59" s="107"/>
      <c r="AL59" s="107"/>
      <c r="AM59" s="107"/>
      <c r="AN59" s="107"/>
      <c r="AO59" s="107"/>
      <c r="AP59" s="107"/>
      <c r="AQ59" s="107"/>
      <c r="AR59" s="184">
        <v>0</v>
      </c>
    </row>
    <row r="60" s="184" customFormat="1" ht="17.25" hidden="1" customHeight="1">
      <c r="A60" s="253"/>
      <c r="C60" s="184"/>
      <c r="D60" s="274"/>
      <c r="E60" s="275"/>
      <c r="F60" s="265"/>
      <c r="G60" s="275"/>
      <c r="H60" s="266"/>
      <c r="I60" s="267"/>
      <c r="J60" s="273"/>
      <c r="K60" s="125"/>
      <c r="L60" s="125"/>
      <c r="M60" s="125"/>
      <c r="N60" s="270"/>
      <c r="O60" s="125"/>
      <c r="P60" s="125"/>
      <c r="Q60" s="271"/>
      <c r="R60" s="271"/>
      <c r="S60" s="184"/>
      <c r="T60" s="184"/>
      <c r="U60" s="184"/>
      <c r="V60" s="184"/>
      <c r="W60" s="272"/>
      <c r="X60" s="107"/>
      <c r="Y60" s="107"/>
      <c r="Z60" s="107"/>
      <c r="AA60" s="107"/>
      <c r="AB60" s="107"/>
      <c r="AC60" s="107"/>
      <c r="AD60" s="107"/>
      <c r="AE60" s="107"/>
      <c r="AF60" s="107"/>
      <c r="AG60" s="107"/>
      <c r="AH60" s="107"/>
      <c r="AI60" s="107"/>
      <c r="AJ60" s="107"/>
      <c r="AK60" s="107"/>
      <c r="AL60" s="107"/>
      <c r="AM60" s="107"/>
      <c r="AN60" s="107"/>
      <c r="AO60" s="107"/>
      <c r="AP60" s="107"/>
      <c r="AQ60" s="107"/>
      <c r="AR60" s="184">
        <v>0</v>
      </c>
    </row>
    <row r="61" s="184" customFormat="1" ht="17.25" hidden="1" customHeight="1">
      <c r="A61" s="253"/>
      <c r="C61" s="128"/>
      <c r="D61" s="274"/>
      <c r="E61" s="275"/>
      <c r="F61" s="265"/>
      <c r="G61" s="275"/>
      <c r="H61" s="266"/>
      <c r="I61" s="267"/>
      <c r="J61" s="273"/>
      <c r="K61" s="125"/>
      <c r="L61" s="271"/>
      <c r="M61" s="271"/>
      <c r="N61" s="271"/>
      <c r="O61" s="271"/>
      <c r="P61" s="271"/>
      <c r="Q61" s="271"/>
      <c r="R61" s="271"/>
      <c r="S61" s="184"/>
      <c r="T61" s="184"/>
      <c r="U61" s="184"/>
      <c r="V61" s="184"/>
      <c r="W61" s="272"/>
      <c r="Y61" s="264"/>
      <c r="Z61" s="264"/>
      <c r="AA61" s="264"/>
      <c r="AB61" s="264"/>
      <c r="AC61" s="264"/>
      <c r="AD61" s="264"/>
      <c r="AE61" s="264"/>
      <c r="AF61" s="264"/>
      <c r="AG61" s="264"/>
      <c r="AH61" s="264"/>
      <c r="AI61" s="264"/>
      <c r="AJ61" s="264"/>
      <c r="AK61" s="264"/>
      <c r="AL61" s="264"/>
      <c r="AM61" s="264"/>
      <c r="AN61" s="264"/>
      <c r="AO61" s="264"/>
      <c r="AP61" s="264"/>
      <c r="AQ61" s="264"/>
      <c r="AR61" s="184">
        <v>0</v>
      </c>
    </row>
    <row r="62" s="184" customFormat="1" ht="17.25" hidden="1" customHeight="1">
      <c r="A62" s="253"/>
      <c r="C62" s="184"/>
      <c r="D62" s="274"/>
      <c r="E62" s="275"/>
      <c r="F62" s="276"/>
      <c r="G62" s="275"/>
      <c r="H62" s="277"/>
      <c r="I62" s="278"/>
      <c r="J62" s="278"/>
      <c r="K62" s="278"/>
      <c r="L62" s="278"/>
      <c r="M62" s="278"/>
      <c r="N62" s="278"/>
      <c r="O62" s="278"/>
      <c r="P62" s="278"/>
      <c r="Q62" s="278"/>
      <c r="R62" s="278"/>
      <c r="S62" s="279"/>
      <c r="T62" s="279"/>
      <c r="U62" s="279"/>
      <c r="V62" s="279"/>
      <c r="W62" s="280"/>
      <c r="X62" s="107"/>
      <c r="Y62" s="107"/>
      <c r="Z62" s="107"/>
      <c r="AA62" s="107"/>
      <c r="AB62" s="107"/>
      <c r="AC62" s="107"/>
      <c r="AD62" s="107"/>
      <c r="AE62" s="107"/>
      <c r="AF62" s="107"/>
      <c r="AG62" s="107"/>
      <c r="AH62" s="107"/>
      <c r="AI62" s="107"/>
      <c r="AJ62" s="107"/>
      <c r="AK62" s="107"/>
      <c r="AL62" s="107"/>
      <c r="AM62" s="107"/>
      <c r="AN62" s="107"/>
      <c r="AO62" s="107"/>
      <c r="AP62" s="107"/>
      <c r="AQ62" s="107"/>
      <c r="AR62" s="184">
        <v>0</v>
      </c>
    </row>
    <row r="63" s="184" customFormat="1" ht="17.25" hidden="1" customHeight="1">
      <c r="A63" s="253"/>
      <c r="C63" s="128"/>
      <c r="D63" s="254">
        <v>10</v>
      </c>
      <c r="E63" s="255" t="s">
        <v>205</v>
      </c>
      <c r="F63" s="256" t="s">
        <v>19</v>
      </c>
      <c r="G63" s="255"/>
      <c r="H63" s="257"/>
      <c r="I63" s="258"/>
      <c r="J63" s="259"/>
      <c r="K63" s="260"/>
      <c r="L63" s="260"/>
      <c r="M63" s="260"/>
      <c r="N63" s="261"/>
      <c r="O63" s="260"/>
      <c r="P63" s="260"/>
      <c r="Q63" s="260"/>
      <c r="R63" s="262"/>
      <c r="S63" s="260"/>
      <c r="T63" s="260"/>
      <c r="U63" s="260"/>
      <c r="V63" s="262"/>
      <c r="W63" s="263"/>
      <c r="X63" s="264"/>
      <c r="Y63" s="264"/>
      <c r="Z63" s="264"/>
      <c r="AA63" s="264"/>
      <c r="AB63" s="264"/>
      <c r="AC63" s="264" t="s">
        <v>206</v>
      </c>
      <c r="AD63" s="264" t="s">
        <v>207</v>
      </c>
      <c r="AE63" s="264" t="s">
        <v>208</v>
      </c>
      <c r="AF63" s="264" t="s">
        <v>209</v>
      </c>
      <c r="AG63" s="264" t="s">
        <v>210</v>
      </c>
      <c r="AH63" s="264" t="str">
        <f>IF($E$63=0,"",$E$63)</f>
        <v xml:space="preserve">Предельный уровень цены на тепловую энергию (мощность), поставляемую теплоснабжающими организациями потребителям</v>
      </c>
      <c r="AI63" s="264" t="str">
        <f>IF($G$63=0,"",$G$63)</f>
        <v/>
      </c>
      <c r="AJ63" s="264" t="str">
        <f>IF($J$63=0,"",$J$63)</f>
        <v/>
      </c>
      <c r="AK63" s="264" t="str">
        <f>IF($K$63="нет","без дифференциации",IF($N$63=0,"",$N$63))</f>
        <v/>
      </c>
      <c r="AL63" s="264" t="str">
        <f>IF($O$63="нет","без дифференциации",IF($R$63=0,"",$R$63))</f>
        <v/>
      </c>
      <c r="AM63" s="264" t="str">
        <f>IF($S$63="нет","без дифференциации",IF($V$63=0,"",$V$63))</f>
        <v/>
      </c>
      <c r="AN63" s="282">
        <f>$I$63</f>
        <v>0</v>
      </c>
      <c r="AO63" s="264" t="str">
        <f>$I$63&amp;"."&amp;$M$63</f>
        <v>.</v>
      </c>
      <c r="AP63" s="107" t="str">
        <f>$I$63&amp;"."&amp;$M$63&amp;"."&amp;$Q$63</f>
        <v>..</v>
      </c>
      <c r="AQ63" s="107" t="str">
        <f>$I$63&amp;"."&amp;$M$63&amp;"."&amp;$Q$63&amp;"."&amp;$U$63</f>
        <v>...</v>
      </c>
      <c r="AR63" s="184">
        <v>0</v>
      </c>
    </row>
    <row r="64" s="184" customFormat="1" ht="17.25" hidden="1" customHeight="1">
      <c r="A64" s="253"/>
      <c r="C64" s="184"/>
      <c r="D64" s="254"/>
      <c r="E64" s="255"/>
      <c r="F64" s="265"/>
      <c r="G64" s="255"/>
      <c r="H64" s="266"/>
      <c r="I64" s="267"/>
      <c r="J64" s="268"/>
      <c r="K64" s="125"/>
      <c r="L64" s="125"/>
      <c r="M64" s="125"/>
      <c r="N64" s="269"/>
      <c r="O64" s="125"/>
      <c r="P64" s="125"/>
      <c r="Q64" s="125"/>
      <c r="R64" s="270"/>
      <c r="S64" s="125"/>
      <c r="T64" s="271"/>
      <c r="U64" s="271"/>
      <c r="V64" s="271"/>
      <c r="W64" s="272"/>
      <c r="X64" s="107"/>
      <c r="Y64" s="107"/>
      <c r="Z64" s="107"/>
      <c r="AA64" s="107"/>
      <c r="AB64" s="107"/>
      <c r="AC64" s="107"/>
      <c r="AD64" s="107"/>
      <c r="AE64" s="107"/>
      <c r="AF64" s="107"/>
      <c r="AG64" s="107"/>
      <c r="AH64" s="107"/>
      <c r="AI64" s="107"/>
      <c r="AJ64" s="107"/>
      <c r="AK64" s="107"/>
      <c r="AL64" s="107"/>
      <c r="AM64" s="107"/>
      <c r="AN64" s="107"/>
      <c r="AO64" s="107"/>
      <c r="AP64" s="107"/>
      <c r="AQ64" s="107"/>
      <c r="AR64" s="184">
        <v>0</v>
      </c>
    </row>
    <row r="65" s="184" customFormat="1" ht="17.25" hidden="1" customHeight="1">
      <c r="A65" s="253"/>
      <c r="C65" s="184"/>
      <c r="D65" s="274"/>
      <c r="E65" s="275"/>
      <c r="F65" s="265"/>
      <c r="G65" s="275"/>
      <c r="H65" s="266"/>
      <c r="I65" s="267"/>
      <c r="J65" s="273"/>
      <c r="K65" s="125"/>
      <c r="L65" s="125"/>
      <c r="M65" s="125"/>
      <c r="N65" s="270"/>
      <c r="O65" s="125"/>
      <c r="P65" s="125"/>
      <c r="Q65" s="271"/>
      <c r="R65" s="271"/>
      <c r="S65" s="184"/>
      <c r="T65" s="184"/>
      <c r="U65" s="184"/>
      <c r="V65" s="184"/>
      <c r="W65" s="272"/>
      <c r="X65" s="107"/>
      <c r="Y65" s="107"/>
      <c r="Z65" s="107"/>
      <c r="AA65" s="107"/>
      <c r="AB65" s="107"/>
      <c r="AC65" s="107"/>
      <c r="AD65" s="107"/>
      <c r="AE65" s="107"/>
      <c r="AF65" s="107"/>
      <c r="AG65" s="107"/>
      <c r="AH65" s="107"/>
      <c r="AI65" s="107"/>
      <c r="AJ65" s="107"/>
      <c r="AK65" s="107"/>
      <c r="AL65" s="107"/>
      <c r="AM65" s="107"/>
      <c r="AN65" s="107"/>
      <c r="AO65" s="107"/>
      <c r="AP65" s="107"/>
      <c r="AQ65" s="107"/>
      <c r="AR65" s="184">
        <v>0</v>
      </c>
    </row>
    <row r="66" s="184" customFormat="1" ht="17.25" hidden="1" customHeight="1">
      <c r="A66" s="253"/>
      <c r="C66" s="128"/>
      <c r="D66" s="274"/>
      <c r="E66" s="275"/>
      <c r="F66" s="265"/>
      <c r="G66" s="275"/>
      <c r="H66" s="266"/>
      <c r="I66" s="267"/>
      <c r="J66" s="273"/>
      <c r="K66" s="125"/>
      <c r="L66" s="271"/>
      <c r="M66" s="271"/>
      <c r="N66" s="271"/>
      <c r="O66" s="271"/>
      <c r="P66" s="271"/>
      <c r="Q66" s="271"/>
      <c r="R66" s="271"/>
      <c r="S66" s="184"/>
      <c r="T66" s="184"/>
      <c r="U66" s="184"/>
      <c r="V66" s="184"/>
      <c r="W66" s="272"/>
      <c r="Y66" s="264"/>
      <c r="Z66" s="264"/>
      <c r="AA66" s="264"/>
      <c r="AB66" s="264"/>
      <c r="AC66" s="264"/>
      <c r="AD66" s="264"/>
      <c r="AE66" s="264"/>
      <c r="AF66" s="264"/>
      <c r="AG66" s="264"/>
      <c r="AH66" s="264"/>
      <c r="AI66" s="264"/>
      <c r="AJ66" s="264"/>
      <c r="AK66" s="264"/>
      <c r="AL66" s="264"/>
      <c r="AM66" s="264"/>
      <c r="AN66" s="264"/>
      <c r="AO66" s="264"/>
      <c r="AP66" s="264"/>
      <c r="AQ66" s="264"/>
      <c r="AR66" s="184">
        <v>0</v>
      </c>
    </row>
    <row r="67" s="184" customFormat="1" ht="17.25" hidden="1" customHeight="1">
      <c r="A67" s="253"/>
      <c r="C67" s="184"/>
      <c r="D67" s="274"/>
      <c r="E67" s="275"/>
      <c r="F67" s="276"/>
      <c r="G67" s="275"/>
      <c r="H67" s="277"/>
      <c r="I67" s="278"/>
      <c r="J67" s="278"/>
      <c r="K67" s="278"/>
      <c r="L67" s="278"/>
      <c r="M67" s="278"/>
      <c r="N67" s="278"/>
      <c r="O67" s="278"/>
      <c r="P67" s="278"/>
      <c r="Q67" s="278"/>
      <c r="R67" s="278"/>
      <c r="S67" s="279"/>
      <c r="T67" s="279"/>
      <c r="U67" s="279"/>
      <c r="V67" s="279"/>
      <c r="W67" s="280"/>
      <c r="X67" s="107"/>
      <c r="Y67" s="107"/>
      <c r="Z67" s="107"/>
      <c r="AA67" s="107"/>
      <c r="AB67" s="107"/>
      <c r="AC67" s="107"/>
      <c r="AD67" s="107"/>
      <c r="AE67" s="107"/>
      <c r="AF67" s="107"/>
      <c r="AG67" s="107"/>
      <c r="AH67" s="107"/>
      <c r="AI67" s="107"/>
      <c r="AJ67" s="107"/>
      <c r="AK67" s="107"/>
      <c r="AL67" s="107"/>
      <c r="AM67" s="107"/>
      <c r="AN67" s="107"/>
      <c r="AO67" s="107"/>
      <c r="AP67" s="107"/>
      <c r="AQ67" s="107"/>
      <c r="AR67" s="184">
        <v>0</v>
      </c>
    </row>
    <row r="68" ht="11.25" hidden="1" customHeight="1">
      <c r="AR68" s="184">
        <v>0</v>
      </c>
    </row>
    <row r="69" ht="11.25" hidden="1" customHeight="1">
      <c r="E69" s="290" t="s">
        <v>211</v>
      </c>
      <c r="F69" s="290"/>
      <c r="G69" s="290"/>
      <c r="H69" s="290"/>
      <c r="I69" s="290"/>
      <c r="J69" s="290"/>
      <c r="K69" s="290"/>
      <c r="L69" s="290"/>
      <c r="M69" s="290"/>
      <c r="N69" s="290"/>
      <c r="O69" s="290"/>
      <c r="P69" s="290"/>
      <c r="Q69" s="290"/>
      <c r="R69" s="290"/>
      <c r="S69" s="290"/>
      <c r="T69" s="290"/>
      <c r="U69" s="290"/>
      <c r="V69" s="290"/>
      <c r="W69" s="290"/>
      <c r="AR69" s="184">
        <v>0</v>
      </c>
    </row>
    <row r="70" ht="36.75" hidden="1" customHeight="1">
      <c r="E70" s="291" t="s">
        <v>212</v>
      </c>
      <c r="F70" s="291"/>
      <c r="G70" s="292"/>
      <c r="H70" s="292"/>
      <c r="I70" s="292"/>
      <c r="J70" s="292"/>
      <c r="K70" s="292"/>
      <c r="L70" s="292"/>
      <c r="M70" s="292"/>
      <c r="N70" s="292"/>
      <c r="O70" s="292"/>
      <c r="P70" s="292"/>
      <c r="Q70" s="292"/>
      <c r="R70" s="292"/>
      <c r="S70" s="292"/>
      <c r="T70" s="292"/>
      <c r="U70" s="292"/>
      <c r="V70" s="292"/>
      <c r="W70" s="292"/>
      <c r="AR70" s="184">
        <v>0</v>
      </c>
    </row>
    <row r="71" ht="28.5" hidden="1" customHeight="1">
      <c r="E71" s="291" t="s">
        <v>213</v>
      </c>
      <c r="F71" s="291"/>
      <c r="G71" s="292"/>
      <c r="H71" s="292"/>
      <c r="I71" s="292"/>
      <c r="J71" s="292"/>
      <c r="K71" s="292"/>
      <c r="L71" s="292"/>
      <c r="M71" s="292"/>
      <c r="N71" s="292"/>
      <c r="O71" s="292"/>
      <c r="P71" s="292"/>
      <c r="Q71" s="292"/>
      <c r="R71" s="292"/>
      <c r="S71" s="292"/>
      <c r="T71" s="292"/>
      <c r="U71" s="292"/>
      <c r="V71" s="292"/>
      <c r="W71" s="292"/>
      <c r="AR71" s="184">
        <v>0</v>
      </c>
    </row>
    <row r="72" ht="27" hidden="1" customHeight="1">
      <c r="E72" s="291" t="s">
        <v>214</v>
      </c>
      <c r="F72" s="291"/>
      <c r="G72" s="292"/>
      <c r="H72" s="292"/>
      <c r="I72" s="292"/>
      <c r="J72" s="292"/>
      <c r="K72" s="292"/>
      <c r="L72" s="292"/>
      <c r="M72" s="292"/>
      <c r="N72" s="292"/>
      <c r="O72" s="292"/>
      <c r="P72" s="292"/>
      <c r="Q72" s="292"/>
      <c r="R72" s="292"/>
      <c r="S72" s="292"/>
      <c r="T72" s="292"/>
      <c r="U72" s="292"/>
      <c r="V72" s="292"/>
      <c r="W72" s="292"/>
      <c r="AR72" s="184">
        <v>0</v>
      </c>
    </row>
    <row r="73" ht="17.25" hidden="1" customHeight="1">
      <c r="E73" s="291" t="s">
        <v>215</v>
      </c>
      <c r="F73" s="291"/>
      <c r="G73" s="292"/>
      <c r="H73" s="292"/>
      <c r="I73" s="292"/>
      <c r="J73" s="292"/>
      <c r="K73" s="292"/>
      <c r="L73" s="292"/>
      <c r="M73" s="292"/>
      <c r="N73" s="292"/>
      <c r="O73" s="292"/>
      <c r="P73" s="292"/>
      <c r="Q73" s="292"/>
      <c r="R73" s="292"/>
      <c r="S73" s="292"/>
      <c r="T73" s="292"/>
      <c r="U73" s="292"/>
      <c r="V73" s="292"/>
      <c r="W73" s="292"/>
      <c r="AR73" s="184">
        <v>0</v>
      </c>
    </row>
    <row r="74" ht="15" hidden="1" customHeight="1">
      <c r="E74" s="290"/>
      <c r="F74" s="290"/>
      <c r="G74" s="293"/>
      <c r="H74" s="293"/>
      <c r="I74" s="293"/>
      <c r="J74" s="293"/>
      <c r="K74" s="293"/>
      <c r="L74" s="293"/>
      <c r="M74" s="293"/>
      <c r="N74" s="293"/>
      <c r="O74" s="293"/>
      <c r="P74" s="293"/>
      <c r="Q74" s="293"/>
      <c r="R74" s="293"/>
      <c r="S74" s="293"/>
      <c r="T74" s="293"/>
      <c r="U74" s="293"/>
      <c r="V74" s="293"/>
      <c r="W74" s="293"/>
      <c r="AR74" s="184">
        <v>0</v>
      </c>
    </row>
    <row r="75" ht="15" hidden="1" customHeight="1">
      <c r="E75" s="290" t="s">
        <v>216</v>
      </c>
      <c r="F75" s="290"/>
      <c r="G75" s="290"/>
      <c r="H75" s="290"/>
      <c r="I75" s="290"/>
      <c r="J75" s="290"/>
      <c r="K75" s="290"/>
      <c r="L75" s="290"/>
      <c r="M75" s="290"/>
      <c r="N75" s="290"/>
      <c r="O75" s="290"/>
      <c r="P75" s="290"/>
      <c r="Q75" s="290"/>
      <c r="R75" s="290"/>
      <c r="S75" s="290"/>
      <c r="T75" s="290"/>
      <c r="U75" s="290"/>
      <c r="V75" s="290"/>
      <c r="W75" s="290"/>
      <c r="AR75" s="184">
        <v>0</v>
      </c>
    </row>
    <row r="76" ht="17.25" hidden="1" customHeight="1">
      <c r="E76" s="291" t="s">
        <v>217</v>
      </c>
      <c r="F76" s="291"/>
      <c r="G76" s="292"/>
      <c r="H76" s="292"/>
      <c r="I76" s="292"/>
      <c r="J76" s="292"/>
      <c r="K76" s="292"/>
      <c r="L76" s="292"/>
      <c r="M76" s="292"/>
      <c r="N76" s="292"/>
      <c r="O76" s="292"/>
      <c r="P76" s="292"/>
      <c r="Q76" s="292"/>
      <c r="R76" s="292"/>
      <c r="S76" s="292"/>
      <c r="T76" s="292"/>
      <c r="U76" s="292"/>
      <c r="V76" s="292"/>
      <c r="W76" s="292"/>
      <c r="AR76" s="184">
        <v>0</v>
      </c>
    </row>
    <row r="77" ht="17.25" hidden="1" customHeight="1">
      <c r="E77" s="291" t="s">
        <v>218</v>
      </c>
      <c r="F77" s="291"/>
      <c r="G77" s="292"/>
      <c r="H77" s="292"/>
      <c r="I77" s="292"/>
      <c r="J77" s="292"/>
      <c r="K77" s="292"/>
      <c r="L77" s="292"/>
      <c r="M77" s="292"/>
      <c r="N77" s="292"/>
      <c r="O77" s="292"/>
      <c r="P77" s="292"/>
      <c r="Q77" s="292"/>
      <c r="R77" s="292"/>
      <c r="S77" s="292"/>
      <c r="T77" s="292"/>
      <c r="U77" s="292"/>
      <c r="V77" s="292"/>
      <c r="W77" s="292"/>
      <c r="AR77" s="184">
        <v>0</v>
      </c>
    </row>
    <row r="78" s="184" customFormat="1" ht="11.25" hidden="1" customHeight="1">
      <c r="A78" s="129"/>
      <c r="B78" s="129"/>
      <c r="Y78" s="107"/>
      <c r="Z78" s="107"/>
      <c r="AA78" s="107"/>
      <c r="AB78" s="107"/>
      <c r="AC78" s="107"/>
      <c r="AD78" s="107"/>
      <c r="AE78" s="107"/>
      <c r="AF78" s="107"/>
      <c r="AG78" s="107"/>
      <c r="AH78" s="107"/>
      <c r="AI78" s="107"/>
      <c r="AJ78" s="107"/>
      <c r="AK78" s="107"/>
      <c r="AL78" s="107"/>
      <c r="AM78" s="107"/>
      <c r="AN78" s="107"/>
      <c r="AO78" s="107"/>
      <c r="AP78" s="107"/>
      <c r="AQ78" s="107"/>
      <c r="AR78" s="184">
        <v>0</v>
      </c>
    </row>
    <row r="79" s="184" customFormat="1" ht="17.25" hidden="1" customHeight="1">
      <c r="A79" s="253"/>
      <c r="C79" s="128"/>
      <c r="D79" s="254">
        <v>1</v>
      </c>
      <c r="E79" s="255" t="s">
        <v>219</v>
      </c>
      <c r="F79" s="256" t="s">
        <v>19</v>
      </c>
      <c r="G79" s="255"/>
      <c r="H79" s="257"/>
      <c r="I79" s="258"/>
      <c r="J79" s="259"/>
      <c r="K79" s="260"/>
      <c r="L79" s="260"/>
      <c r="M79" s="260"/>
      <c r="N79" s="261"/>
      <c r="O79" s="260"/>
      <c r="P79" s="260"/>
      <c r="Q79" s="260"/>
      <c r="R79" s="262"/>
      <c r="S79" s="260"/>
      <c r="T79" s="260"/>
      <c r="U79" s="260"/>
      <c r="V79" s="262"/>
      <c r="W79" s="263"/>
      <c r="Y79" s="264"/>
      <c r="Z79" s="264"/>
      <c r="AA79" s="264"/>
      <c r="AB79" s="264"/>
      <c r="AC79" s="264" t="s">
        <v>220</v>
      </c>
      <c r="AD79" s="264" t="s">
        <v>221</v>
      </c>
      <c r="AE79" s="264" t="s">
        <v>222</v>
      </c>
      <c r="AF79" s="264" t="s">
        <v>223</v>
      </c>
      <c r="AG79" s="264"/>
      <c r="AH79" s="264" t="str">
        <f>IF($E$79=0,"",$E$79)</f>
        <v xml:space="preserve">Тариф на питьевую воду (питьевое водоснабжение)</v>
      </c>
      <c r="AI79" s="264" t="str">
        <f>IF($G$79=0,"",$G$79)</f>
        <v/>
      </c>
      <c r="AJ79" s="264" t="str">
        <f>IF($J$79=0,"",$J$79)</f>
        <v/>
      </c>
      <c r="AK79" s="264" t="str">
        <f>IF($K$79="нет","без дифференциации",IF($N$79=0,"",$N$79))</f>
        <v/>
      </c>
      <c r="AL79" s="264" t="str">
        <f>IF($O$79="нет","без дифференциации",IF($R$79=0,"",$R$79))</f>
        <v/>
      </c>
      <c r="AM79" s="264" t="str">
        <f>IF($S$79="нет","без дифференциации",IF($V$79=0,"",$V$79))</f>
        <v/>
      </c>
      <c r="AN79" s="264">
        <f>$I$79</f>
        <v>0</v>
      </c>
      <c r="AO79" s="264" t="str">
        <f>$I$79&amp;"."&amp;$M$79</f>
        <v>.</v>
      </c>
      <c r="AP79" s="264" t="str">
        <f>$I$79&amp;"."&amp;$M$79&amp;"."&amp;$Q$79</f>
        <v>..</v>
      </c>
      <c r="AQ79" s="264" t="str">
        <f>$I$79&amp;"."&amp;$M$79&amp;"."&amp;$Q$79&amp;"."&amp;$U$79</f>
        <v>...</v>
      </c>
      <c r="AR79" s="184">
        <v>0</v>
      </c>
    </row>
    <row r="80" s="184" customFormat="1" ht="17.25" hidden="1" customHeight="1">
      <c r="A80" s="253"/>
      <c r="C80" s="184"/>
      <c r="D80" s="254"/>
      <c r="E80" s="255"/>
      <c r="F80" s="265"/>
      <c r="G80" s="255"/>
      <c r="H80" s="266"/>
      <c r="I80" s="267"/>
      <c r="J80" s="268"/>
      <c r="K80" s="125"/>
      <c r="L80" s="125"/>
      <c r="M80" s="125"/>
      <c r="N80" s="269"/>
      <c r="O80" s="125"/>
      <c r="P80" s="125"/>
      <c r="Q80" s="125"/>
      <c r="R80" s="270"/>
      <c r="S80" s="125"/>
      <c r="T80" s="271"/>
      <c r="U80" s="271"/>
      <c r="V80" s="271"/>
      <c r="W80" s="272"/>
      <c r="Y80" s="107"/>
      <c r="Z80" s="107"/>
      <c r="AA80" s="107"/>
      <c r="AB80" s="107"/>
      <c r="AC80" s="107"/>
      <c r="AD80" s="107"/>
      <c r="AE80" s="107"/>
      <c r="AF80" s="107"/>
      <c r="AG80" s="107"/>
      <c r="AH80" s="107"/>
      <c r="AI80" s="107"/>
      <c r="AJ80" s="107"/>
      <c r="AK80" s="107"/>
      <c r="AL80" s="107"/>
      <c r="AM80" s="107"/>
      <c r="AN80" s="107"/>
      <c r="AO80" s="107"/>
      <c r="AP80" s="107"/>
      <c r="AQ80" s="107"/>
      <c r="AR80" s="184">
        <v>0</v>
      </c>
    </row>
    <row r="81" s="184" customFormat="1" ht="17.25" hidden="1" customHeight="1">
      <c r="A81" s="253"/>
      <c r="C81" s="128"/>
      <c r="D81" s="254"/>
      <c r="E81" s="255"/>
      <c r="F81" s="265"/>
      <c r="G81" s="255"/>
      <c r="H81" s="266"/>
      <c r="I81" s="267"/>
      <c r="J81" s="273"/>
      <c r="K81" s="125"/>
      <c r="L81" s="125"/>
      <c r="M81" s="125"/>
      <c r="N81" s="270"/>
      <c r="O81" s="125"/>
      <c r="P81" s="125"/>
      <c r="Q81" s="271"/>
      <c r="R81" s="271"/>
      <c r="S81" s="184"/>
      <c r="T81" s="184"/>
      <c r="U81" s="184"/>
      <c r="V81" s="184"/>
      <c r="W81" s="272"/>
      <c r="Y81" s="264"/>
      <c r="Z81" s="264"/>
      <c r="AA81" s="264"/>
      <c r="AB81" s="264"/>
      <c r="AC81" s="264"/>
      <c r="AD81" s="264"/>
      <c r="AE81" s="264"/>
      <c r="AF81" s="264"/>
      <c r="AG81" s="264"/>
      <c r="AH81" s="264"/>
      <c r="AI81" s="264"/>
      <c r="AJ81" s="264"/>
      <c r="AK81" s="264"/>
      <c r="AL81" s="264"/>
      <c r="AM81" s="264"/>
      <c r="AN81" s="264"/>
      <c r="AO81" s="264"/>
      <c r="AP81" s="264"/>
      <c r="AQ81" s="264"/>
      <c r="AR81" s="184">
        <v>0</v>
      </c>
    </row>
    <row r="82" s="184" customFormat="1" ht="17.25" hidden="1" customHeight="1">
      <c r="A82" s="253"/>
      <c r="C82" s="184"/>
      <c r="D82" s="254"/>
      <c r="E82" s="255"/>
      <c r="F82" s="265"/>
      <c r="G82" s="255"/>
      <c r="H82" s="266"/>
      <c r="I82" s="267"/>
      <c r="J82" s="273"/>
      <c r="K82" s="125"/>
      <c r="L82" s="271"/>
      <c r="M82" s="271"/>
      <c r="N82" s="271"/>
      <c r="O82" s="271"/>
      <c r="P82" s="271"/>
      <c r="Q82" s="271"/>
      <c r="R82" s="271"/>
      <c r="S82" s="184"/>
      <c r="T82" s="184"/>
      <c r="U82" s="184"/>
      <c r="V82" s="184"/>
      <c r="W82" s="272"/>
      <c r="Y82" s="107"/>
      <c r="Z82" s="107"/>
      <c r="AA82" s="107"/>
      <c r="AB82" s="107"/>
      <c r="AC82" s="107"/>
      <c r="AD82" s="107"/>
      <c r="AE82" s="107"/>
      <c r="AF82" s="107"/>
      <c r="AG82" s="107"/>
      <c r="AH82" s="107"/>
      <c r="AI82" s="107"/>
      <c r="AJ82" s="107"/>
      <c r="AK82" s="107"/>
      <c r="AL82" s="107"/>
      <c r="AM82" s="107"/>
      <c r="AN82" s="107"/>
      <c r="AO82" s="107"/>
      <c r="AP82" s="107"/>
      <c r="AQ82" s="107"/>
      <c r="AR82" s="184">
        <v>0</v>
      </c>
    </row>
    <row r="83" s="184" customFormat="1" ht="17.25" hidden="1" customHeight="1">
      <c r="A83" s="253"/>
      <c r="C83" s="184"/>
      <c r="D83" s="274"/>
      <c r="E83" s="275"/>
      <c r="F83" s="276"/>
      <c r="G83" s="275"/>
      <c r="H83" s="277"/>
      <c r="I83" s="278"/>
      <c r="J83" s="278"/>
      <c r="K83" s="278"/>
      <c r="L83" s="278"/>
      <c r="M83" s="278"/>
      <c r="N83" s="278"/>
      <c r="O83" s="278"/>
      <c r="P83" s="278"/>
      <c r="Q83" s="278"/>
      <c r="R83" s="278"/>
      <c r="S83" s="279"/>
      <c r="T83" s="279"/>
      <c r="U83" s="279"/>
      <c r="V83" s="279"/>
      <c r="W83" s="280"/>
      <c r="Y83" s="107"/>
      <c r="Z83" s="107"/>
      <c r="AA83" s="107"/>
      <c r="AB83" s="107"/>
      <c r="AC83" s="107"/>
      <c r="AD83" s="107"/>
      <c r="AE83" s="107"/>
      <c r="AF83" s="107"/>
      <c r="AG83" s="107"/>
      <c r="AH83" s="107"/>
      <c r="AI83" s="107"/>
      <c r="AJ83" s="107"/>
      <c r="AK83" s="107"/>
      <c r="AL83" s="107"/>
      <c r="AM83" s="107"/>
      <c r="AN83" s="107"/>
      <c r="AO83" s="107"/>
      <c r="AP83" s="107"/>
      <c r="AQ83" s="107"/>
      <c r="AR83" s="184">
        <v>0</v>
      </c>
    </row>
    <row r="84" s="184" customFormat="1" ht="17.25" hidden="1" customHeight="1">
      <c r="A84" s="253"/>
      <c r="C84" s="128"/>
      <c r="D84" s="254">
        <v>2</v>
      </c>
      <c r="E84" s="255" t="s">
        <v>224</v>
      </c>
      <c r="F84" s="256" t="s">
        <v>19</v>
      </c>
      <c r="G84" s="255"/>
      <c r="H84" s="257"/>
      <c r="I84" s="258"/>
      <c r="J84" s="259"/>
      <c r="K84" s="260"/>
      <c r="L84" s="260"/>
      <c r="M84" s="260"/>
      <c r="N84" s="261"/>
      <c r="O84" s="260"/>
      <c r="P84" s="260"/>
      <c r="Q84" s="260"/>
      <c r="R84" s="262"/>
      <c r="S84" s="260"/>
      <c r="T84" s="260"/>
      <c r="U84" s="260"/>
      <c r="V84" s="262"/>
      <c r="W84" s="263"/>
      <c r="X84" s="264"/>
      <c r="Y84" s="264"/>
      <c r="Z84" s="264"/>
      <c r="AA84" s="264"/>
      <c r="AB84" s="264"/>
      <c r="AC84" s="264" t="s">
        <v>225</v>
      </c>
      <c r="AD84" s="264" t="s">
        <v>226</v>
      </c>
      <c r="AE84" s="264" t="s">
        <v>227</v>
      </c>
      <c r="AF84" s="264" t="s">
        <v>228</v>
      </c>
      <c r="AG84" s="264"/>
      <c r="AH84" s="264" t="str">
        <f>IF($E$84=0,"",$E$84)</f>
        <v xml:space="preserve">Тариф на техническую воду</v>
      </c>
      <c r="AI84" s="264" t="str">
        <f>IF($G$84=0,"",$G$84)</f>
        <v/>
      </c>
      <c r="AJ84" s="264" t="str">
        <f>IF($J$84=0,"",$J$84)</f>
        <v/>
      </c>
      <c r="AK84" s="264" t="str">
        <f>IF($K$84="нет","без дифференциации",IF($N$84=0,"",$N$84))</f>
        <v/>
      </c>
      <c r="AL84" s="264" t="str">
        <f>IF($O$84="нет","без дифференциации",IF($R$84=0,"",$R$84))</f>
        <v/>
      </c>
      <c r="AM84" s="264" t="str">
        <f>IF($S$84="нет","без дифференциации",IF($V$84=0,"",$V$84))</f>
        <v/>
      </c>
      <c r="AN84" s="282">
        <f>$I$84</f>
        <v>0</v>
      </c>
      <c r="AO84" s="264" t="str">
        <f>$I$84&amp;"."&amp;$M$84</f>
        <v>.</v>
      </c>
      <c r="AP84" s="107" t="str">
        <f>$I$84&amp;"."&amp;$M$84&amp;"."&amp;$Q$84</f>
        <v>..</v>
      </c>
      <c r="AQ84" s="107" t="str">
        <f>$I$84&amp;"."&amp;$M$84&amp;"."&amp;$Q$84&amp;"."&amp;$U$84</f>
        <v>...</v>
      </c>
      <c r="AR84" s="184">
        <v>0</v>
      </c>
    </row>
    <row r="85" s="184" customFormat="1" ht="17.25" hidden="1" customHeight="1">
      <c r="A85" s="253"/>
      <c r="C85" s="184"/>
      <c r="D85" s="254"/>
      <c r="E85" s="255"/>
      <c r="F85" s="265"/>
      <c r="G85" s="255"/>
      <c r="H85" s="266"/>
      <c r="I85" s="267"/>
      <c r="J85" s="268"/>
      <c r="K85" s="125"/>
      <c r="L85" s="125"/>
      <c r="M85" s="125"/>
      <c r="N85" s="269"/>
      <c r="O85" s="125"/>
      <c r="P85" s="125"/>
      <c r="Q85" s="125"/>
      <c r="R85" s="270"/>
      <c r="S85" s="125"/>
      <c r="T85" s="271"/>
      <c r="U85" s="271"/>
      <c r="V85" s="271"/>
      <c r="W85" s="272"/>
      <c r="X85" s="107"/>
      <c r="Y85" s="107"/>
      <c r="Z85" s="107"/>
      <c r="AA85" s="107"/>
      <c r="AB85" s="107"/>
      <c r="AC85" s="107"/>
      <c r="AD85" s="107"/>
      <c r="AE85" s="107"/>
      <c r="AF85" s="107"/>
      <c r="AG85" s="107"/>
      <c r="AH85" s="107"/>
      <c r="AI85" s="107"/>
      <c r="AJ85" s="107"/>
      <c r="AK85" s="107"/>
      <c r="AL85" s="107"/>
      <c r="AM85" s="107"/>
      <c r="AN85" s="107"/>
      <c r="AO85" s="107"/>
      <c r="AP85" s="107"/>
      <c r="AQ85" s="107"/>
      <c r="AR85" s="184">
        <v>0</v>
      </c>
    </row>
    <row r="86" s="184" customFormat="1" ht="17.25" hidden="1" customHeight="1">
      <c r="A86" s="253"/>
      <c r="C86" s="184"/>
      <c r="D86" s="274"/>
      <c r="E86" s="275"/>
      <c r="F86" s="265"/>
      <c r="G86" s="275"/>
      <c r="H86" s="266"/>
      <c r="I86" s="267"/>
      <c r="J86" s="273"/>
      <c r="K86" s="125"/>
      <c r="L86" s="125"/>
      <c r="M86" s="125"/>
      <c r="N86" s="270"/>
      <c r="O86" s="125"/>
      <c r="P86" s="125"/>
      <c r="Q86" s="271"/>
      <c r="R86" s="271"/>
      <c r="S86" s="184"/>
      <c r="T86" s="184"/>
      <c r="U86" s="184"/>
      <c r="V86" s="184"/>
      <c r="W86" s="272"/>
      <c r="X86" s="107"/>
      <c r="Y86" s="107"/>
      <c r="Z86" s="107"/>
      <c r="AA86" s="107"/>
      <c r="AB86" s="107"/>
      <c r="AC86" s="107"/>
      <c r="AD86" s="107"/>
      <c r="AE86" s="107"/>
      <c r="AF86" s="107"/>
      <c r="AG86" s="107"/>
      <c r="AH86" s="107"/>
      <c r="AI86" s="107"/>
      <c r="AJ86" s="107"/>
      <c r="AK86" s="107"/>
      <c r="AL86" s="107"/>
      <c r="AM86" s="107"/>
      <c r="AN86" s="107"/>
      <c r="AO86" s="107"/>
      <c r="AP86" s="107"/>
      <c r="AQ86" s="107"/>
      <c r="AR86" s="184">
        <v>0</v>
      </c>
    </row>
    <row r="87" s="184" customFormat="1" ht="17.25" hidden="1" customHeight="1">
      <c r="A87" s="253"/>
      <c r="C87" s="184"/>
      <c r="D87" s="274"/>
      <c r="E87" s="275"/>
      <c r="F87" s="265"/>
      <c r="G87" s="275"/>
      <c r="H87" s="266"/>
      <c r="I87" s="267"/>
      <c r="J87" s="273"/>
      <c r="K87" s="125"/>
      <c r="L87" s="271"/>
      <c r="M87" s="271"/>
      <c r="N87" s="271"/>
      <c r="O87" s="271"/>
      <c r="P87" s="271"/>
      <c r="Q87" s="271"/>
      <c r="R87" s="271"/>
      <c r="S87" s="184"/>
      <c r="T87" s="184"/>
      <c r="U87" s="184"/>
      <c r="V87" s="184"/>
      <c r="W87" s="272"/>
      <c r="X87" s="107"/>
      <c r="Y87" s="107"/>
      <c r="Z87" s="107"/>
      <c r="AA87" s="107"/>
      <c r="AB87" s="107"/>
      <c r="AC87" s="107"/>
      <c r="AD87" s="107"/>
      <c r="AE87" s="107"/>
      <c r="AF87" s="107"/>
      <c r="AG87" s="107"/>
      <c r="AH87" s="107"/>
      <c r="AI87" s="107"/>
      <c r="AJ87" s="107"/>
      <c r="AK87" s="107"/>
      <c r="AL87" s="107"/>
      <c r="AM87" s="107"/>
      <c r="AN87" s="107"/>
      <c r="AO87" s="107"/>
      <c r="AP87" s="107"/>
      <c r="AQ87" s="107"/>
      <c r="AR87" s="184">
        <v>0</v>
      </c>
    </row>
    <row r="88" s="184" customFormat="1" ht="17.25" hidden="1" customHeight="1">
      <c r="A88" s="253"/>
      <c r="C88" s="184"/>
      <c r="D88" s="274"/>
      <c r="E88" s="275"/>
      <c r="F88" s="276"/>
      <c r="G88" s="275"/>
      <c r="H88" s="277"/>
      <c r="I88" s="278"/>
      <c r="J88" s="278"/>
      <c r="K88" s="278"/>
      <c r="L88" s="278"/>
      <c r="M88" s="278"/>
      <c r="N88" s="278"/>
      <c r="O88" s="278"/>
      <c r="P88" s="278"/>
      <c r="Q88" s="278"/>
      <c r="R88" s="278"/>
      <c r="S88" s="279"/>
      <c r="T88" s="279"/>
      <c r="U88" s="279"/>
      <c r="V88" s="279"/>
      <c r="W88" s="280"/>
      <c r="X88" s="107"/>
      <c r="Y88" s="107"/>
      <c r="Z88" s="107"/>
      <c r="AA88" s="107"/>
      <c r="AB88" s="107"/>
      <c r="AC88" s="107"/>
      <c r="AD88" s="107"/>
      <c r="AE88" s="107"/>
      <c r="AF88" s="107"/>
      <c r="AG88" s="107"/>
      <c r="AH88" s="107"/>
      <c r="AI88" s="107"/>
      <c r="AJ88" s="107"/>
      <c r="AK88" s="107"/>
      <c r="AL88" s="107"/>
      <c r="AM88" s="107"/>
      <c r="AN88" s="107"/>
      <c r="AO88" s="107"/>
      <c r="AP88" s="107"/>
      <c r="AQ88" s="107"/>
      <c r="AR88" s="184">
        <v>0</v>
      </c>
    </row>
    <row r="89" s="184" customFormat="1" ht="17.25" hidden="1" customHeight="1">
      <c r="A89" s="253"/>
      <c r="C89" s="128"/>
      <c r="D89" s="254">
        <v>3</v>
      </c>
      <c r="E89" s="255" t="s">
        <v>229</v>
      </c>
      <c r="F89" s="256" t="s">
        <v>19</v>
      </c>
      <c r="G89" s="255"/>
      <c r="H89" s="257"/>
      <c r="I89" s="258"/>
      <c r="J89" s="259"/>
      <c r="K89" s="260"/>
      <c r="L89" s="260"/>
      <c r="M89" s="260"/>
      <c r="N89" s="261"/>
      <c r="O89" s="260"/>
      <c r="P89" s="260"/>
      <c r="Q89" s="260"/>
      <c r="R89" s="262"/>
      <c r="S89" s="260"/>
      <c r="T89" s="260"/>
      <c r="U89" s="260"/>
      <c r="V89" s="262"/>
      <c r="W89" s="263"/>
      <c r="X89" s="264"/>
      <c r="Y89" s="264"/>
      <c r="Z89" s="264"/>
      <c r="AA89" s="264"/>
      <c r="AB89" s="264"/>
      <c r="AC89" s="264" t="s">
        <v>230</v>
      </c>
      <c r="AD89" s="264" t="s">
        <v>231</v>
      </c>
      <c r="AE89" s="264" t="s">
        <v>232</v>
      </c>
      <c r="AF89" s="264" t="s">
        <v>233</v>
      </c>
      <c r="AG89" s="264"/>
      <c r="AH89" s="264" t="str">
        <f>IF($E$89=0,"",$E$89)</f>
        <v xml:space="preserve">Тариф на транспортировку воды</v>
      </c>
      <c r="AI89" s="264" t="str">
        <f>IF($G$89=0,"",$G$89)</f>
        <v/>
      </c>
      <c r="AJ89" s="264" t="str">
        <f>IF($J$89=0,"",$J$89)</f>
        <v/>
      </c>
      <c r="AK89" s="264" t="str">
        <f>IF($K$89="нет","без дифференциации",IF($N$89=0,"",$N$89))</f>
        <v/>
      </c>
      <c r="AL89" s="264" t="str">
        <f>IF($O$89="нет","без дифференциации",IF($R$89=0,"",$R$89))</f>
        <v/>
      </c>
      <c r="AM89" s="264" t="str">
        <f>IF($S$89="нет","без дифференциации",IF($V$89=0,"",$V$89))</f>
        <v/>
      </c>
      <c r="AN89" s="282">
        <f>$I$89</f>
        <v>0</v>
      </c>
      <c r="AO89" s="264" t="str">
        <f>$I$89&amp;"."&amp;$M$89</f>
        <v>.</v>
      </c>
      <c r="AP89" s="107" t="str">
        <f>$I$89&amp;"."&amp;$M$89&amp;"."&amp;$Q$89</f>
        <v>..</v>
      </c>
      <c r="AQ89" s="107" t="str">
        <f>$I$89&amp;"."&amp;$M$89&amp;"."&amp;$Q$89&amp;"."&amp;$U$89</f>
        <v>...</v>
      </c>
      <c r="AR89" s="184">
        <v>0</v>
      </c>
    </row>
    <row r="90" s="184" customFormat="1" ht="17.25" hidden="1" customHeight="1">
      <c r="A90" s="253"/>
      <c r="C90" s="184"/>
      <c r="D90" s="254"/>
      <c r="E90" s="255"/>
      <c r="F90" s="265"/>
      <c r="G90" s="255"/>
      <c r="H90" s="266"/>
      <c r="I90" s="267"/>
      <c r="J90" s="268"/>
      <c r="K90" s="125"/>
      <c r="L90" s="125"/>
      <c r="M90" s="125"/>
      <c r="N90" s="269"/>
      <c r="O90" s="125"/>
      <c r="P90" s="125"/>
      <c r="Q90" s="125"/>
      <c r="R90" s="270"/>
      <c r="S90" s="125"/>
      <c r="T90" s="271"/>
      <c r="U90" s="271"/>
      <c r="V90" s="271"/>
      <c r="W90" s="272"/>
      <c r="X90" s="107"/>
      <c r="Y90" s="107"/>
      <c r="Z90" s="107"/>
      <c r="AA90" s="107"/>
      <c r="AB90" s="107"/>
      <c r="AC90" s="107"/>
      <c r="AD90" s="107"/>
      <c r="AE90" s="107"/>
      <c r="AF90" s="107"/>
      <c r="AG90" s="107"/>
      <c r="AH90" s="107"/>
      <c r="AI90" s="107"/>
      <c r="AJ90" s="107"/>
      <c r="AK90" s="107"/>
      <c r="AL90" s="107"/>
      <c r="AM90" s="107"/>
      <c r="AN90" s="107"/>
      <c r="AO90" s="107"/>
      <c r="AP90" s="107"/>
      <c r="AQ90" s="107"/>
      <c r="AR90" s="184">
        <v>0</v>
      </c>
    </row>
    <row r="91" s="184" customFormat="1" ht="17.25" hidden="1" customHeight="1">
      <c r="A91" s="253"/>
      <c r="C91" s="184"/>
      <c r="D91" s="274"/>
      <c r="E91" s="275"/>
      <c r="F91" s="265"/>
      <c r="G91" s="275"/>
      <c r="H91" s="266"/>
      <c r="I91" s="267"/>
      <c r="J91" s="273"/>
      <c r="K91" s="125"/>
      <c r="L91" s="125"/>
      <c r="M91" s="125"/>
      <c r="N91" s="270"/>
      <c r="O91" s="125"/>
      <c r="P91" s="125"/>
      <c r="Q91" s="271"/>
      <c r="R91" s="271"/>
      <c r="S91" s="184"/>
      <c r="T91" s="184"/>
      <c r="U91" s="184"/>
      <c r="V91" s="184"/>
      <c r="W91" s="272"/>
      <c r="X91" s="107"/>
      <c r="Y91" s="107"/>
      <c r="Z91" s="107"/>
      <c r="AA91" s="107"/>
      <c r="AB91" s="107"/>
      <c r="AC91" s="107"/>
      <c r="AD91" s="107"/>
      <c r="AE91" s="107"/>
      <c r="AF91" s="107"/>
      <c r="AG91" s="107"/>
      <c r="AH91" s="107"/>
      <c r="AI91" s="107"/>
      <c r="AJ91" s="107"/>
      <c r="AK91" s="107"/>
      <c r="AL91" s="107"/>
      <c r="AM91" s="107"/>
      <c r="AN91" s="107"/>
      <c r="AO91" s="107"/>
      <c r="AP91" s="107"/>
      <c r="AQ91" s="107"/>
      <c r="AR91" s="184">
        <v>0</v>
      </c>
    </row>
    <row r="92" s="184" customFormat="1" ht="17.25" hidden="1" customHeight="1">
      <c r="A92" s="253"/>
      <c r="C92" s="184"/>
      <c r="D92" s="274"/>
      <c r="E92" s="275"/>
      <c r="F92" s="265"/>
      <c r="G92" s="275"/>
      <c r="H92" s="266"/>
      <c r="I92" s="267"/>
      <c r="J92" s="273"/>
      <c r="K92" s="125"/>
      <c r="L92" s="271"/>
      <c r="M92" s="271"/>
      <c r="N92" s="271"/>
      <c r="O92" s="271"/>
      <c r="P92" s="271"/>
      <c r="Q92" s="271"/>
      <c r="R92" s="271"/>
      <c r="S92" s="184"/>
      <c r="T92" s="184"/>
      <c r="U92" s="184"/>
      <c r="V92" s="184"/>
      <c r="W92" s="272"/>
      <c r="X92" s="107"/>
      <c r="Y92" s="107"/>
      <c r="Z92" s="107"/>
      <c r="AA92" s="107"/>
      <c r="AB92" s="107"/>
      <c r="AC92" s="107"/>
      <c r="AD92" s="107"/>
      <c r="AE92" s="107"/>
      <c r="AF92" s="107"/>
      <c r="AG92" s="107"/>
      <c r="AH92" s="107"/>
      <c r="AI92" s="107"/>
      <c r="AJ92" s="107"/>
      <c r="AK92" s="107"/>
      <c r="AL92" s="107"/>
      <c r="AM92" s="107"/>
      <c r="AN92" s="107"/>
      <c r="AO92" s="107"/>
      <c r="AP92" s="107"/>
      <c r="AQ92" s="107"/>
      <c r="AR92" s="184">
        <v>0</v>
      </c>
    </row>
    <row r="93" s="184" customFormat="1" ht="17.25" hidden="1" customHeight="1">
      <c r="A93" s="253"/>
      <c r="C93" s="184"/>
      <c r="D93" s="274"/>
      <c r="E93" s="275"/>
      <c r="F93" s="276"/>
      <c r="G93" s="275"/>
      <c r="H93" s="277"/>
      <c r="I93" s="278"/>
      <c r="J93" s="278"/>
      <c r="K93" s="278"/>
      <c r="L93" s="278"/>
      <c r="M93" s="278"/>
      <c r="N93" s="278"/>
      <c r="O93" s="278"/>
      <c r="P93" s="278"/>
      <c r="Q93" s="278"/>
      <c r="R93" s="278"/>
      <c r="S93" s="279"/>
      <c r="T93" s="279"/>
      <c r="U93" s="279"/>
      <c r="V93" s="279"/>
      <c r="W93" s="280"/>
      <c r="X93" s="107"/>
      <c r="Y93" s="107"/>
      <c r="Z93" s="107"/>
      <c r="AA93" s="107"/>
      <c r="AB93" s="107"/>
      <c r="AC93" s="107"/>
      <c r="AD93" s="107"/>
      <c r="AE93" s="107"/>
      <c r="AF93" s="107"/>
      <c r="AG93" s="107"/>
      <c r="AH93" s="107"/>
      <c r="AI93" s="107"/>
      <c r="AJ93" s="107"/>
      <c r="AK93" s="107"/>
      <c r="AL93" s="107"/>
      <c r="AM93" s="107"/>
      <c r="AN93" s="107"/>
      <c r="AO93" s="107"/>
      <c r="AP93" s="107"/>
      <c r="AQ93" s="107"/>
      <c r="AR93" s="184">
        <v>0</v>
      </c>
    </row>
    <row r="94" s="184" customFormat="1" ht="17.25" hidden="1" customHeight="1">
      <c r="A94" s="253"/>
      <c r="C94" s="128"/>
      <c r="D94" s="254">
        <v>4</v>
      </c>
      <c r="E94" s="255" t="s">
        <v>234</v>
      </c>
      <c r="F94" s="256" t="s">
        <v>19</v>
      </c>
      <c r="G94" s="255"/>
      <c r="H94" s="257"/>
      <c r="I94" s="258"/>
      <c r="J94" s="259"/>
      <c r="K94" s="260"/>
      <c r="L94" s="260"/>
      <c r="M94" s="260"/>
      <c r="N94" s="261"/>
      <c r="O94" s="260"/>
      <c r="P94" s="260"/>
      <c r="Q94" s="260"/>
      <c r="R94" s="262"/>
      <c r="S94" s="260"/>
      <c r="T94" s="260"/>
      <c r="U94" s="260"/>
      <c r="V94" s="262"/>
      <c r="W94" s="263"/>
      <c r="X94" s="264"/>
      <c r="Y94" s="264"/>
      <c r="Z94" s="264"/>
      <c r="AA94" s="264"/>
      <c r="AB94" s="264"/>
      <c r="AC94" s="264" t="s">
        <v>235</v>
      </c>
      <c r="AD94" s="264" t="s">
        <v>236</v>
      </c>
      <c r="AE94" s="264" t="s">
        <v>237</v>
      </c>
      <c r="AF94" s="264" t="s">
        <v>238</v>
      </c>
      <c r="AG94" s="264"/>
      <c r="AH94" s="264" t="str">
        <f>IF($E$94=0,"",$E$94)</f>
        <v xml:space="preserve">Тариф на подвоз воды</v>
      </c>
      <c r="AI94" s="264" t="str">
        <f>IF($G$94=0,"",$G$94)</f>
        <v/>
      </c>
      <c r="AJ94" s="264" t="str">
        <f>IF($J$94=0,"",$J$94)</f>
        <v/>
      </c>
      <c r="AK94" s="264" t="str">
        <f>IF($K$94="нет","без дифференциации",IF($N$94=0,"",$N$94))</f>
        <v/>
      </c>
      <c r="AL94" s="264" t="str">
        <f>IF($O$94="нет","без дифференциации",IF($R$94=0,"",$R$94))</f>
        <v/>
      </c>
      <c r="AM94" s="264" t="str">
        <f>IF($S$94="нет","без дифференциации",IF($V$94=0,"",$V$94))</f>
        <v/>
      </c>
      <c r="AN94" s="282">
        <f>$I$94</f>
        <v>0</v>
      </c>
      <c r="AO94" s="264" t="str">
        <f>$I$94&amp;"."&amp;$M$94</f>
        <v>.</v>
      </c>
      <c r="AP94" s="107" t="str">
        <f>$I$94&amp;"."&amp;$M$94&amp;"."&amp;$Q$94</f>
        <v>..</v>
      </c>
      <c r="AQ94" s="107" t="str">
        <f>$I$94&amp;"."&amp;$M$94&amp;"."&amp;$Q$94&amp;"."&amp;$U$94</f>
        <v>...</v>
      </c>
      <c r="AR94" s="184">
        <v>0</v>
      </c>
    </row>
    <row r="95" s="184" customFormat="1" ht="17.25" hidden="1" customHeight="1">
      <c r="A95" s="253"/>
      <c r="C95" s="184"/>
      <c r="D95" s="254"/>
      <c r="E95" s="255"/>
      <c r="F95" s="265"/>
      <c r="G95" s="255"/>
      <c r="H95" s="266"/>
      <c r="I95" s="267"/>
      <c r="J95" s="268"/>
      <c r="K95" s="125"/>
      <c r="L95" s="125"/>
      <c r="M95" s="125"/>
      <c r="N95" s="269"/>
      <c r="O95" s="125"/>
      <c r="P95" s="125"/>
      <c r="Q95" s="125"/>
      <c r="R95" s="270"/>
      <c r="S95" s="125"/>
      <c r="T95" s="271"/>
      <c r="U95" s="271"/>
      <c r="V95" s="271"/>
      <c r="W95" s="272"/>
      <c r="X95" s="107"/>
      <c r="Y95" s="107"/>
      <c r="Z95" s="107"/>
      <c r="AA95" s="107"/>
      <c r="AB95" s="107"/>
      <c r="AC95" s="107"/>
      <c r="AD95" s="107"/>
      <c r="AE95" s="107"/>
      <c r="AF95" s="107"/>
      <c r="AG95" s="107"/>
      <c r="AH95" s="107"/>
      <c r="AI95" s="107"/>
      <c r="AJ95" s="107"/>
      <c r="AK95" s="107"/>
      <c r="AL95" s="107"/>
      <c r="AM95" s="107"/>
      <c r="AN95" s="107"/>
      <c r="AO95" s="107"/>
      <c r="AP95" s="107"/>
      <c r="AQ95" s="107"/>
      <c r="AR95" s="184">
        <v>0</v>
      </c>
    </row>
    <row r="96" s="184" customFormat="1" ht="17.25" hidden="1" customHeight="1">
      <c r="A96" s="253"/>
      <c r="C96" s="184"/>
      <c r="D96" s="274"/>
      <c r="E96" s="275"/>
      <c r="F96" s="265"/>
      <c r="G96" s="275"/>
      <c r="H96" s="266"/>
      <c r="I96" s="267"/>
      <c r="J96" s="273"/>
      <c r="K96" s="125"/>
      <c r="L96" s="125"/>
      <c r="M96" s="125"/>
      <c r="N96" s="270"/>
      <c r="O96" s="125"/>
      <c r="P96" s="125"/>
      <c r="Q96" s="271"/>
      <c r="R96" s="271"/>
      <c r="S96" s="184"/>
      <c r="T96" s="184"/>
      <c r="U96" s="184"/>
      <c r="V96" s="184"/>
      <c r="W96" s="272"/>
      <c r="X96" s="107"/>
      <c r="Y96" s="107"/>
      <c r="Z96" s="107"/>
      <c r="AA96" s="107"/>
      <c r="AB96" s="107"/>
      <c r="AC96" s="107"/>
      <c r="AD96" s="107"/>
      <c r="AE96" s="107"/>
      <c r="AF96" s="107"/>
      <c r="AG96" s="107"/>
      <c r="AH96" s="107"/>
      <c r="AI96" s="107"/>
      <c r="AJ96" s="107"/>
      <c r="AK96" s="107"/>
      <c r="AL96" s="107"/>
      <c r="AM96" s="107"/>
      <c r="AN96" s="107"/>
      <c r="AO96" s="107"/>
      <c r="AP96" s="107"/>
      <c r="AQ96" s="107"/>
      <c r="AR96" s="184">
        <v>0</v>
      </c>
    </row>
    <row r="97" s="184" customFormat="1" ht="17.25" hidden="1" customHeight="1">
      <c r="A97" s="253"/>
      <c r="C97" s="184"/>
      <c r="D97" s="274"/>
      <c r="E97" s="275"/>
      <c r="F97" s="265"/>
      <c r="G97" s="275"/>
      <c r="H97" s="266"/>
      <c r="I97" s="267"/>
      <c r="J97" s="273"/>
      <c r="K97" s="125"/>
      <c r="L97" s="271"/>
      <c r="M97" s="271"/>
      <c r="N97" s="271"/>
      <c r="O97" s="271"/>
      <c r="P97" s="271"/>
      <c r="Q97" s="271"/>
      <c r="R97" s="271"/>
      <c r="S97" s="184"/>
      <c r="T97" s="184"/>
      <c r="U97" s="184"/>
      <c r="V97" s="184"/>
      <c r="W97" s="272"/>
      <c r="X97" s="107"/>
      <c r="Y97" s="107"/>
      <c r="Z97" s="107"/>
      <c r="AA97" s="107"/>
      <c r="AB97" s="107"/>
      <c r="AC97" s="107"/>
      <c r="AD97" s="107"/>
      <c r="AE97" s="107"/>
      <c r="AF97" s="107"/>
      <c r="AG97" s="107"/>
      <c r="AH97" s="107"/>
      <c r="AI97" s="107"/>
      <c r="AJ97" s="107"/>
      <c r="AK97" s="107"/>
      <c r="AL97" s="107"/>
      <c r="AM97" s="107"/>
      <c r="AN97" s="107"/>
      <c r="AO97" s="107"/>
      <c r="AP97" s="107"/>
      <c r="AQ97" s="107"/>
      <c r="AR97" s="184">
        <v>0</v>
      </c>
    </row>
    <row r="98" s="184" customFormat="1" ht="17.25" hidden="1" customHeight="1">
      <c r="A98" s="253"/>
      <c r="C98" s="184"/>
      <c r="D98" s="274"/>
      <c r="E98" s="275"/>
      <c r="F98" s="276"/>
      <c r="G98" s="275"/>
      <c r="H98" s="277"/>
      <c r="I98" s="278"/>
      <c r="J98" s="278"/>
      <c r="K98" s="278"/>
      <c r="L98" s="278"/>
      <c r="M98" s="278"/>
      <c r="N98" s="278"/>
      <c r="O98" s="278"/>
      <c r="P98" s="278"/>
      <c r="Q98" s="278"/>
      <c r="R98" s="278"/>
      <c r="S98" s="279"/>
      <c r="T98" s="279"/>
      <c r="U98" s="279"/>
      <c r="V98" s="279"/>
      <c r="W98" s="280"/>
      <c r="X98" s="107"/>
      <c r="Y98" s="107"/>
      <c r="Z98" s="107"/>
      <c r="AA98" s="107"/>
      <c r="AB98" s="107"/>
      <c r="AC98" s="107"/>
      <c r="AD98" s="107"/>
      <c r="AE98" s="107"/>
      <c r="AF98" s="107"/>
      <c r="AG98" s="107"/>
      <c r="AH98" s="107"/>
      <c r="AI98" s="107"/>
      <c r="AJ98" s="107"/>
      <c r="AK98" s="107"/>
      <c r="AL98" s="107"/>
      <c r="AM98" s="107"/>
      <c r="AN98" s="107"/>
      <c r="AO98" s="107"/>
      <c r="AP98" s="107"/>
      <c r="AQ98" s="107"/>
      <c r="AR98" s="184">
        <v>0</v>
      </c>
    </row>
    <row r="99" s="184" customFormat="1" ht="17.25" hidden="1" customHeight="1">
      <c r="A99" s="253"/>
      <c r="C99" s="128"/>
      <c r="D99" s="254">
        <v>5</v>
      </c>
      <c r="E99" s="255" t="s">
        <v>239</v>
      </c>
      <c r="F99" s="256" t="s">
        <v>19</v>
      </c>
      <c r="G99" s="255"/>
      <c r="H99" s="257"/>
      <c r="I99" s="258"/>
      <c r="J99" s="259"/>
      <c r="K99" s="260"/>
      <c r="L99" s="260"/>
      <c r="M99" s="260"/>
      <c r="N99" s="261"/>
      <c r="O99" s="260"/>
      <c r="P99" s="260"/>
      <c r="Q99" s="260"/>
      <c r="R99" s="262"/>
      <c r="S99" s="260"/>
      <c r="T99" s="260"/>
      <c r="U99" s="260"/>
      <c r="V99" s="262"/>
      <c r="W99" s="263"/>
      <c r="X99" s="264"/>
      <c r="Y99" s="264"/>
      <c r="Z99" s="264"/>
      <c r="AA99" s="264"/>
      <c r="AB99" s="264"/>
      <c r="AC99" s="264" t="s">
        <v>240</v>
      </c>
      <c r="AD99" s="264" t="s">
        <v>241</v>
      </c>
      <c r="AE99" s="264" t="s">
        <v>242</v>
      </c>
      <c r="AF99" s="264" t="s">
        <v>243</v>
      </c>
      <c r="AG99" s="264"/>
      <c r="AH99" s="264" t="str">
        <f>IF($E$99=0,"",$E$99)</f>
        <v xml:space="preserve">Тариф на подключение (технологическое присоединение) к централизованной системе холодного водоснабжения</v>
      </c>
      <c r="AI99" s="264" t="str">
        <f>IF($G$99=0,"",$G$99)</f>
        <v/>
      </c>
      <c r="AJ99" s="264" t="str">
        <f>IF($J$99=0,"",$J$99)</f>
        <v/>
      </c>
      <c r="AK99" s="264" t="str">
        <f>IF($K$99="нет","без дифференциации",IF($N$99=0,"",$N$99))</f>
        <v/>
      </c>
      <c r="AL99" s="264" t="str">
        <f>IF($O$99="нет","без дифференциации",IF($R$99=0,"",$R$99))</f>
        <v/>
      </c>
      <c r="AM99" s="264" t="str">
        <f>IF($S$99="нет","без дифференциации",IF($V$99=0,"",$V$99))</f>
        <v/>
      </c>
      <c r="AN99" s="282">
        <f>$I$99</f>
        <v>0</v>
      </c>
      <c r="AO99" s="264" t="str">
        <f>$I$99&amp;"."&amp;$M$99</f>
        <v>.</v>
      </c>
      <c r="AP99" s="107" t="str">
        <f>$I$99&amp;"."&amp;$M$99&amp;"."&amp;$Q$99</f>
        <v>..</v>
      </c>
      <c r="AQ99" s="107" t="str">
        <f>$I$99&amp;"."&amp;$M$99&amp;"."&amp;$Q$99&amp;"."&amp;$U$99</f>
        <v>...</v>
      </c>
      <c r="AR99" s="184">
        <v>0</v>
      </c>
    </row>
    <row r="100" s="184" customFormat="1" ht="17.25" hidden="1" customHeight="1">
      <c r="A100" s="253"/>
      <c r="C100" s="184"/>
      <c r="D100" s="254"/>
      <c r="E100" s="255"/>
      <c r="F100" s="265"/>
      <c r="G100" s="255"/>
      <c r="H100" s="266"/>
      <c r="I100" s="267"/>
      <c r="J100" s="268"/>
      <c r="K100" s="125"/>
      <c r="L100" s="125"/>
      <c r="M100" s="125"/>
      <c r="N100" s="269"/>
      <c r="O100" s="125"/>
      <c r="P100" s="125"/>
      <c r="Q100" s="125"/>
      <c r="R100" s="270"/>
      <c r="S100" s="125"/>
      <c r="T100" s="271"/>
      <c r="U100" s="271"/>
      <c r="V100" s="271"/>
      <c r="W100" s="272"/>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4">
        <v>0</v>
      </c>
    </row>
    <row r="101" s="184" customFormat="1" ht="17.25" hidden="1" customHeight="1">
      <c r="A101" s="253"/>
      <c r="C101" s="184"/>
      <c r="D101" s="274"/>
      <c r="E101" s="275"/>
      <c r="F101" s="265"/>
      <c r="G101" s="275"/>
      <c r="H101" s="266"/>
      <c r="I101" s="267"/>
      <c r="J101" s="273"/>
      <c r="K101" s="125"/>
      <c r="L101" s="125"/>
      <c r="M101" s="125"/>
      <c r="N101" s="270"/>
      <c r="O101" s="125"/>
      <c r="P101" s="125"/>
      <c r="Q101" s="271"/>
      <c r="R101" s="271"/>
      <c r="S101" s="184"/>
      <c r="T101" s="184"/>
      <c r="U101" s="184"/>
      <c r="V101" s="184"/>
      <c r="W101" s="272"/>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4">
        <v>0</v>
      </c>
    </row>
    <row r="102" s="184" customFormat="1" ht="17.25" hidden="1" customHeight="1">
      <c r="A102" s="253"/>
      <c r="C102" s="184"/>
      <c r="D102" s="274"/>
      <c r="E102" s="275"/>
      <c r="F102" s="265"/>
      <c r="G102" s="275"/>
      <c r="H102" s="266"/>
      <c r="I102" s="267"/>
      <c r="J102" s="273"/>
      <c r="K102" s="125"/>
      <c r="L102" s="271"/>
      <c r="M102" s="271"/>
      <c r="N102" s="271"/>
      <c r="O102" s="271"/>
      <c r="P102" s="271"/>
      <c r="Q102" s="271"/>
      <c r="R102" s="271"/>
      <c r="S102" s="184"/>
      <c r="T102" s="184"/>
      <c r="U102" s="184"/>
      <c r="V102" s="184"/>
      <c r="W102" s="272"/>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4">
        <v>0</v>
      </c>
    </row>
    <row r="103" s="184" customFormat="1" ht="17.25" hidden="1" customHeight="1">
      <c r="A103" s="253"/>
      <c r="C103" s="184"/>
      <c r="D103" s="274"/>
      <c r="E103" s="275"/>
      <c r="F103" s="276"/>
      <c r="G103" s="275"/>
      <c r="H103" s="277"/>
      <c r="I103" s="278"/>
      <c r="J103" s="278"/>
      <c r="K103" s="278"/>
      <c r="L103" s="278"/>
      <c r="M103" s="278"/>
      <c r="N103" s="278"/>
      <c r="O103" s="278"/>
      <c r="P103" s="278"/>
      <c r="Q103" s="278"/>
      <c r="R103" s="278"/>
      <c r="S103" s="279"/>
      <c r="T103" s="279"/>
      <c r="U103" s="279"/>
      <c r="V103" s="279"/>
      <c r="W103" s="280"/>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4">
        <v>0</v>
      </c>
    </row>
    <row r="104" s="184" customFormat="1" ht="11.25" hidden="1" customHeight="1">
      <c r="A104" s="129"/>
      <c r="B104" s="129"/>
      <c r="Y104" s="107"/>
      <c r="Z104" s="107"/>
      <c r="AA104" s="107"/>
      <c r="AB104" s="107"/>
      <c r="AC104" s="107"/>
      <c r="AD104" s="107"/>
      <c r="AE104" s="107"/>
      <c r="AF104" s="107"/>
      <c r="AG104" s="107"/>
      <c r="AH104" s="107"/>
      <c r="AI104" s="107"/>
      <c r="AJ104" s="107"/>
      <c r="AK104" s="107"/>
      <c r="AL104" s="107"/>
      <c r="AM104" s="107"/>
      <c r="AN104" s="107"/>
      <c r="AO104" s="107"/>
      <c r="AP104" s="107"/>
      <c r="AQ104" s="107"/>
      <c r="AR104" s="184">
        <v>0</v>
      </c>
    </row>
    <row r="105" s="184" customFormat="1" ht="17.25" hidden="1" customHeight="1">
      <c r="A105" s="253"/>
      <c r="C105" s="128"/>
      <c r="D105" s="254">
        <v>1</v>
      </c>
      <c r="E105" s="255" t="s">
        <v>244</v>
      </c>
      <c r="F105" s="256" t="s">
        <v>19</v>
      </c>
      <c r="G105" s="255"/>
      <c r="H105" s="257"/>
      <c r="I105" s="258"/>
      <c r="J105" s="259"/>
      <c r="K105" s="260"/>
      <c r="L105" s="260"/>
      <c r="M105" s="260"/>
      <c r="N105" s="261"/>
      <c r="O105" s="260"/>
      <c r="P105" s="260"/>
      <c r="Q105" s="260"/>
      <c r="R105" s="262"/>
      <c r="S105" s="260"/>
      <c r="T105" s="260"/>
      <c r="U105" s="260"/>
      <c r="V105" s="262"/>
      <c r="W105" s="263"/>
      <c r="Y105" s="264"/>
      <c r="Z105" s="264"/>
      <c r="AA105" s="264"/>
      <c r="AB105" s="264"/>
      <c r="AC105" s="264" t="s">
        <v>245</v>
      </c>
      <c r="AD105" s="264" t="s">
        <v>246</v>
      </c>
      <c r="AE105" s="264" t="s">
        <v>247</v>
      </c>
      <c r="AF105" s="264" t="s">
        <v>248</v>
      </c>
      <c r="AG105" s="264"/>
      <c r="AH105" s="264" t="str">
        <f>IF($E$105=0,"",$E$105)</f>
        <v xml:space="preserve">Тариф на горячую воду (горячее водоснабжение)</v>
      </c>
      <c r="AI105" s="264" t="str">
        <f>IF($G$105=0,"",$G$105)</f>
        <v/>
      </c>
      <c r="AJ105" s="264" t="str">
        <f>IF($J$105=0,"",$J$105)</f>
        <v/>
      </c>
      <c r="AK105" s="264" t="str">
        <f>IF($K$105="нет","без дифференциации",IF($N$105=0,"",$N$105))</f>
        <v/>
      </c>
      <c r="AL105" s="264" t="str">
        <f>IF($O$105="нет","без дифференциации",IF($R$105=0,"",$R$105))</f>
        <v/>
      </c>
      <c r="AM105" s="264" t="str">
        <f>IF($S$105="нет","без дифференциации",IF($V$105=0,"",$V$105))</f>
        <v/>
      </c>
      <c r="AN105" s="264">
        <f>$I$105</f>
        <v>0</v>
      </c>
      <c r="AO105" s="264" t="str">
        <f>$I$105&amp;"."&amp;$M$105</f>
        <v>.</v>
      </c>
      <c r="AP105" s="264" t="str">
        <f>$I$105&amp;"."&amp;$M$105&amp;"."&amp;$Q$105</f>
        <v>..</v>
      </c>
      <c r="AQ105" s="264" t="str">
        <f>$I$105&amp;"."&amp;$M$105&amp;"."&amp;$Q$105&amp;"."&amp;$U$105</f>
        <v>...</v>
      </c>
      <c r="AR105" s="184">
        <v>0</v>
      </c>
    </row>
    <row r="106" s="184" customFormat="1" ht="17.25" hidden="1" customHeight="1">
      <c r="A106" s="253"/>
      <c r="C106" s="184"/>
      <c r="D106" s="254"/>
      <c r="E106" s="255"/>
      <c r="F106" s="265"/>
      <c r="G106" s="255"/>
      <c r="H106" s="266"/>
      <c r="I106" s="267"/>
      <c r="J106" s="268"/>
      <c r="K106" s="125"/>
      <c r="L106" s="125"/>
      <c r="M106" s="125"/>
      <c r="N106" s="269"/>
      <c r="O106" s="125"/>
      <c r="P106" s="125"/>
      <c r="Q106" s="125"/>
      <c r="R106" s="270"/>
      <c r="S106" s="125"/>
      <c r="T106" s="271"/>
      <c r="U106" s="271"/>
      <c r="V106" s="271"/>
      <c r="W106" s="272"/>
      <c r="Y106" s="107"/>
      <c r="Z106" s="107"/>
      <c r="AA106" s="107"/>
      <c r="AB106" s="107"/>
      <c r="AC106" s="107"/>
      <c r="AD106" s="107"/>
      <c r="AE106" s="107"/>
      <c r="AF106" s="107"/>
      <c r="AG106" s="107"/>
      <c r="AH106" s="107"/>
      <c r="AI106" s="107"/>
      <c r="AJ106" s="107"/>
      <c r="AK106" s="107"/>
      <c r="AL106" s="107"/>
      <c r="AM106" s="107"/>
      <c r="AN106" s="107"/>
      <c r="AO106" s="107"/>
      <c r="AP106" s="107"/>
      <c r="AQ106" s="107"/>
      <c r="AR106" s="184">
        <v>0</v>
      </c>
    </row>
    <row r="107" s="184" customFormat="1" ht="17.25" hidden="1" customHeight="1">
      <c r="A107" s="253"/>
      <c r="C107" s="128"/>
      <c r="D107" s="254"/>
      <c r="E107" s="255"/>
      <c r="F107" s="265"/>
      <c r="G107" s="255"/>
      <c r="H107" s="266"/>
      <c r="I107" s="267"/>
      <c r="J107" s="273"/>
      <c r="K107" s="125"/>
      <c r="L107" s="125"/>
      <c r="M107" s="125"/>
      <c r="N107" s="270"/>
      <c r="O107" s="125"/>
      <c r="P107" s="125"/>
      <c r="Q107" s="271"/>
      <c r="R107" s="271"/>
      <c r="S107" s="184"/>
      <c r="T107" s="184"/>
      <c r="U107" s="184"/>
      <c r="V107" s="184"/>
      <c r="W107" s="272"/>
      <c r="Y107" s="264"/>
      <c r="Z107" s="264"/>
      <c r="AA107" s="264"/>
      <c r="AB107" s="264"/>
      <c r="AC107" s="264"/>
      <c r="AD107" s="264"/>
      <c r="AE107" s="264"/>
      <c r="AF107" s="264"/>
      <c r="AG107" s="264"/>
      <c r="AH107" s="264"/>
      <c r="AI107" s="264"/>
      <c r="AJ107" s="264"/>
      <c r="AK107" s="264"/>
      <c r="AL107" s="264"/>
      <c r="AM107" s="264"/>
      <c r="AN107" s="264"/>
      <c r="AO107" s="264"/>
      <c r="AP107" s="264"/>
      <c r="AQ107" s="264"/>
      <c r="AR107" s="184">
        <v>0</v>
      </c>
    </row>
    <row r="108" s="184" customFormat="1" ht="17.25" hidden="1" customHeight="1">
      <c r="A108" s="253"/>
      <c r="C108" s="184"/>
      <c r="D108" s="254"/>
      <c r="E108" s="255"/>
      <c r="F108" s="265"/>
      <c r="G108" s="255"/>
      <c r="H108" s="266"/>
      <c r="I108" s="267"/>
      <c r="J108" s="273"/>
      <c r="K108" s="125"/>
      <c r="L108" s="271"/>
      <c r="M108" s="271"/>
      <c r="N108" s="271"/>
      <c r="O108" s="271"/>
      <c r="P108" s="271"/>
      <c r="Q108" s="271"/>
      <c r="R108" s="271"/>
      <c r="S108" s="184"/>
      <c r="T108" s="184"/>
      <c r="U108" s="184"/>
      <c r="V108" s="184"/>
      <c r="W108" s="272"/>
      <c r="Y108" s="107"/>
      <c r="Z108" s="107"/>
      <c r="AA108" s="107"/>
      <c r="AB108" s="107"/>
      <c r="AC108" s="107"/>
      <c r="AD108" s="107"/>
      <c r="AE108" s="107"/>
      <c r="AF108" s="107"/>
      <c r="AG108" s="107"/>
      <c r="AH108" s="107"/>
      <c r="AI108" s="107"/>
      <c r="AJ108" s="107"/>
      <c r="AK108" s="107"/>
      <c r="AL108" s="107"/>
      <c r="AM108" s="107"/>
      <c r="AN108" s="107"/>
      <c r="AO108" s="107"/>
      <c r="AP108" s="107"/>
      <c r="AQ108" s="107"/>
      <c r="AR108" s="184">
        <v>0</v>
      </c>
    </row>
    <row r="109" s="184" customFormat="1" ht="17.25" hidden="1" customHeight="1">
      <c r="A109" s="253"/>
      <c r="C109" s="184"/>
      <c r="D109" s="274"/>
      <c r="E109" s="275"/>
      <c r="F109" s="276"/>
      <c r="G109" s="275"/>
      <c r="H109" s="277"/>
      <c r="I109" s="278"/>
      <c r="J109" s="278"/>
      <c r="K109" s="278"/>
      <c r="L109" s="278"/>
      <c r="M109" s="278"/>
      <c r="N109" s="278"/>
      <c r="O109" s="278"/>
      <c r="P109" s="278"/>
      <c r="Q109" s="278"/>
      <c r="R109" s="278"/>
      <c r="S109" s="279"/>
      <c r="T109" s="279"/>
      <c r="U109" s="279"/>
      <c r="V109" s="279"/>
      <c r="W109" s="280"/>
      <c r="Y109" s="107"/>
      <c r="Z109" s="107"/>
      <c r="AA109" s="107"/>
      <c r="AB109" s="107"/>
      <c r="AC109" s="107"/>
      <c r="AD109" s="107"/>
      <c r="AE109" s="107"/>
      <c r="AF109" s="107"/>
      <c r="AG109" s="107"/>
      <c r="AH109" s="107"/>
      <c r="AI109" s="107"/>
      <c r="AJ109" s="107"/>
      <c r="AK109" s="107"/>
      <c r="AL109" s="107"/>
      <c r="AM109" s="107"/>
      <c r="AN109" s="107"/>
      <c r="AO109" s="107"/>
      <c r="AP109" s="107"/>
      <c r="AQ109" s="107"/>
      <c r="AR109" s="184">
        <v>0</v>
      </c>
    </row>
    <row r="110" s="184" customFormat="1" ht="17.25" hidden="1" customHeight="1">
      <c r="A110" s="253"/>
      <c r="C110" s="128"/>
      <c r="D110" s="254">
        <v>2</v>
      </c>
      <c r="E110" s="255" t="s">
        <v>249</v>
      </c>
      <c r="F110" s="256" t="s">
        <v>19</v>
      </c>
      <c r="G110" s="255"/>
      <c r="H110" s="257"/>
      <c r="I110" s="258"/>
      <c r="J110" s="259"/>
      <c r="K110" s="260"/>
      <c r="L110" s="260"/>
      <c r="M110" s="260"/>
      <c r="N110" s="261"/>
      <c r="O110" s="260"/>
      <c r="P110" s="260"/>
      <c r="Q110" s="260"/>
      <c r="R110" s="262"/>
      <c r="S110" s="260"/>
      <c r="T110" s="260"/>
      <c r="U110" s="260"/>
      <c r="V110" s="262"/>
      <c r="W110" s="263"/>
      <c r="X110" s="264"/>
      <c r="Y110" s="264"/>
      <c r="Z110" s="264"/>
      <c r="AA110" s="264"/>
      <c r="AB110" s="264"/>
      <c r="AC110" s="264" t="s">
        <v>250</v>
      </c>
      <c r="AD110" s="264" t="s">
        <v>251</v>
      </c>
      <c r="AE110" s="264" t="s">
        <v>252</v>
      </c>
      <c r="AF110" s="264" t="s">
        <v>253</v>
      </c>
      <c r="AG110" s="264"/>
      <c r="AH110" s="264" t="str">
        <f>IF($E$110=0,"",$E$110)</f>
        <v xml:space="preserve">Тариф на транспортировку горячей воды</v>
      </c>
      <c r="AI110" s="264" t="str">
        <f>IF($G$110=0,"",$G$110)</f>
        <v/>
      </c>
      <c r="AJ110" s="264" t="str">
        <f>IF($J$110=0,"",$J$110)</f>
        <v/>
      </c>
      <c r="AK110" s="264" t="str">
        <f>IF($K$110="нет","без дифференциации",IF($N$110=0,"",$N$110))</f>
        <v/>
      </c>
      <c r="AL110" s="264" t="str">
        <f>IF($O$110="нет","без дифференциации",IF($R$110=0,"",$R$110))</f>
        <v/>
      </c>
      <c r="AM110" s="264" t="str">
        <f>IF($S$110="нет","без дифференциации",IF($V$110=0,"",$V$110))</f>
        <v/>
      </c>
      <c r="AN110" s="282">
        <f>$I$110</f>
        <v>0</v>
      </c>
      <c r="AO110" s="264" t="str">
        <f>$I$110&amp;"."&amp;$M$110</f>
        <v>.</v>
      </c>
      <c r="AP110" s="107" t="str">
        <f>$I$110&amp;"."&amp;$M$110&amp;"."&amp;$Q$110</f>
        <v>..</v>
      </c>
      <c r="AQ110" s="107" t="str">
        <f>$I$110&amp;"."&amp;$M$110&amp;"."&amp;$Q$110&amp;"."&amp;$U$110</f>
        <v>...</v>
      </c>
      <c r="AR110" s="184">
        <v>0</v>
      </c>
    </row>
    <row r="111" s="184" customFormat="1" ht="17.25" hidden="1" customHeight="1">
      <c r="A111" s="253"/>
      <c r="C111" s="184"/>
      <c r="D111" s="254"/>
      <c r="E111" s="255"/>
      <c r="F111" s="265"/>
      <c r="G111" s="255"/>
      <c r="H111" s="266"/>
      <c r="I111" s="267"/>
      <c r="J111" s="268"/>
      <c r="K111" s="125"/>
      <c r="L111" s="125"/>
      <c r="M111" s="125"/>
      <c r="N111" s="269"/>
      <c r="O111" s="125"/>
      <c r="P111" s="125"/>
      <c r="Q111" s="125"/>
      <c r="R111" s="270"/>
      <c r="S111" s="125"/>
      <c r="T111" s="271"/>
      <c r="U111" s="271"/>
      <c r="V111" s="271"/>
      <c r="W111" s="272"/>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4">
        <v>0</v>
      </c>
    </row>
    <row r="112" s="184" customFormat="1" ht="17.25" hidden="1" customHeight="1">
      <c r="A112" s="253"/>
      <c r="C112" s="184"/>
      <c r="D112" s="274"/>
      <c r="E112" s="275"/>
      <c r="F112" s="265"/>
      <c r="G112" s="275"/>
      <c r="H112" s="266"/>
      <c r="I112" s="267"/>
      <c r="J112" s="273"/>
      <c r="K112" s="125"/>
      <c r="L112" s="125"/>
      <c r="M112" s="125"/>
      <c r="N112" s="270"/>
      <c r="O112" s="125"/>
      <c r="P112" s="125"/>
      <c r="Q112" s="271"/>
      <c r="R112" s="271"/>
      <c r="S112" s="184"/>
      <c r="T112" s="184"/>
      <c r="U112" s="184"/>
      <c r="V112" s="184"/>
      <c r="W112" s="272"/>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4">
        <v>0</v>
      </c>
    </row>
    <row r="113" s="184" customFormat="1" ht="17.25" hidden="1" customHeight="1">
      <c r="A113" s="253"/>
      <c r="C113" s="184"/>
      <c r="D113" s="274"/>
      <c r="E113" s="275"/>
      <c r="F113" s="265"/>
      <c r="G113" s="275"/>
      <c r="H113" s="266"/>
      <c r="I113" s="267"/>
      <c r="J113" s="273"/>
      <c r="K113" s="125"/>
      <c r="L113" s="271"/>
      <c r="M113" s="271"/>
      <c r="N113" s="271"/>
      <c r="O113" s="271"/>
      <c r="P113" s="271"/>
      <c r="Q113" s="271"/>
      <c r="R113" s="271"/>
      <c r="S113" s="184"/>
      <c r="T113" s="184"/>
      <c r="U113" s="184"/>
      <c r="V113" s="184"/>
      <c r="W113" s="272"/>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4">
        <v>0</v>
      </c>
    </row>
    <row r="114" s="184" customFormat="1" ht="17.25" hidden="1" customHeight="1">
      <c r="A114" s="253"/>
      <c r="C114" s="184"/>
      <c r="D114" s="274"/>
      <c r="E114" s="275"/>
      <c r="F114" s="276"/>
      <c r="G114" s="275"/>
      <c r="H114" s="277"/>
      <c r="I114" s="278"/>
      <c r="J114" s="278"/>
      <c r="K114" s="278"/>
      <c r="L114" s="278"/>
      <c r="M114" s="278"/>
      <c r="N114" s="278"/>
      <c r="O114" s="278"/>
      <c r="P114" s="278"/>
      <c r="Q114" s="278"/>
      <c r="R114" s="278"/>
      <c r="S114" s="279"/>
      <c r="T114" s="279"/>
      <c r="U114" s="279"/>
      <c r="V114" s="279"/>
      <c r="W114" s="280"/>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4">
        <v>0</v>
      </c>
    </row>
    <row r="115" s="184" customFormat="1" ht="17.25" hidden="1" customHeight="1">
      <c r="A115" s="253"/>
      <c r="C115" s="128"/>
      <c r="D115" s="254">
        <v>3</v>
      </c>
      <c r="E115" s="255" t="s">
        <v>254</v>
      </c>
      <c r="F115" s="256" t="s">
        <v>19</v>
      </c>
      <c r="G115" s="255"/>
      <c r="H115" s="257"/>
      <c r="I115" s="258"/>
      <c r="J115" s="259"/>
      <c r="K115" s="260"/>
      <c r="L115" s="260"/>
      <c r="M115" s="260"/>
      <c r="N115" s="261"/>
      <c r="O115" s="260"/>
      <c r="P115" s="260"/>
      <c r="Q115" s="260"/>
      <c r="R115" s="262"/>
      <c r="S115" s="260"/>
      <c r="T115" s="260"/>
      <c r="U115" s="260"/>
      <c r="V115" s="262"/>
      <c r="W115" s="263"/>
      <c r="X115" s="264"/>
      <c r="Y115" s="264"/>
      <c r="Z115" s="264"/>
      <c r="AA115" s="264"/>
      <c r="AB115" s="264"/>
      <c r="AC115" s="264" t="s">
        <v>255</v>
      </c>
      <c r="AD115" s="264" t="s">
        <v>256</v>
      </c>
      <c r="AE115" s="264" t="s">
        <v>257</v>
      </c>
      <c r="AF115" s="264" t="s">
        <v>258</v>
      </c>
      <c r="AG115" s="264"/>
      <c r="AH115" s="264" t="str">
        <f>IF($E$115=0,"",$E$115)</f>
        <v xml:space="preserve">Тариф на подключение (технологическое присоединение) к централизованной системе горячего водоснабжения</v>
      </c>
      <c r="AI115" s="264" t="str">
        <f>IF($G$115=0,"",$G$115)</f>
        <v/>
      </c>
      <c r="AJ115" s="264" t="str">
        <f>IF($J$115=0,"",$J$115)</f>
        <v/>
      </c>
      <c r="AK115" s="264" t="str">
        <f>IF($K$115="нет","без дифференциации",IF($N$115=0,"",$N$115))</f>
        <v/>
      </c>
      <c r="AL115" s="264" t="str">
        <f>IF($O$115="нет","без дифференциации",IF($R$115=0,"",$R$115))</f>
        <v/>
      </c>
      <c r="AM115" s="264" t="str">
        <f>IF($S$115="нет","без дифференциации",IF($V$115=0,"",$V$115))</f>
        <v/>
      </c>
      <c r="AN115" s="282">
        <f>$I$115</f>
        <v>0</v>
      </c>
      <c r="AO115" s="264" t="str">
        <f>$I$115&amp;"."&amp;$M$115</f>
        <v>.</v>
      </c>
      <c r="AP115" s="107" t="str">
        <f>$I$115&amp;"."&amp;$M$115&amp;"."&amp;$Q$115</f>
        <v>..</v>
      </c>
      <c r="AQ115" s="107" t="str">
        <f>$I$115&amp;"."&amp;$M$115&amp;"."&amp;$Q$115&amp;"."&amp;$U$115</f>
        <v>...</v>
      </c>
      <c r="AR115" s="184">
        <v>0</v>
      </c>
    </row>
    <row r="116" s="184" customFormat="1" ht="17.25" hidden="1" customHeight="1">
      <c r="A116" s="253"/>
      <c r="C116" s="184"/>
      <c r="D116" s="254"/>
      <c r="E116" s="255"/>
      <c r="F116" s="265"/>
      <c r="G116" s="255"/>
      <c r="H116" s="266"/>
      <c r="I116" s="267"/>
      <c r="J116" s="268"/>
      <c r="K116" s="125"/>
      <c r="L116" s="125"/>
      <c r="M116" s="125"/>
      <c r="N116" s="269"/>
      <c r="O116" s="125"/>
      <c r="P116" s="125"/>
      <c r="Q116" s="125"/>
      <c r="R116" s="270"/>
      <c r="S116" s="125"/>
      <c r="T116" s="271"/>
      <c r="U116" s="271"/>
      <c r="V116" s="271"/>
      <c r="W116" s="272"/>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4">
        <v>0</v>
      </c>
    </row>
    <row r="117" s="184" customFormat="1" ht="17.25" hidden="1" customHeight="1">
      <c r="A117" s="253"/>
      <c r="C117" s="184"/>
      <c r="D117" s="274"/>
      <c r="E117" s="275"/>
      <c r="F117" s="265"/>
      <c r="G117" s="275"/>
      <c r="H117" s="266"/>
      <c r="I117" s="267"/>
      <c r="J117" s="273"/>
      <c r="K117" s="125"/>
      <c r="L117" s="125"/>
      <c r="M117" s="125"/>
      <c r="N117" s="270"/>
      <c r="O117" s="125"/>
      <c r="P117" s="125"/>
      <c r="Q117" s="271"/>
      <c r="R117" s="271"/>
      <c r="S117" s="184"/>
      <c r="T117" s="184"/>
      <c r="U117" s="184"/>
      <c r="V117" s="184"/>
      <c r="W117" s="272"/>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4">
        <v>0</v>
      </c>
    </row>
    <row r="118" s="184" customFormat="1" ht="17.25" hidden="1" customHeight="1">
      <c r="A118" s="253"/>
      <c r="C118" s="184"/>
      <c r="D118" s="274"/>
      <c r="E118" s="275"/>
      <c r="F118" s="265"/>
      <c r="G118" s="275"/>
      <c r="H118" s="266"/>
      <c r="I118" s="267"/>
      <c r="J118" s="273"/>
      <c r="K118" s="125"/>
      <c r="L118" s="271"/>
      <c r="M118" s="271"/>
      <c r="N118" s="271"/>
      <c r="O118" s="271"/>
      <c r="P118" s="271"/>
      <c r="Q118" s="271"/>
      <c r="R118" s="271"/>
      <c r="S118" s="184"/>
      <c r="T118" s="184"/>
      <c r="U118" s="184"/>
      <c r="V118" s="184"/>
      <c r="W118" s="272"/>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4">
        <v>0</v>
      </c>
    </row>
    <row r="119" s="184" customFormat="1" ht="17.25" hidden="1" customHeight="1">
      <c r="A119" s="253"/>
      <c r="C119" s="184"/>
      <c r="D119" s="274"/>
      <c r="E119" s="275"/>
      <c r="F119" s="276"/>
      <c r="G119" s="275"/>
      <c r="H119" s="277"/>
      <c r="I119" s="278"/>
      <c r="J119" s="278"/>
      <c r="K119" s="278"/>
      <c r="L119" s="278"/>
      <c r="M119" s="278"/>
      <c r="N119" s="278"/>
      <c r="O119" s="278"/>
      <c r="P119" s="278"/>
      <c r="Q119" s="278"/>
      <c r="R119" s="278"/>
      <c r="S119" s="279"/>
      <c r="T119" s="279"/>
      <c r="U119" s="279"/>
      <c r="V119" s="279"/>
      <c r="W119" s="280"/>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4">
        <v>0</v>
      </c>
    </row>
    <row r="120" s="184" customFormat="1" ht="11.25" hidden="1" customHeight="1">
      <c r="A120" s="129"/>
      <c r="B120" s="129"/>
      <c r="Y120" s="107"/>
      <c r="Z120" s="107"/>
      <c r="AA120" s="107"/>
      <c r="AB120" s="107"/>
      <c r="AC120" s="107"/>
      <c r="AD120" s="107"/>
      <c r="AE120" s="107"/>
      <c r="AF120" s="107"/>
      <c r="AG120" s="107"/>
      <c r="AH120" s="107"/>
      <c r="AI120" s="107"/>
      <c r="AJ120" s="107"/>
      <c r="AK120" s="107"/>
      <c r="AL120" s="107"/>
      <c r="AM120" s="107"/>
      <c r="AN120" s="107"/>
      <c r="AO120" s="107"/>
      <c r="AP120" s="107"/>
      <c r="AQ120" s="107"/>
      <c r="AR120" s="184">
        <v>0</v>
      </c>
    </row>
    <row r="121" s="184" customFormat="1" ht="17.25" hidden="1" customHeight="1">
      <c r="A121" s="253"/>
      <c r="C121" s="128"/>
      <c r="D121" s="254">
        <v>1</v>
      </c>
      <c r="E121" s="255" t="s">
        <v>259</v>
      </c>
      <c r="F121" s="256" t="s">
        <v>19</v>
      </c>
      <c r="G121" s="255"/>
      <c r="H121" s="257"/>
      <c r="I121" s="258"/>
      <c r="J121" s="259"/>
      <c r="K121" s="260"/>
      <c r="L121" s="260"/>
      <c r="M121" s="260"/>
      <c r="N121" s="261"/>
      <c r="O121" s="260"/>
      <c r="P121" s="260"/>
      <c r="Q121" s="260"/>
      <c r="R121" s="262"/>
      <c r="S121" s="260"/>
      <c r="T121" s="260"/>
      <c r="U121" s="260"/>
      <c r="V121" s="262"/>
      <c r="W121" s="263"/>
      <c r="Y121" s="264"/>
      <c r="Z121" s="264"/>
      <c r="AA121" s="264"/>
      <c r="AB121" s="264"/>
      <c r="AC121" s="264" t="s">
        <v>260</v>
      </c>
      <c r="AD121" s="264" t="s">
        <v>261</v>
      </c>
      <c r="AE121" s="264" t="s">
        <v>262</v>
      </c>
      <c r="AF121" s="264" t="s">
        <v>263</v>
      </c>
      <c r="AG121" s="264"/>
      <c r="AH121" s="264" t="str">
        <f>IF($E$121=0,"",$E$121)</f>
        <v xml:space="preserve">Тариф на водоотведение</v>
      </c>
      <c r="AI121" s="264" t="str">
        <f>IF($G$121=0,"",$G$121)</f>
        <v/>
      </c>
      <c r="AJ121" s="264" t="str">
        <f>IF($J$121=0,"",$J$121)</f>
        <v/>
      </c>
      <c r="AK121" s="264" t="str">
        <f>IF($K$121="нет","без дифференциации",IF($N$121=0,"",$N$121))</f>
        <v/>
      </c>
      <c r="AL121" s="264" t="str">
        <f>IF($O$121="нет","без дифференциации",IF($R$121=0,"",$R$121))</f>
        <v/>
      </c>
      <c r="AM121" s="264" t="str">
        <f>IF($S$121="нет","без дифференциации",IF($V$121=0,"",$V$121))</f>
        <v/>
      </c>
      <c r="AN121" s="264">
        <f>$I$121</f>
        <v>0</v>
      </c>
      <c r="AO121" s="264" t="str">
        <f>$I$121&amp;"."&amp;$M$121</f>
        <v>.</v>
      </c>
      <c r="AP121" s="264" t="str">
        <f>$I$121&amp;"."&amp;$M$121&amp;"."&amp;$Q$121</f>
        <v>..</v>
      </c>
      <c r="AQ121" s="264" t="str">
        <f>$I$121&amp;"."&amp;$M$121&amp;"."&amp;$Q$121&amp;"."&amp;$U$121</f>
        <v>...</v>
      </c>
      <c r="AR121" s="184">
        <v>0</v>
      </c>
    </row>
    <row r="122" s="184" customFormat="1" ht="17.25" hidden="1" customHeight="1">
      <c r="A122" s="253"/>
      <c r="C122" s="184"/>
      <c r="D122" s="254"/>
      <c r="E122" s="255"/>
      <c r="F122" s="265"/>
      <c r="G122" s="255"/>
      <c r="H122" s="266"/>
      <c r="I122" s="267"/>
      <c r="J122" s="268"/>
      <c r="K122" s="125"/>
      <c r="L122" s="125"/>
      <c r="M122" s="125"/>
      <c r="N122" s="269"/>
      <c r="O122" s="125"/>
      <c r="P122" s="125"/>
      <c r="Q122" s="125"/>
      <c r="R122" s="270"/>
      <c r="S122" s="125"/>
      <c r="T122" s="271"/>
      <c r="U122" s="271"/>
      <c r="V122" s="271"/>
      <c r="W122" s="272"/>
      <c r="Y122" s="107"/>
      <c r="Z122" s="107"/>
      <c r="AA122" s="107"/>
      <c r="AB122" s="107"/>
      <c r="AC122" s="107"/>
      <c r="AD122" s="107"/>
      <c r="AE122" s="107"/>
      <c r="AF122" s="107"/>
      <c r="AG122" s="107"/>
      <c r="AH122" s="107"/>
      <c r="AI122" s="107"/>
      <c r="AJ122" s="107"/>
      <c r="AK122" s="107"/>
      <c r="AL122" s="107"/>
      <c r="AM122" s="107"/>
      <c r="AN122" s="107"/>
      <c r="AO122" s="107"/>
      <c r="AP122" s="107"/>
      <c r="AQ122" s="107"/>
      <c r="AR122" s="184">
        <v>0</v>
      </c>
    </row>
    <row r="123" s="184" customFormat="1" ht="17.25" hidden="1" customHeight="1">
      <c r="A123" s="253"/>
      <c r="C123" s="128"/>
      <c r="D123" s="254"/>
      <c r="E123" s="255"/>
      <c r="F123" s="265"/>
      <c r="G123" s="255"/>
      <c r="H123" s="266"/>
      <c r="I123" s="267"/>
      <c r="J123" s="273"/>
      <c r="K123" s="125"/>
      <c r="L123" s="125"/>
      <c r="M123" s="125"/>
      <c r="N123" s="270"/>
      <c r="O123" s="125"/>
      <c r="P123" s="125"/>
      <c r="Q123" s="271"/>
      <c r="R123" s="271"/>
      <c r="S123" s="184"/>
      <c r="T123" s="184"/>
      <c r="U123" s="184"/>
      <c r="V123" s="184"/>
      <c r="W123" s="272"/>
      <c r="Y123" s="264"/>
      <c r="Z123" s="264"/>
      <c r="AA123" s="264"/>
      <c r="AB123" s="264"/>
      <c r="AC123" s="264"/>
      <c r="AD123" s="264"/>
      <c r="AE123" s="264"/>
      <c r="AF123" s="264"/>
      <c r="AG123" s="264"/>
      <c r="AH123" s="264"/>
      <c r="AI123" s="264"/>
      <c r="AJ123" s="264"/>
      <c r="AK123" s="264"/>
      <c r="AL123" s="264"/>
      <c r="AM123" s="264"/>
      <c r="AN123" s="264"/>
      <c r="AO123" s="264"/>
      <c r="AP123" s="264"/>
      <c r="AQ123" s="264"/>
      <c r="AR123" s="184">
        <v>0</v>
      </c>
    </row>
    <row r="124" s="184" customFormat="1" ht="17.25" hidden="1" customHeight="1">
      <c r="A124" s="253"/>
      <c r="C124" s="184"/>
      <c r="D124" s="254"/>
      <c r="E124" s="255"/>
      <c r="F124" s="265"/>
      <c r="G124" s="255"/>
      <c r="H124" s="266"/>
      <c r="I124" s="267"/>
      <c r="J124" s="273"/>
      <c r="K124" s="125"/>
      <c r="L124" s="271"/>
      <c r="M124" s="271"/>
      <c r="N124" s="271"/>
      <c r="O124" s="271"/>
      <c r="P124" s="271"/>
      <c r="Q124" s="271"/>
      <c r="R124" s="271"/>
      <c r="S124" s="184"/>
      <c r="T124" s="184"/>
      <c r="U124" s="184"/>
      <c r="V124" s="184"/>
      <c r="W124" s="272"/>
      <c r="Y124" s="107"/>
      <c r="Z124" s="107"/>
      <c r="AA124" s="107"/>
      <c r="AB124" s="107"/>
      <c r="AC124" s="107"/>
      <c r="AD124" s="107"/>
      <c r="AE124" s="107"/>
      <c r="AF124" s="107"/>
      <c r="AG124" s="107"/>
      <c r="AH124" s="107"/>
      <c r="AI124" s="107"/>
      <c r="AJ124" s="107"/>
      <c r="AK124" s="107"/>
      <c r="AL124" s="107"/>
      <c r="AM124" s="107"/>
      <c r="AN124" s="107"/>
      <c r="AO124" s="107"/>
      <c r="AP124" s="107"/>
      <c r="AQ124" s="107"/>
      <c r="AR124" s="184">
        <v>0</v>
      </c>
    </row>
    <row r="125" s="184" customFormat="1" ht="17.25" hidden="1" customHeight="1">
      <c r="A125" s="253"/>
      <c r="C125" s="184"/>
      <c r="D125" s="274"/>
      <c r="E125" s="275"/>
      <c r="F125" s="276"/>
      <c r="G125" s="275"/>
      <c r="H125" s="277"/>
      <c r="I125" s="278"/>
      <c r="J125" s="278"/>
      <c r="K125" s="278"/>
      <c r="L125" s="278"/>
      <c r="M125" s="278"/>
      <c r="N125" s="278"/>
      <c r="O125" s="278"/>
      <c r="P125" s="278"/>
      <c r="Q125" s="278"/>
      <c r="R125" s="278"/>
      <c r="S125" s="279"/>
      <c r="T125" s="279"/>
      <c r="U125" s="279"/>
      <c r="V125" s="279"/>
      <c r="W125" s="280"/>
      <c r="Y125" s="107"/>
      <c r="Z125" s="107"/>
      <c r="AA125" s="107"/>
      <c r="AB125" s="107"/>
      <c r="AC125" s="107"/>
      <c r="AD125" s="107"/>
      <c r="AE125" s="107"/>
      <c r="AF125" s="107"/>
      <c r="AG125" s="107"/>
      <c r="AH125" s="107"/>
      <c r="AI125" s="107"/>
      <c r="AJ125" s="107"/>
      <c r="AK125" s="107"/>
      <c r="AL125" s="107"/>
      <c r="AM125" s="107"/>
      <c r="AN125" s="107"/>
      <c r="AO125" s="107"/>
      <c r="AP125" s="107"/>
      <c r="AQ125" s="107"/>
      <c r="AR125" s="184">
        <v>0</v>
      </c>
    </row>
    <row r="126" s="184" customFormat="1" ht="17.25" hidden="1" customHeight="1">
      <c r="A126" s="253"/>
      <c r="C126" s="128"/>
      <c r="D126" s="254">
        <v>2</v>
      </c>
      <c r="E126" s="255" t="s">
        <v>264</v>
      </c>
      <c r="F126" s="256" t="s">
        <v>19</v>
      </c>
      <c r="G126" s="255"/>
      <c r="H126" s="257"/>
      <c r="I126" s="258"/>
      <c r="J126" s="259"/>
      <c r="K126" s="260"/>
      <c r="L126" s="260"/>
      <c r="M126" s="260"/>
      <c r="N126" s="261"/>
      <c r="O126" s="260"/>
      <c r="P126" s="260"/>
      <c r="Q126" s="260"/>
      <c r="R126" s="262"/>
      <c r="S126" s="260"/>
      <c r="T126" s="260"/>
      <c r="U126" s="260"/>
      <c r="V126" s="262"/>
      <c r="W126" s="263"/>
      <c r="X126" s="264"/>
      <c r="Y126" s="264"/>
      <c r="Z126" s="264"/>
      <c r="AA126" s="264"/>
      <c r="AB126" s="264"/>
      <c r="AC126" s="264" t="s">
        <v>265</v>
      </c>
      <c r="AD126" s="264" t="s">
        <v>266</v>
      </c>
      <c r="AE126" s="264" t="s">
        <v>267</v>
      </c>
      <c r="AF126" s="264" t="s">
        <v>268</v>
      </c>
      <c r="AG126" s="264"/>
      <c r="AH126" s="264" t="str">
        <f>IF($E$126=0,"",$E$126)</f>
        <v xml:space="preserve">Тариф на транспортировку сточных вод</v>
      </c>
      <c r="AI126" s="264" t="str">
        <f>IF($G$126=0,"",$G$126)</f>
        <v/>
      </c>
      <c r="AJ126" s="264" t="str">
        <f>IF($J$126=0,"",$J$126)</f>
        <v/>
      </c>
      <c r="AK126" s="264" t="str">
        <f>IF($K$126="нет","без дифференциации",IF($N$126=0,"",$N$126))</f>
        <v/>
      </c>
      <c r="AL126" s="264" t="str">
        <f>IF($O$126="нет","без дифференциации",IF($R$126=0,"",$R$126))</f>
        <v/>
      </c>
      <c r="AM126" s="264" t="str">
        <f>IF($S$126="нет","без дифференциации",IF($V$126=0,"",$V$126))</f>
        <v/>
      </c>
      <c r="AN126" s="282">
        <f>$I$126</f>
        <v>0</v>
      </c>
      <c r="AO126" s="264" t="str">
        <f>$I$126&amp;"."&amp;$M$126</f>
        <v>.</v>
      </c>
      <c r="AP126" s="107" t="str">
        <f>$I$126&amp;"."&amp;$M$126&amp;"."&amp;$Q$126</f>
        <v>..</v>
      </c>
      <c r="AQ126" s="107" t="str">
        <f>$I$126&amp;"."&amp;$M$126&amp;"."&amp;$Q$126&amp;"."&amp;$U$126</f>
        <v>...</v>
      </c>
      <c r="AR126" s="184">
        <v>0</v>
      </c>
    </row>
    <row r="127" s="184" customFormat="1" ht="17.25" hidden="1" customHeight="1">
      <c r="A127" s="253"/>
      <c r="C127" s="184"/>
      <c r="D127" s="254"/>
      <c r="E127" s="255"/>
      <c r="F127" s="265"/>
      <c r="G127" s="255"/>
      <c r="H127" s="266"/>
      <c r="I127" s="267"/>
      <c r="J127" s="268"/>
      <c r="K127" s="125"/>
      <c r="L127" s="125"/>
      <c r="M127" s="125"/>
      <c r="N127" s="269"/>
      <c r="O127" s="125"/>
      <c r="P127" s="125"/>
      <c r="Q127" s="125"/>
      <c r="R127" s="270"/>
      <c r="S127" s="125"/>
      <c r="T127" s="271"/>
      <c r="U127" s="271"/>
      <c r="V127" s="271"/>
      <c r="W127" s="272"/>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4">
        <v>0</v>
      </c>
    </row>
    <row r="128" s="184" customFormat="1" ht="17.25" hidden="1" customHeight="1">
      <c r="A128" s="253"/>
      <c r="C128" s="184"/>
      <c r="D128" s="274"/>
      <c r="E128" s="275"/>
      <c r="F128" s="265"/>
      <c r="G128" s="275"/>
      <c r="H128" s="266"/>
      <c r="I128" s="267"/>
      <c r="J128" s="273"/>
      <c r="K128" s="125"/>
      <c r="L128" s="125"/>
      <c r="M128" s="125"/>
      <c r="N128" s="270"/>
      <c r="O128" s="125"/>
      <c r="P128" s="125"/>
      <c r="Q128" s="271"/>
      <c r="R128" s="271"/>
      <c r="S128" s="184"/>
      <c r="T128" s="184"/>
      <c r="U128" s="184"/>
      <c r="V128" s="184"/>
      <c r="W128" s="272"/>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4">
        <v>0</v>
      </c>
    </row>
    <row r="129" s="184" customFormat="1" ht="17.25" hidden="1" customHeight="1">
      <c r="A129" s="253"/>
      <c r="C129" s="184"/>
      <c r="D129" s="274"/>
      <c r="E129" s="275"/>
      <c r="F129" s="265"/>
      <c r="G129" s="275"/>
      <c r="H129" s="266"/>
      <c r="I129" s="267"/>
      <c r="J129" s="273"/>
      <c r="K129" s="125"/>
      <c r="L129" s="271"/>
      <c r="M129" s="271"/>
      <c r="N129" s="271"/>
      <c r="O129" s="271"/>
      <c r="P129" s="271"/>
      <c r="Q129" s="271"/>
      <c r="R129" s="271"/>
      <c r="S129" s="184"/>
      <c r="T129" s="184"/>
      <c r="U129" s="184"/>
      <c r="V129" s="184"/>
      <c r="W129" s="272"/>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4">
        <v>0</v>
      </c>
    </row>
    <row r="130" s="184" customFormat="1" ht="17.25" hidden="1" customHeight="1">
      <c r="A130" s="253"/>
      <c r="C130" s="184"/>
      <c r="D130" s="274"/>
      <c r="E130" s="275"/>
      <c r="F130" s="276"/>
      <c r="G130" s="275"/>
      <c r="H130" s="277"/>
      <c r="I130" s="278"/>
      <c r="J130" s="278"/>
      <c r="K130" s="278"/>
      <c r="L130" s="278"/>
      <c r="M130" s="278"/>
      <c r="N130" s="278"/>
      <c r="O130" s="278"/>
      <c r="P130" s="278"/>
      <c r="Q130" s="278"/>
      <c r="R130" s="278"/>
      <c r="S130" s="279"/>
      <c r="T130" s="279"/>
      <c r="U130" s="279"/>
      <c r="V130" s="279"/>
      <c r="W130" s="280"/>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4">
        <v>0</v>
      </c>
    </row>
    <row r="131" s="184" customFormat="1" ht="17.25" hidden="1" customHeight="1">
      <c r="A131" s="253"/>
      <c r="C131" s="128"/>
      <c r="D131" s="254">
        <v>3</v>
      </c>
      <c r="E131" s="255" t="s">
        <v>269</v>
      </c>
      <c r="F131" s="256" t="s">
        <v>19</v>
      </c>
      <c r="G131" s="255"/>
      <c r="H131" s="257"/>
      <c r="I131" s="258"/>
      <c r="J131" s="259"/>
      <c r="K131" s="260"/>
      <c r="L131" s="260"/>
      <c r="M131" s="260"/>
      <c r="N131" s="261"/>
      <c r="O131" s="260"/>
      <c r="P131" s="260"/>
      <c r="Q131" s="260"/>
      <c r="R131" s="262"/>
      <c r="S131" s="260"/>
      <c r="T131" s="260"/>
      <c r="U131" s="260"/>
      <c r="V131" s="262"/>
      <c r="W131" s="263"/>
      <c r="X131" s="264"/>
      <c r="Y131" s="264"/>
      <c r="Z131" s="264"/>
      <c r="AA131" s="264"/>
      <c r="AB131" s="264"/>
      <c r="AC131" s="264" t="s">
        <v>270</v>
      </c>
      <c r="AD131" s="264" t="s">
        <v>271</v>
      </c>
      <c r="AE131" s="264" t="s">
        <v>272</v>
      </c>
      <c r="AF131" s="264" t="s">
        <v>273</v>
      </c>
      <c r="AG131" s="264"/>
      <c r="AH131" s="264" t="str">
        <f>IF($E$131=0,"",$E$131)</f>
        <v xml:space="preserve">Тариф на подключение (технологическое присоединение) к централизованной системе водоотведения</v>
      </c>
      <c r="AI131" s="264" t="str">
        <f>IF($G$131=0,"",$G$131)</f>
        <v/>
      </c>
      <c r="AJ131" s="264" t="str">
        <f>IF($J$131=0,"",$J$131)</f>
        <v/>
      </c>
      <c r="AK131" s="264" t="str">
        <f>IF($K$131="нет","без дифференциации",IF($N$131=0,"",$N$131))</f>
        <v/>
      </c>
      <c r="AL131" s="264" t="str">
        <f>IF($O$131="нет","без дифференциации",IF($R$131=0,"",$R$131))</f>
        <v/>
      </c>
      <c r="AM131" s="264" t="str">
        <f>IF($S$131="нет","без дифференциации",IF($V$131=0,"",$V$131))</f>
        <v/>
      </c>
      <c r="AN131" s="282">
        <f>$I$131</f>
        <v>0</v>
      </c>
      <c r="AO131" s="264" t="str">
        <f>$I$131&amp;"."&amp;$M$131</f>
        <v>.</v>
      </c>
      <c r="AP131" s="107" t="str">
        <f>$I$131&amp;"."&amp;$M$131&amp;"."&amp;$Q$131</f>
        <v>..</v>
      </c>
      <c r="AQ131" s="107" t="str">
        <f>$I$131&amp;"."&amp;$M$131&amp;"."&amp;$Q$131&amp;"."&amp;$U$131</f>
        <v>...</v>
      </c>
      <c r="AR131" s="184">
        <v>0</v>
      </c>
    </row>
    <row r="132" s="184" customFormat="1" ht="17.25" hidden="1" customHeight="1">
      <c r="A132" s="253"/>
      <c r="C132" s="184"/>
      <c r="D132" s="254"/>
      <c r="E132" s="255"/>
      <c r="F132" s="265"/>
      <c r="G132" s="255"/>
      <c r="H132" s="266"/>
      <c r="I132" s="267"/>
      <c r="J132" s="268"/>
      <c r="K132" s="125"/>
      <c r="L132" s="125"/>
      <c r="M132" s="125"/>
      <c r="N132" s="269"/>
      <c r="O132" s="125"/>
      <c r="P132" s="125"/>
      <c r="Q132" s="125"/>
      <c r="R132" s="270"/>
      <c r="S132" s="125"/>
      <c r="T132" s="271"/>
      <c r="U132" s="271"/>
      <c r="V132" s="271"/>
      <c r="W132" s="272"/>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4">
        <v>0</v>
      </c>
    </row>
    <row r="133" s="184" customFormat="1" ht="17.25" hidden="1" customHeight="1">
      <c r="A133" s="253"/>
      <c r="C133" s="184"/>
      <c r="D133" s="274"/>
      <c r="E133" s="275"/>
      <c r="F133" s="265"/>
      <c r="G133" s="275"/>
      <c r="H133" s="266"/>
      <c r="I133" s="267"/>
      <c r="J133" s="273"/>
      <c r="K133" s="125"/>
      <c r="L133" s="125"/>
      <c r="M133" s="125"/>
      <c r="N133" s="270"/>
      <c r="O133" s="125"/>
      <c r="P133" s="125"/>
      <c r="Q133" s="271"/>
      <c r="R133" s="271"/>
      <c r="S133" s="184"/>
      <c r="T133" s="184"/>
      <c r="U133" s="184"/>
      <c r="V133" s="184"/>
      <c r="W133" s="272"/>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4">
        <v>0</v>
      </c>
    </row>
    <row r="134" s="184" customFormat="1" ht="17.25" hidden="1" customHeight="1">
      <c r="A134" s="253"/>
      <c r="C134" s="184"/>
      <c r="D134" s="274"/>
      <c r="E134" s="275"/>
      <c r="F134" s="265"/>
      <c r="G134" s="275"/>
      <c r="H134" s="266"/>
      <c r="I134" s="267"/>
      <c r="J134" s="273"/>
      <c r="K134" s="125"/>
      <c r="L134" s="271"/>
      <c r="M134" s="271"/>
      <c r="N134" s="271"/>
      <c r="O134" s="271"/>
      <c r="P134" s="271"/>
      <c r="Q134" s="271"/>
      <c r="R134" s="271"/>
      <c r="S134" s="184"/>
      <c r="T134" s="184"/>
      <c r="U134" s="184"/>
      <c r="V134" s="184"/>
      <c r="W134" s="272"/>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4">
        <v>0</v>
      </c>
    </row>
    <row r="135" s="184" customFormat="1" ht="17.25" hidden="1" customHeight="1">
      <c r="A135" s="253"/>
      <c r="C135" s="184"/>
      <c r="D135" s="274"/>
      <c r="E135" s="275"/>
      <c r="F135" s="276"/>
      <c r="G135" s="275"/>
      <c r="H135" s="277"/>
      <c r="I135" s="278"/>
      <c r="J135" s="278"/>
      <c r="K135" s="278"/>
      <c r="L135" s="278"/>
      <c r="M135" s="278"/>
      <c r="N135" s="278"/>
      <c r="O135" s="278"/>
      <c r="P135" s="278"/>
      <c r="Q135" s="278"/>
      <c r="R135" s="278"/>
      <c r="S135" s="279"/>
      <c r="T135" s="279"/>
      <c r="U135" s="279"/>
      <c r="V135" s="279"/>
      <c r="W135" s="280"/>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4">
        <v>0</v>
      </c>
    </row>
    <row r="136" ht="11.5" customHeight="1">
      <c r="AR136" s="184">
        <v>11</v>
      </c>
    </row>
    <row r="137" ht="11.5" customHeight="1">
      <c r="AR137" s="184">
        <v>11</v>
      </c>
    </row>
    <row r="138" ht="11.5" customHeight="1">
      <c r="AR138" s="184">
        <v>11</v>
      </c>
    </row>
    <row r="139" ht="11.5" customHeight="1">
      <c r="E139" s="184"/>
      <c r="AR139" s="184">
        <v>11</v>
      </c>
    </row>
    <row r="140" ht="11.5" customHeight="1">
      <c r="E140" s="184"/>
      <c r="AR140" s="184">
        <v>11</v>
      </c>
    </row>
    <row r="141" ht="11.5" customHeight="1">
      <c r="E141" s="184"/>
      <c r="AR141" s="184">
        <v>11</v>
      </c>
    </row>
    <row r="142" ht="11.5" customHeight="1">
      <c r="E142" s="184"/>
      <c r="AR142" s="184">
        <v>11</v>
      </c>
    </row>
    <row r="143" ht="11.5" customHeight="1">
      <c r="E143" s="184"/>
      <c r="AR143" s="184">
        <v>11</v>
      </c>
    </row>
    <row r="144" ht="11.5" customHeight="1">
      <c r="E144" s="184"/>
      <c r="AR144" s="184">
        <v>11</v>
      </c>
    </row>
    <row r="145" ht="11.5" customHeight="1">
      <c r="E145" s="184"/>
      <c r="AR145" s="184">
        <v>11</v>
      </c>
    </row>
    <row r="146" ht="11.25" hidden="1" customHeight="1">
      <c r="A146" s="129" t="s">
        <v>82</v>
      </c>
      <c r="B146" s="129">
        <v>0</v>
      </c>
      <c r="C146" s="184">
        <v>3</v>
      </c>
      <c r="D146" s="184">
        <v>6</v>
      </c>
      <c r="E146" s="184">
        <v>42</v>
      </c>
      <c r="F146" s="184">
        <v>14</v>
      </c>
      <c r="G146" s="184">
        <v>42</v>
      </c>
      <c r="H146" s="184">
        <v>3</v>
      </c>
      <c r="I146" s="184">
        <v>5</v>
      </c>
      <c r="J146" s="184">
        <v>47</v>
      </c>
      <c r="K146" s="184">
        <v>3</v>
      </c>
      <c r="L146" s="184">
        <v>3</v>
      </c>
      <c r="M146" s="184">
        <v>5</v>
      </c>
      <c r="N146" s="184">
        <v>28</v>
      </c>
      <c r="O146" s="184">
        <v>3</v>
      </c>
      <c r="P146" s="184">
        <v>3</v>
      </c>
      <c r="Q146" s="184">
        <v>5</v>
      </c>
      <c r="R146" s="184">
        <v>34</v>
      </c>
      <c r="S146" s="184">
        <v>0</v>
      </c>
      <c r="T146" s="184">
        <v>0</v>
      </c>
      <c r="U146" s="184">
        <v>0</v>
      </c>
      <c r="V146" s="184">
        <v>0</v>
      </c>
      <c r="W146" s="184">
        <v>30</v>
      </c>
      <c r="X146" s="184">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4">
        <v>11</v>
      </c>
    </row>
  </sheetData>
  <sheetProtection autoFilter="0" deleteColumns="1" deleteRows="1" formatCells="1" formatColumns="0" formatRows="0" insertColumns="1" insertHyperlinks="1" insertRows="1" objects="0" pivotTables="1" scenarios="0" selectLockedCells="0" selectUnlockedCells="0" sheet="1" sort="1"/>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2" disablePrompts="0">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D0008-006F-4CDB-BEAB-002500DB0017}"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CA0047-0068-4076-8944-00960060004A}"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2300F8-0024-4919-AD50-001A005300CE}"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0" customFormat="1" ht="15" hidden="1" customHeight="1">
      <c r="A2" s="56"/>
      <c r="C2" s="149"/>
      <c r="D2" s="125"/>
      <c r="E2" s="268"/>
      <c r="F2" s="51"/>
      <c r="G2" s="142"/>
      <c r="H2" s="142"/>
      <c r="I2" s="142"/>
      <c r="J2" s="142"/>
      <c r="U2" s="115"/>
      <c r="V2" s="50">
        <v>0</v>
      </c>
    </row>
    <row r="3" s="53" customFormat="1" ht="15" hidden="1" customHeight="1">
      <c r="C3" s="114"/>
      <c r="U3" s="166"/>
      <c r="V3" s="53">
        <v>0</v>
      </c>
    </row>
    <row r="4" ht="15.75" customHeight="1">
      <c r="C4" s="149"/>
      <c r="D4" s="50"/>
      <c r="E4" s="50"/>
      <c r="F4" s="50"/>
      <c r="G4" s="50"/>
      <c r="H4" s="50"/>
      <c r="I4" s="50"/>
      <c r="J4" s="50"/>
      <c r="V4" s="50">
        <v>15</v>
      </c>
    </row>
    <row r="5" ht="66" customHeight="1">
      <c r="C5" s="149"/>
      <c r="D5" s="452" t="s">
        <v>1201</v>
      </c>
      <c r="E5" s="452"/>
      <c r="F5" s="452"/>
      <c r="G5" s="452"/>
      <c r="H5" s="452"/>
      <c r="I5" s="452"/>
      <c r="J5" s="452"/>
      <c r="V5" s="50">
        <v>63</v>
      </c>
    </row>
    <row r="6" ht="15.75" customHeight="1">
      <c r="C6" s="149"/>
      <c r="D6" s="303" t="str">
        <f>IF(org=0,"Не определено",org)</f>
        <v xml:space="preserve">АО "ДГК" СП "Биробиджанская ТЭЦ"</v>
      </c>
      <c r="E6" s="303"/>
      <c r="F6" s="303"/>
      <c r="G6" s="303"/>
      <c r="H6" s="303"/>
      <c r="I6" s="303"/>
      <c r="J6" s="303"/>
      <c r="K6" s="53"/>
      <c r="V6" s="50">
        <v>15</v>
      </c>
    </row>
    <row r="7" ht="15.75" customHeight="1">
      <c r="C7" s="149"/>
      <c r="D7" s="341"/>
      <c r="E7" s="50"/>
      <c r="F7" s="50"/>
      <c r="G7" s="53">
        <v>22</v>
      </c>
      <c r="I7" s="53">
        <v>1</v>
      </c>
      <c r="J7" s="341"/>
      <c r="V7" s="50">
        <v>15</v>
      </c>
    </row>
    <row r="8" s="50" customFormat="1" ht="1.05" customHeight="1">
      <c r="A8" s="56"/>
      <c r="C8" s="149"/>
      <c r="D8" s="50"/>
      <c r="E8" s="50"/>
      <c r="F8" s="50"/>
      <c r="G8" s="53"/>
      <c r="H8" s="341"/>
      <c r="I8" s="53" t="s">
        <v>114</v>
      </c>
      <c r="J8" s="341"/>
      <c r="K8" s="53"/>
      <c r="U8" s="115"/>
      <c r="V8" s="50">
        <v>1</v>
      </c>
    </row>
    <row r="9" ht="15.75" customHeight="1">
      <c r="C9" s="149"/>
      <c r="D9" s="721"/>
      <c r="E9" s="722" t="s">
        <v>102</v>
      </c>
      <c r="F9" s="723"/>
      <c r="G9" s="878" t="str">
        <f>IF(G8="","",INDEX(DIFFERENTIATION_UNMERGE_VD,MATCH(G8,DIFFERENTIATION_ID_DIFF,0)))</f>
        <v/>
      </c>
      <c r="H9" s="879"/>
      <c r="I9" s="878">
        <f>IF(I8="","",INDEX(DIFFERENTIATION_UNMERGE_VD,MATCH(I8,DIFFERENTIATION_ID_DIFF,0)))</f>
        <v>0</v>
      </c>
      <c r="J9" s="879"/>
      <c r="K9" s="307" t="s">
        <v>296</v>
      </c>
      <c r="V9" s="50">
        <v>15</v>
      </c>
    </row>
    <row r="10" s="50" customFormat="1" ht="15.75" customHeight="1">
      <c r="A10" s="56"/>
      <c r="C10" s="149"/>
      <c r="D10" s="721"/>
      <c r="E10" s="722" t="s">
        <v>559</v>
      </c>
      <c r="F10" s="723"/>
      <c r="G10" s="878" t="str">
        <f>IF(G8="","",INDEX(DIFFERENTIATION_UNMERGE_AREA,MATCH(G8,DIFFERENTIATION_ID_DIFF,0)))</f>
        <v/>
      </c>
      <c r="H10" s="879"/>
      <c r="I10" s="878" t="str">
        <f>IF(I8="","",INDEX(DIFFERENTIATION_UNMERGE_AREA,MATCH(I8,DIFFERENTIATION_ID_DIFF,0)))</f>
        <v/>
      </c>
      <c r="J10" s="879"/>
      <c r="K10" s="306"/>
      <c r="U10" s="115"/>
      <c r="V10" s="50">
        <v>15</v>
      </c>
    </row>
    <row r="11" s="50" customFormat="1" ht="15.75" customHeight="1">
      <c r="A11" s="56"/>
      <c r="C11" s="149"/>
      <c r="D11" s="721"/>
      <c r="E11" s="722" t="s">
        <v>560</v>
      </c>
      <c r="F11" s="723"/>
      <c r="G11" s="878" t="str">
        <f>IF(G8="","",INDEX(DIFFERENTIATION_UNMERGE_SYSTEM,MATCH(G8,DIFFERENTIATION_ID_DIFF,0)))</f>
        <v/>
      </c>
      <c r="H11" s="879"/>
      <c r="I11" s="878" t="str">
        <f>IF(I8="","",INDEX(DIFFERENTIATION_UNMERGE_SYSTEM,MATCH(I8,DIFFERENTIATION_ID_DIFF,0)))</f>
        <v xml:space="preserve">без дифференциации</v>
      </c>
      <c r="J11" s="879"/>
      <c r="K11" s="306"/>
      <c r="U11" s="115"/>
      <c r="V11" s="50">
        <v>15</v>
      </c>
    </row>
    <row r="12" s="50" customFormat="1" ht="15.75" customHeight="1">
      <c r="A12" s="56"/>
      <c r="C12" s="149"/>
      <c r="D12" s="725" t="s">
        <v>295</v>
      </c>
      <c r="E12" s="726"/>
      <c r="F12" s="726"/>
      <c r="G12" s="722"/>
      <c r="H12" s="722"/>
      <c r="I12" s="722"/>
      <c r="J12" s="722"/>
      <c r="K12" s="306"/>
      <c r="U12" s="115"/>
      <c r="V12" s="50">
        <v>15</v>
      </c>
    </row>
    <row r="13" ht="35.649999999999999" customHeight="1">
      <c r="C13" s="149"/>
      <c r="D13" s="157" t="s">
        <v>88</v>
      </c>
      <c r="E13" s="157" t="s">
        <v>297</v>
      </c>
      <c r="F13" s="157" t="s">
        <v>561</v>
      </c>
      <c r="G13" s="73" t="s">
        <v>298</v>
      </c>
      <c r="H13" s="157" t="s">
        <v>385</v>
      </c>
      <c r="I13" s="73" t="s">
        <v>298</v>
      </c>
      <c r="J13" s="157" t="s">
        <v>385</v>
      </c>
      <c r="K13" s="162"/>
      <c r="V13" s="50">
        <v>34</v>
      </c>
    </row>
    <row r="14" ht="15" hidden="1" customHeight="1">
      <c r="C14" s="149"/>
      <c r="D14" s="206" t="s">
        <v>106</v>
      </c>
      <c r="E14" s="206" t="s">
        <v>107</v>
      </c>
      <c r="F14" s="206" t="s">
        <v>90</v>
      </c>
      <c r="G14" s="149" t="str">
        <f>G1&amp;".1"</f>
        <v>4.1</v>
      </c>
      <c r="H14" s="149"/>
      <c r="I14" s="149" t="str">
        <f>I1&amp;".1"</f>
        <v>4.1</v>
      </c>
      <c r="J14" s="149"/>
      <c r="K14" s="485"/>
      <c r="V14" s="50">
        <v>0</v>
      </c>
    </row>
    <row r="15" ht="22.5" hidden="1" customHeight="1">
      <c r="A15" s="50"/>
      <c r="C15" s="128"/>
      <c r="D15" s="157">
        <v>1</v>
      </c>
      <c r="E15" s="313" t="s">
        <v>804</v>
      </c>
      <c r="F15" s="157" t="s">
        <v>805</v>
      </c>
      <c r="G15" s="1076"/>
      <c r="H15" s="1076"/>
      <c r="I15" s="1076"/>
      <c r="J15" s="1076"/>
      <c r="K15" s="485" t="s">
        <v>806</v>
      </c>
      <c r="V15" s="50">
        <v>0</v>
      </c>
    </row>
    <row r="16" ht="22.5" hidden="1" customHeight="1">
      <c r="A16" s="50"/>
      <c r="C16" s="128"/>
      <c r="D16" s="157">
        <v>2</v>
      </c>
      <c r="E16" s="313" t="s">
        <v>807</v>
      </c>
      <c r="F16" s="157" t="s">
        <v>808</v>
      </c>
      <c r="G16" s="1076"/>
      <c r="H16" s="1076"/>
      <c r="I16" s="1076"/>
      <c r="J16" s="1076"/>
      <c r="K16" s="485" t="s">
        <v>809</v>
      </c>
      <c r="V16" s="50">
        <v>0</v>
      </c>
    </row>
    <row r="17" ht="123.75" hidden="1" customHeight="1">
      <c r="A17" s="50"/>
      <c r="C17" s="128"/>
      <c r="D17" s="157">
        <v>3</v>
      </c>
      <c r="E17" s="313" t="s">
        <v>1202</v>
      </c>
      <c r="F17" s="157" t="s">
        <v>301</v>
      </c>
      <c r="G17" s="1076"/>
      <c r="H17" s="1076"/>
      <c r="I17" s="1076"/>
      <c r="J17" s="1076"/>
      <c r="K17" s="485" t="s">
        <v>1203</v>
      </c>
      <c r="V17" s="50">
        <v>0</v>
      </c>
    </row>
    <row r="18" ht="48.25" customHeight="1">
      <c r="A18" s="50"/>
      <c r="C18" s="128"/>
      <c r="D18" s="157">
        <v>3</v>
      </c>
      <c r="E18" s="313" t="s">
        <v>810</v>
      </c>
      <c r="F18" s="157" t="s">
        <v>301</v>
      </c>
      <c r="G18" s="157" t="s">
        <v>301</v>
      </c>
      <c r="H18" s="307" t="s">
        <v>301</v>
      </c>
      <c r="I18" s="157" t="s">
        <v>301</v>
      </c>
      <c r="J18" s="307" t="s">
        <v>301</v>
      </c>
      <c r="K18" s="485" t="s">
        <v>1204</v>
      </c>
      <c r="V18" s="50">
        <v>46</v>
      </c>
    </row>
    <row r="19" ht="35.649999999999999" customHeight="1">
      <c r="A19" s="50"/>
      <c r="C19" s="128"/>
      <c r="D19" s="218" t="s">
        <v>319</v>
      </c>
      <c r="E19" s="673" t="s">
        <v>812</v>
      </c>
      <c r="F19" s="157" t="s">
        <v>813</v>
      </c>
      <c r="G19" s="846"/>
      <c r="H19" s="387"/>
      <c r="I19" s="846"/>
      <c r="J19" s="758"/>
      <c r="K19" s="882"/>
      <c r="V19" s="50">
        <v>34</v>
      </c>
    </row>
    <row r="20" ht="35.649999999999999" customHeight="1">
      <c r="A20" s="50"/>
      <c r="C20" s="128"/>
      <c r="D20" s="218" t="s">
        <v>327</v>
      </c>
      <c r="E20" s="673" t="s">
        <v>814</v>
      </c>
      <c r="F20" s="157" t="s">
        <v>815</v>
      </c>
      <c r="G20" s="846"/>
      <c r="H20" s="387"/>
      <c r="I20" s="846"/>
      <c r="J20" s="387"/>
      <c r="K20" s="882"/>
      <c r="V20" s="50">
        <v>34</v>
      </c>
    </row>
    <row r="21" ht="48.25" customHeight="1">
      <c r="A21" s="50"/>
      <c r="C21" s="128"/>
      <c r="D21" s="218" t="s">
        <v>329</v>
      </c>
      <c r="E21" s="673" t="s">
        <v>816</v>
      </c>
      <c r="F21" s="157" t="s">
        <v>566</v>
      </c>
      <c r="G21" s="847"/>
      <c r="H21" s="387"/>
      <c r="I21" s="847"/>
      <c r="J21" s="387"/>
      <c r="K21" s="882"/>
      <c r="V21" s="50">
        <v>46</v>
      </c>
    </row>
    <row r="22" ht="67.5" hidden="1" customHeight="1">
      <c r="A22" s="50"/>
      <c r="C22" s="128"/>
      <c r="D22" s="157">
        <v>5</v>
      </c>
      <c r="E22" s="313" t="s">
        <v>1205</v>
      </c>
      <c r="F22" s="157" t="s">
        <v>553</v>
      </c>
      <c r="G22" s="1077"/>
      <c r="H22" s="685"/>
      <c r="I22" s="1077"/>
      <c r="J22" s="685"/>
      <c r="K22" s="485" t="s">
        <v>1206</v>
      </c>
      <c r="V22" s="50">
        <v>0</v>
      </c>
    </row>
    <row r="23" ht="33.75" hidden="1" customHeight="1">
      <c r="C23" s="128"/>
      <c r="D23" s="157">
        <v>6</v>
      </c>
      <c r="E23" s="313" t="s">
        <v>1207</v>
      </c>
      <c r="F23" s="157" t="s">
        <v>1208</v>
      </c>
      <c r="G23" s="1077"/>
      <c r="H23" s="1077"/>
      <c r="I23" s="1077"/>
      <c r="J23" s="1077"/>
      <c r="K23" s="485" t="s">
        <v>1209</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78"/>
      <c r="V29" s="50">
        <v>15</v>
      </c>
    </row>
    <row r="30" ht="22.5" hidden="1" customHeight="1">
      <c r="A30" s="56" t="s">
        <v>82</v>
      </c>
      <c r="B30" s="50">
        <v>0</v>
      </c>
      <c r="C30" s="149">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1" deleteRows="1" formatCells="1" formatColumns="0" formatRows="0" insertColumns="1" insertHyperlinks="1" insertRows="1" objects="0" pivotTables="1" scenarios="0" selectLockedCells="0" selectUnlockedCells="0" sheet="1" sort="1"/>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8000D9-00C2-4FFD-89B6-0065006800C7}"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6F0039-00BA-4E0A-8A7B-00300039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820055-00BF-4EC3-B2B9-00A000EE003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1027" width="32.57421875"/>
    <col customWidth="1" min="2" max="2" style="63" width="11.00390625"/>
    <col min="3" max="3" style="63" width="9.140625"/>
    <col customWidth="1" min="4" max="4" style="63" width="26.57421875"/>
    <col customWidth="1" min="5" max="5" style="143" width="36.8515625"/>
    <col customWidth="1" min="6" max="6" style="143" width="23.57421875"/>
    <col customWidth="1" min="7" max="7" style="143" width="31.421875"/>
    <col customWidth="1" min="8" max="8" style="143" width="40.8515625"/>
    <col customWidth="1" min="9" max="9" style="143" width="14.57421875"/>
    <col customWidth="1" min="10" max="10" style="143" width="26.8515625"/>
    <col customWidth="1" min="11" max="11" style="143" width="50.00390625"/>
    <col customWidth="1" min="12" max="12" style="143" width="52.421875"/>
    <col customWidth="1" min="13" max="13" style="143" width="10.7109375"/>
    <col customWidth="1" min="14" max="14" style="143" width="55.140625"/>
    <col customWidth="1" min="15" max="15" style="143" width="31.8515625"/>
    <col customWidth="1" min="16" max="16" style="143" width="23.8515625"/>
    <col customWidth="1" min="17" max="17" style="143" width="46.57421875"/>
    <col customWidth="1" min="18" max="18" style="143" width="24.00390625"/>
    <col customWidth="1" min="19" max="19" style="143" width="20.57421875"/>
    <col customWidth="1" min="20" max="20" style="143" width="22.00390625"/>
    <col customWidth="1" min="21" max="22" style="143" width="26.421875"/>
    <col customWidth="1" hidden="1" min="23" max="23" style="143" width="8.28125"/>
    <col customWidth="1" min="24" max="24" style="143" width="59.7109375"/>
    <col customWidth="1" min="25" max="25" style="143" width="49.140625"/>
    <col customWidth="1" min="26" max="26" style="143" width="11.140625"/>
    <col customWidth="1" min="27" max="30" style="143" width="29.00390625"/>
    <col min="31" max="31" style="143" width="9.140625"/>
    <col customWidth="1" min="32" max="32" style="143" width="34.7109375"/>
    <col min="33" max="33" style="143" width="9.140625"/>
    <col customWidth="1" min="34" max="35" style="143" width="34.421875"/>
    <col min="36" max="36" style="143" width="9.140625"/>
    <col customWidth="1" min="37" max="37" style="143" width="24.57421875"/>
    <col min="38" max="38" style="143" width="9.140625"/>
    <col customWidth="1" min="39" max="39" style="143" width="26.140625"/>
    <col customWidth="1" min="40" max="40" style="143" width="1.7109375"/>
    <col min="41" max="41" style="143" width="9.140625"/>
    <col customWidth="1" min="42" max="43" style="143" width="47.8515625"/>
    <col customWidth="1" min="44" max="44" style="143" width="1.7109375"/>
    <col customWidth="1" min="45" max="45" style="143" width="21.421875"/>
    <col customWidth="1" min="46" max="46" style="143" width="1.7109375"/>
    <col customWidth="1" min="47" max="47" style="143" width="31.28125"/>
    <col customWidth="1" min="48" max="48" style="143" width="1.7109375"/>
    <col min="49" max="50" style="143" width="9.140625"/>
    <col customWidth="1" min="51" max="51" style="143" width="3.7109375"/>
    <col customWidth="1" min="52" max="52" style="143" width="60.8515625"/>
    <col customWidth="1" min="53" max="53" style="143" width="49.28125"/>
    <col customWidth="1" min="54" max="54" style="143" width="35.140625"/>
    <col min="55" max="55" style="143" width="9.140625"/>
    <col customWidth="1" min="56" max="56" style="143" width="1.7109375"/>
    <col customWidth="1" min="57" max="57" style="1079" width="12.57421875"/>
    <col customWidth="1" min="58" max="58" style="1079" width="14.28125"/>
    <col customWidth="1" min="59" max="59" style="143" width="30.7109375"/>
    <col customWidth="1" min="60" max="60" style="253" width="40.7109375"/>
    <col customWidth="1" min="61" max="61" style="253" width="15.00390625"/>
    <col customWidth="1" min="62" max="62" style="253" width="40.7109375"/>
    <col customWidth="1" min="63" max="63" style="253" width="2.7109375"/>
    <col customWidth="1" min="64" max="64" style="253" width="44.7109375"/>
    <col customWidth="1" min="65" max="65" style="253" width="2.7109375"/>
    <col customWidth="1" min="66" max="66" style="253" width="40.7109375"/>
    <col min="67" max="68" style="143" width="9.140625"/>
    <col customWidth="1" min="69" max="69" style="143" width="18.140625"/>
    <col customWidth="1" min="70" max="70" style="143" width="57.8515625"/>
    <col customWidth="1" min="71" max="71" style="143" width="1.7109375"/>
    <col customWidth="1" min="72" max="72" style="143" width="22.57421875"/>
    <col customWidth="1" min="73" max="73" style="143" width="57.8515625"/>
    <col customWidth="1" min="74" max="74" style="143" width="1.7109375"/>
    <col customWidth="1" min="75" max="75" style="143" width="22.57421875"/>
    <col customWidth="1" min="76" max="76" style="143" width="57.8515625"/>
    <col customWidth="1" min="77" max="77" style="143" width="1.7109375"/>
    <col customWidth="1" min="78" max="78" style="143" width="22.57421875"/>
    <col customWidth="1" min="79" max="79" style="143" width="57.8515625"/>
    <col min="80" max="81" style="143" width="9.140625"/>
    <col customWidth="1" min="82" max="82" style="143" width="49.57421875"/>
  </cols>
  <sheetData>
    <row r="1" s="1080" customFormat="1" ht="11.25" customHeight="1">
      <c r="A1" s="1081" t="s">
        <v>1210</v>
      </c>
      <c r="B1" s="1081" t="s">
        <v>1211</v>
      </c>
      <c r="C1" s="1081" t="s">
        <v>1212</v>
      </c>
      <c r="D1" s="1081" t="s">
        <v>1213</v>
      </c>
      <c r="E1" s="1081" t="s">
        <v>1214</v>
      </c>
      <c r="F1" s="1081" t="s">
        <v>1215</v>
      </c>
      <c r="G1" s="1081" t="s">
        <v>1216</v>
      </c>
      <c r="H1" s="1081" t="s">
        <v>1217</v>
      </c>
      <c r="I1" s="1081" t="s">
        <v>1218</v>
      </c>
      <c r="J1" s="1081" t="s">
        <v>1219</v>
      </c>
      <c r="K1" s="1081" t="s">
        <v>1220</v>
      </c>
      <c r="L1" s="1081" t="s">
        <v>1221</v>
      </c>
      <c r="M1" s="1081"/>
      <c r="N1" s="1081" t="s">
        <v>1222</v>
      </c>
      <c r="O1" s="1081" t="s">
        <v>1223</v>
      </c>
      <c r="P1" s="1081" t="s">
        <v>1224</v>
      </c>
      <c r="Q1" s="1081" t="s">
        <v>1225</v>
      </c>
      <c r="R1" s="1081" t="s">
        <v>1226</v>
      </c>
      <c r="S1" s="1081" t="s">
        <v>1227</v>
      </c>
      <c r="T1" s="1081" t="s">
        <v>1228</v>
      </c>
      <c r="U1" s="1081" t="s">
        <v>1229</v>
      </c>
      <c r="V1" s="1081"/>
      <c r="W1" s="1082" t="s">
        <v>1230</v>
      </c>
      <c r="X1" s="1081" t="s">
        <v>1231</v>
      </c>
      <c r="Y1" s="1081" t="s">
        <v>1232</v>
      </c>
      <c r="Z1" s="1081"/>
      <c r="AA1" s="1081" t="s">
        <v>1233</v>
      </c>
      <c r="AB1" s="1081"/>
      <c r="AC1" s="1081" t="s">
        <v>1234</v>
      </c>
      <c r="AD1" s="1081"/>
      <c r="AF1" s="1081" t="s">
        <v>1235</v>
      </c>
      <c r="AH1" s="1081" t="s">
        <v>1236</v>
      </c>
      <c r="AI1" s="1081" t="s">
        <v>1237</v>
      </c>
      <c r="AK1" s="1081" t="s">
        <v>1238</v>
      </c>
      <c r="AM1" s="1081" t="s">
        <v>1239</v>
      </c>
      <c r="AP1" s="1081" t="s">
        <v>1240</v>
      </c>
      <c r="AQ1" s="1081" t="s">
        <v>1241</v>
      </c>
      <c r="AS1" s="1081" t="s">
        <v>1242</v>
      </c>
      <c r="AU1" s="1081" t="s">
        <v>1243</v>
      </c>
      <c r="AW1" s="1081" t="s">
        <v>1244</v>
      </c>
      <c r="AX1" s="1081" t="s">
        <v>1245</v>
      </c>
      <c r="AZ1" s="1083" t="s">
        <v>1246</v>
      </c>
      <c r="BB1" s="1081" t="s">
        <v>1247</v>
      </c>
      <c r="BC1" s="1081"/>
      <c r="BE1" s="1081" t="s">
        <v>1248</v>
      </c>
      <c r="BF1" s="1081" t="s">
        <v>1249</v>
      </c>
      <c r="BH1" s="1084" t="s">
        <v>803</v>
      </c>
      <c r="BI1" s="253"/>
      <c r="BJ1" s="1085" t="s">
        <v>1250</v>
      </c>
      <c r="BK1" s="253"/>
      <c r="BL1" s="1086" t="s">
        <v>902</v>
      </c>
      <c r="BM1" s="253"/>
      <c r="BN1" s="1087" t="s">
        <v>1251</v>
      </c>
      <c r="BS1" s="1080"/>
    </row>
    <row r="2" ht="11.25" customHeight="1">
      <c r="A2" s="143" t="s">
        <v>1252</v>
      </c>
      <c r="B2" s="1088">
        <v>2000</v>
      </c>
      <c r="C2" s="1088">
        <v>2022</v>
      </c>
      <c r="D2" s="1088" t="s">
        <v>65</v>
      </c>
      <c r="E2" s="1089" t="s">
        <v>1253</v>
      </c>
      <c r="F2" s="1089" t="s">
        <v>1254</v>
      </c>
      <c r="G2" s="1089" t="s">
        <v>1255</v>
      </c>
      <c r="H2" s="1089" t="s">
        <v>54</v>
      </c>
      <c r="I2" s="1089" t="s">
        <v>106</v>
      </c>
      <c r="J2" s="1089" t="s">
        <v>1256</v>
      </c>
      <c r="K2" s="1090" t="s">
        <v>1257</v>
      </c>
      <c r="L2" s="1090"/>
      <c r="M2" s="1090">
        <v>1</v>
      </c>
      <c r="N2" s="1091" t="s">
        <v>1258</v>
      </c>
      <c r="O2" s="1089" t="s">
        <v>1259</v>
      </c>
      <c r="P2" s="1092" t="s">
        <v>37</v>
      </c>
      <c r="Q2" s="1093" t="s">
        <v>1260</v>
      </c>
      <c r="R2" s="1094" t="s">
        <v>1261</v>
      </c>
      <c r="S2" s="1094" t="s">
        <v>1262</v>
      </c>
      <c r="T2" s="1095" t="s">
        <v>1263</v>
      </c>
      <c r="U2" s="1090" t="s">
        <v>1264</v>
      </c>
      <c r="V2" s="1096">
        <v>1</v>
      </c>
      <c r="W2" s="1097"/>
      <c r="X2" s="1097" t="s">
        <v>1265</v>
      </c>
      <c r="Y2" s="1088" t="s">
        <v>1266</v>
      </c>
      <c r="Z2" s="1098"/>
      <c r="AA2" s="1088" t="s">
        <v>1267</v>
      </c>
      <c r="AB2" s="1099" t="s">
        <v>1267</v>
      </c>
      <c r="AC2" s="1088" t="s">
        <v>1268</v>
      </c>
      <c r="AD2" s="1099" t="s">
        <v>1268</v>
      </c>
      <c r="AF2" s="1089" t="s">
        <v>1264</v>
      </c>
      <c r="AH2" s="1089" t="s">
        <v>1269</v>
      </c>
      <c r="AI2" s="1089" t="s">
        <v>1269</v>
      </c>
      <c r="AK2" s="1089" t="s">
        <v>1270</v>
      </c>
      <c r="AM2" s="1089" t="s">
        <v>1271</v>
      </c>
      <c r="AP2" s="783" t="s">
        <v>1265</v>
      </c>
      <c r="AQ2" s="1100" t="s">
        <v>1265</v>
      </c>
      <c r="AS2" s="1088" t="s">
        <v>1272</v>
      </c>
      <c r="AU2" s="1101" t="s">
        <v>1273</v>
      </c>
      <c r="AW2" s="1101" t="s">
        <v>1274</v>
      </c>
      <c r="AX2" s="1101" t="s">
        <v>1274</v>
      </c>
      <c r="AZ2" s="1101" t="s">
        <v>52</v>
      </c>
      <c r="BB2" s="1101" t="s">
        <v>1275</v>
      </c>
      <c r="BC2" s="1101" t="s">
        <v>1276</v>
      </c>
      <c r="BE2" s="1101">
        <v>2000</v>
      </c>
      <c r="BF2" s="1101" t="s">
        <v>1277</v>
      </c>
    </row>
    <row r="3" ht="11.25" customHeight="1">
      <c r="A3" s="143" t="s">
        <v>1278</v>
      </c>
      <c r="B3" s="1088">
        <v>2001</v>
      </c>
      <c r="C3" s="1088">
        <v>2023</v>
      </c>
      <c r="D3" s="1088" t="s">
        <v>19</v>
      </c>
      <c r="E3" s="1089" t="s">
        <v>1279</v>
      </c>
      <c r="F3" s="1089" t="s">
        <v>1280</v>
      </c>
      <c r="G3" s="1089" t="s">
        <v>1281</v>
      </c>
      <c r="H3" s="1089" t="s">
        <v>1282</v>
      </c>
      <c r="I3" s="1089" t="s">
        <v>107</v>
      </c>
      <c r="J3" s="1089" t="s">
        <v>551</v>
      </c>
      <c r="K3" s="1090" t="s">
        <v>1283</v>
      </c>
      <c r="L3" s="1090">
        <f t="shared" ref="L3:L5" si="54">_xlfn.IFERROR(MATCH(K3,OFFER_METHOD,0),0)</f>
        <v>0</v>
      </c>
      <c r="M3" s="1090">
        <v>2</v>
      </c>
      <c r="N3" s="1091" t="s">
        <v>1284</v>
      </c>
      <c r="O3" s="1089" t="s">
        <v>1285</v>
      </c>
      <c r="P3" s="1092" t="s">
        <v>1286</v>
      </c>
      <c r="Q3" s="1093" t="s">
        <v>1287</v>
      </c>
      <c r="R3" s="1094" t="s">
        <v>1288</v>
      </c>
      <c r="S3" s="1094" t="s">
        <v>1289</v>
      </c>
      <c r="T3" s="1095" t="s">
        <v>1290</v>
      </c>
      <c r="U3" s="1090" t="s">
        <v>1291</v>
      </c>
      <c r="V3" s="1096">
        <v>2</v>
      </c>
      <c r="W3" s="1097"/>
      <c r="X3" s="1097" t="s">
        <v>1292</v>
      </c>
      <c r="Y3" s="1088" t="s">
        <v>1266</v>
      </c>
      <c r="Z3" s="1098"/>
      <c r="AA3" s="1088" t="s">
        <v>1293</v>
      </c>
      <c r="AB3" s="1099" t="s">
        <v>1293</v>
      </c>
      <c r="AC3" s="1088" t="s">
        <v>1294</v>
      </c>
      <c r="AD3" s="1099" t="s">
        <v>1294</v>
      </c>
      <c r="AF3" s="1089" t="s">
        <v>1291</v>
      </c>
      <c r="AH3" s="1089" t="s">
        <v>1295</v>
      </c>
      <c r="AI3" s="1089" t="s">
        <v>1296</v>
      </c>
      <c r="AK3" s="1089" t="s">
        <v>1297</v>
      </c>
      <c r="AM3" s="1089" t="s">
        <v>1298</v>
      </c>
      <c r="AP3" s="783" t="s">
        <v>1299</v>
      </c>
      <c r="AQ3" s="1100" t="s">
        <v>1299</v>
      </c>
      <c r="AS3" s="1088" t="s">
        <v>1300</v>
      </c>
      <c r="AU3" s="1101" t="s">
        <v>1301</v>
      </c>
      <c r="AW3" s="1101" t="s">
        <v>1302</v>
      </c>
      <c r="AX3" s="1101" t="s">
        <v>1302</v>
      </c>
      <c r="AZ3" s="1101" t="s">
        <v>1303</v>
      </c>
      <c r="BB3" s="1101" t="s">
        <v>1304</v>
      </c>
      <c r="BC3" s="1101" t="s">
        <v>1276</v>
      </c>
      <c r="BE3" s="1101">
        <v>2001</v>
      </c>
      <c r="BF3" s="1101" t="s">
        <v>1305</v>
      </c>
      <c r="BH3" s="1081" t="s">
        <v>1306</v>
      </c>
      <c r="BJ3" s="1081" t="s">
        <v>1307</v>
      </c>
      <c r="BL3" s="1081" t="s">
        <v>1308</v>
      </c>
      <c r="BN3" s="1081" t="s">
        <v>1309</v>
      </c>
      <c r="BR3" s="1081" t="s">
        <v>1310</v>
      </c>
      <c r="BS3" s="1102"/>
      <c r="BT3" s="253"/>
      <c r="BU3" s="1081" t="s">
        <v>1311</v>
      </c>
      <c r="BV3" s="253"/>
      <c r="BW3" s="63"/>
      <c r="BX3" s="1081" t="s">
        <v>1312</v>
      </c>
      <c r="CA3" s="1081" t="s">
        <v>1313</v>
      </c>
    </row>
    <row r="4" ht="11.25" customHeight="1">
      <c r="A4" s="143" t="s">
        <v>1314</v>
      </c>
      <c r="B4" s="1088">
        <v>2002</v>
      </c>
      <c r="C4" s="1088">
        <v>2024</v>
      </c>
      <c r="E4" s="1089" t="s">
        <v>1315</v>
      </c>
      <c r="F4" s="1089" t="s">
        <v>1316</v>
      </c>
      <c r="H4" s="1089" t="s">
        <v>1317</v>
      </c>
      <c r="I4" s="1089" t="s">
        <v>90</v>
      </c>
      <c r="J4" s="1089" t="s">
        <v>1318</v>
      </c>
      <c r="K4" s="1090" t="s">
        <v>1319</v>
      </c>
      <c r="L4" s="1090">
        <f t="shared" si="54"/>
        <v>0</v>
      </c>
      <c r="M4" s="1090">
        <v>3</v>
      </c>
      <c r="N4" s="1091" t="s">
        <v>1320</v>
      </c>
      <c r="O4" s="1089" t="s">
        <v>1321</v>
      </c>
      <c r="Q4" s="1093" t="s">
        <v>1322</v>
      </c>
      <c r="R4" s="1094" t="s">
        <v>1323</v>
      </c>
      <c r="S4" s="1094" t="s">
        <v>1324</v>
      </c>
      <c r="T4" s="1095" t="s">
        <v>1325</v>
      </c>
      <c r="U4" s="1090" t="s">
        <v>1326</v>
      </c>
      <c r="V4" s="1096">
        <v>3</v>
      </c>
      <c r="W4" s="1097"/>
      <c r="X4" s="1097" t="s">
        <v>1327</v>
      </c>
      <c r="Y4" s="1088" t="s">
        <v>1266</v>
      </c>
      <c r="Z4" s="107"/>
      <c r="AC4" s="1088" t="s">
        <v>1328</v>
      </c>
      <c r="AD4" s="1099" t="s">
        <v>1328</v>
      </c>
      <c r="AF4" s="1089" t="s">
        <v>1326</v>
      </c>
      <c r="AH4" s="1089" t="s">
        <v>1329</v>
      </c>
      <c r="AK4" s="1089" t="s">
        <v>1330</v>
      </c>
      <c r="AM4" s="1089" t="s">
        <v>1331</v>
      </c>
      <c r="AP4" s="783" t="s">
        <v>1292</v>
      </c>
      <c r="AQ4" s="1100" t="s">
        <v>1292</v>
      </c>
      <c r="AS4" s="1088" t="s">
        <v>1332</v>
      </c>
      <c r="AU4" s="1101" t="s">
        <v>1333</v>
      </c>
      <c r="AW4" s="1101" t="s">
        <v>1334</v>
      </c>
      <c r="AX4" s="1101" t="s">
        <v>1334</v>
      </c>
      <c r="AZ4" s="1101" t="s">
        <v>1335</v>
      </c>
      <c r="BB4" s="1101" t="s">
        <v>1336</v>
      </c>
      <c r="BC4" s="1101" t="s">
        <v>1337</v>
      </c>
      <c r="BE4" s="1101">
        <v>2002</v>
      </c>
      <c r="BF4" s="1101" t="s">
        <v>1338</v>
      </c>
      <c r="BH4" s="1103" t="s">
        <v>1339</v>
      </c>
      <c r="BJ4" s="1103" t="s">
        <v>1339</v>
      </c>
      <c r="BL4" s="1103" t="s">
        <v>1339</v>
      </c>
      <c r="BN4" s="1103" t="s">
        <v>1339</v>
      </c>
      <c r="BQ4" s="1104" t="s">
        <v>1340</v>
      </c>
      <c r="BR4" s="783" t="s">
        <v>1341</v>
      </c>
      <c r="BS4" s="783"/>
      <c r="BT4" s="1104" t="s">
        <v>1342</v>
      </c>
      <c r="BU4" s="783" t="s">
        <v>1343</v>
      </c>
      <c r="BV4" s="253"/>
      <c r="BW4" s="1104" t="s">
        <v>1344</v>
      </c>
      <c r="BX4" s="783" t="s">
        <v>1345</v>
      </c>
      <c r="BZ4" s="1104" t="s">
        <v>1346</v>
      </c>
      <c r="CA4" s="783" t="s">
        <v>1347</v>
      </c>
    </row>
    <row r="5" ht="11.25" customHeight="1">
      <c r="A5" s="143" t="s">
        <v>1348</v>
      </c>
      <c r="B5" s="1088">
        <v>2003</v>
      </c>
      <c r="C5" s="1088">
        <v>2025</v>
      </c>
      <c r="E5" s="1089" t="s">
        <v>1349</v>
      </c>
      <c r="F5" s="1089" t="s">
        <v>1350</v>
      </c>
      <c r="H5" s="1089" t="s">
        <v>1351</v>
      </c>
      <c r="I5" s="1089" t="s">
        <v>91</v>
      </c>
      <c r="K5" s="1090" t="s">
        <v>1352</v>
      </c>
      <c r="L5" s="1090">
        <f t="shared" si="54"/>
        <v>0</v>
      </c>
      <c r="M5" s="1090">
        <v>4</v>
      </c>
      <c r="N5" s="1105" t="s">
        <v>1353</v>
      </c>
      <c r="O5" s="1089" t="s">
        <v>1354</v>
      </c>
      <c r="Q5" s="1093" t="s">
        <v>1355</v>
      </c>
      <c r="R5" s="1094" t="s">
        <v>1356</v>
      </c>
      <c r="T5" s="1089" t="s">
        <v>1357</v>
      </c>
      <c r="U5" s="1090" t="s">
        <v>1358</v>
      </c>
      <c r="V5" s="1096">
        <v>4</v>
      </c>
      <c r="W5" s="1097"/>
      <c r="X5" s="1097" t="s">
        <v>163</v>
      </c>
      <c r="Y5" s="1088" t="s">
        <v>1359</v>
      </c>
      <c r="Z5" s="107">
        <v>1</v>
      </c>
      <c r="AF5" s="1089" t="s">
        <v>1360</v>
      </c>
      <c r="AH5" s="1089" t="s">
        <v>1361</v>
      </c>
      <c r="AK5" s="1089" t="s">
        <v>1362</v>
      </c>
      <c r="AM5" s="1089" t="s">
        <v>1363</v>
      </c>
      <c r="AP5" s="783" t="s">
        <v>163</v>
      </c>
      <c r="AQ5" s="1100" t="s">
        <v>163</v>
      </c>
      <c r="AU5" s="1101" t="s">
        <v>1364</v>
      </c>
      <c r="AW5" s="1101" t="s">
        <v>1365</v>
      </c>
      <c r="AX5" s="1101" t="s">
        <v>1365</v>
      </c>
      <c r="AZ5" s="1101" t="s">
        <v>1366</v>
      </c>
      <c r="BB5" s="1101" t="s">
        <v>1367</v>
      </c>
      <c r="BC5" s="1101" t="s">
        <v>1368</v>
      </c>
      <c r="BE5" s="1101">
        <v>2003</v>
      </c>
      <c r="BF5" s="1101" t="s">
        <v>1369</v>
      </c>
      <c r="BH5" s="1103" t="s">
        <v>1370</v>
      </c>
      <c r="BJ5" s="1103" t="s">
        <v>1370</v>
      </c>
      <c r="BL5" s="1103" t="s">
        <v>1370</v>
      </c>
      <c r="BN5" s="1103" t="s">
        <v>1371</v>
      </c>
      <c r="BQ5" s="1101">
        <v>4213775</v>
      </c>
      <c r="BR5" s="1103" t="s">
        <v>1265</v>
      </c>
      <c r="BS5" s="1106"/>
      <c r="BT5" s="1101">
        <v>64236871</v>
      </c>
      <c r="BU5" s="1103" t="s">
        <v>224</v>
      </c>
      <c r="BV5" s="253"/>
      <c r="BW5" s="1101">
        <v>4213767</v>
      </c>
      <c r="BX5" s="1103" t="s">
        <v>1372</v>
      </c>
      <c r="BZ5" s="1101">
        <v>64237509</v>
      </c>
      <c r="CA5" s="1107" t="s">
        <v>1373</v>
      </c>
    </row>
    <row r="6" ht="11.25" customHeight="1">
      <c r="A6" s="143" t="s">
        <v>1374</v>
      </c>
      <c r="B6" s="1088">
        <v>2004</v>
      </c>
      <c r="C6" s="1088">
        <v>2026</v>
      </c>
      <c r="E6" s="1089" t="s">
        <v>1375</v>
      </c>
      <c r="F6" s="184"/>
      <c r="H6" s="1089" t="s">
        <v>1376</v>
      </c>
      <c r="I6" s="1089" t="s">
        <v>108</v>
      </c>
      <c r="J6" s="1081" t="s">
        <v>1377</v>
      </c>
      <c r="L6" s="1090">
        <f>SUM(kind_of_control_method_filter)</f>
        <v>0</v>
      </c>
      <c r="N6" s="1105" t="s">
        <v>1378</v>
      </c>
      <c r="O6" s="1089" t="s">
        <v>1379</v>
      </c>
      <c r="R6" s="1094" t="s">
        <v>1260</v>
      </c>
      <c r="T6" s="1089" t="s">
        <v>1380</v>
      </c>
      <c r="U6" s="1090" t="s">
        <v>1360</v>
      </c>
      <c r="V6" s="1096">
        <v>5</v>
      </c>
      <c r="W6" s="1097"/>
      <c r="X6" s="1088" t="s">
        <v>169</v>
      </c>
      <c r="Y6" s="1088" t="s">
        <v>1381</v>
      </c>
      <c r="Z6" s="107"/>
      <c r="AA6" s="848"/>
      <c r="AH6" s="1089" t="s">
        <v>1382</v>
      </c>
      <c r="AK6" s="1089" t="s">
        <v>1383</v>
      </c>
      <c r="AM6" s="1089" t="s">
        <v>1384</v>
      </c>
      <c r="AP6" s="783" t="s">
        <v>169</v>
      </c>
      <c r="AQ6" s="1100" t="s">
        <v>169</v>
      </c>
      <c r="AU6" s="1101" t="s">
        <v>1385</v>
      </c>
      <c r="AW6" s="1101" t="s">
        <v>1386</v>
      </c>
      <c r="AX6" s="1101" t="s">
        <v>1386</v>
      </c>
      <c r="BB6" s="1101" t="s">
        <v>1387</v>
      </c>
      <c r="BC6" s="1101" t="s">
        <v>1368</v>
      </c>
      <c r="BE6" s="1101">
        <v>2004</v>
      </c>
      <c r="BF6" s="1101" t="s">
        <v>1388</v>
      </c>
      <c r="BH6" s="1103" t="s">
        <v>1389</v>
      </c>
      <c r="BJ6" s="1103" t="s">
        <v>1390</v>
      </c>
      <c r="BL6" s="1103" t="s">
        <v>1390</v>
      </c>
      <c r="BN6" s="1103" t="s">
        <v>1391</v>
      </c>
      <c r="BQ6" s="1101">
        <v>4213784</v>
      </c>
      <c r="BR6" s="1107" t="s">
        <v>1299</v>
      </c>
      <c r="BS6" s="1108"/>
      <c r="BT6" s="1101">
        <v>64236872</v>
      </c>
      <c r="BU6" s="1103" t="s">
        <v>229</v>
      </c>
      <c r="BV6" s="253"/>
      <c r="BW6" s="1101">
        <v>4213768</v>
      </c>
      <c r="BX6" s="1103" t="s">
        <v>249</v>
      </c>
      <c r="BZ6" s="1101">
        <v>64237510</v>
      </c>
      <c r="CA6" s="1103" t="s">
        <v>1392</v>
      </c>
    </row>
    <row r="7" ht="11.25" customHeight="1">
      <c r="A7" s="143" t="s">
        <v>1393</v>
      </c>
      <c r="B7" s="1088">
        <v>2005</v>
      </c>
      <c r="E7" s="1089" t="s">
        <v>1394</v>
      </c>
      <c r="F7" s="184"/>
      <c r="H7" s="1089" t="s">
        <v>1395</v>
      </c>
      <c r="I7" s="1089" t="s">
        <v>92</v>
      </c>
      <c r="J7" s="1089" t="s">
        <v>1396</v>
      </c>
      <c r="N7" s="1109" t="s">
        <v>1397</v>
      </c>
      <c r="O7" s="1089" t="s">
        <v>1398</v>
      </c>
      <c r="U7" s="1090" t="s">
        <v>19</v>
      </c>
      <c r="V7" s="1110" t="s">
        <v>92</v>
      </c>
      <c r="W7" s="1097"/>
      <c r="X7" s="1088" t="s">
        <v>175</v>
      </c>
      <c r="Y7" s="1088" t="s">
        <v>1359</v>
      </c>
      <c r="Z7" s="107"/>
      <c r="AA7" s="848"/>
      <c r="AH7" s="1089" t="s">
        <v>1399</v>
      </c>
      <c r="AK7" s="1089" t="s">
        <v>1400</v>
      </c>
      <c r="AM7" s="1089" t="s">
        <v>1401</v>
      </c>
      <c r="AP7" s="783" t="s">
        <v>175</v>
      </c>
      <c r="AQ7" s="1100" t="s">
        <v>175</v>
      </c>
      <c r="AU7" s="1101" t="s">
        <v>1402</v>
      </c>
      <c r="AW7" s="1101" t="s">
        <v>1403</v>
      </c>
      <c r="AX7" s="1101" t="s">
        <v>1403</v>
      </c>
      <c r="AZ7" s="1081" t="s">
        <v>1404</v>
      </c>
      <c r="BB7" s="1101" t="s">
        <v>1405</v>
      </c>
      <c r="BC7" s="1101" t="s">
        <v>1368</v>
      </c>
      <c r="BE7" s="1101">
        <v>2005</v>
      </c>
      <c r="BF7" s="1101" t="s">
        <v>1406</v>
      </c>
      <c r="BH7" s="1103" t="s">
        <v>1033</v>
      </c>
      <c r="BJ7" s="1103" t="s">
        <v>1389</v>
      </c>
      <c r="BL7" s="1103" t="s">
        <v>1389</v>
      </c>
      <c r="BN7" s="1103" t="s">
        <v>1407</v>
      </c>
      <c r="BQ7" s="1101">
        <v>4213781</v>
      </c>
      <c r="BR7" s="1103" t="s">
        <v>1292</v>
      </c>
      <c r="BS7" s="1106"/>
      <c r="BT7" s="1101">
        <v>64236873</v>
      </c>
      <c r="BU7" s="1103" t="s">
        <v>234</v>
      </c>
      <c r="BV7" s="253"/>
      <c r="BW7" s="1101">
        <v>4213769</v>
      </c>
      <c r="BX7" s="1103" t="s">
        <v>1408</v>
      </c>
      <c r="BZ7" s="1101">
        <v>64237511</v>
      </c>
      <c r="CA7" s="1103" t="s">
        <v>264</v>
      </c>
    </row>
    <row r="8" ht="11.25" customHeight="1">
      <c r="A8" s="143" t="s">
        <v>1409</v>
      </c>
      <c r="B8" s="1088">
        <v>2006</v>
      </c>
      <c r="E8" s="1089" t="s">
        <v>1410</v>
      </c>
      <c r="F8" s="184"/>
      <c r="H8" s="1089" t="s">
        <v>1411</v>
      </c>
      <c r="I8" s="1089" t="s">
        <v>93</v>
      </c>
      <c r="J8" s="1089" t="s">
        <v>1412</v>
      </c>
      <c r="N8" s="1111" t="s">
        <v>1413</v>
      </c>
      <c r="O8" s="1089" t="s">
        <v>1414</v>
      </c>
      <c r="V8" s="1110" t="s">
        <v>93</v>
      </c>
      <c r="W8" s="1097"/>
      <c r="X8" s="1088" t="s">
        <v>181</v>
      </c>
      <c r="Y8" s="1088" t="s">
        <v>1359</v>
      </c>
      <c r="Z8" s="107"/>
      <c r="AA8" s="848"/>
      <c r="AK8" s="1089" t="s">
        <v>1415</v>
      </c>
      <c r="AP8" s="783" t="s">
        <v>181</v>
      </c>
      <c r="AQ8" s="1100" t="s">
        <v>181</v>
      </c>
      <c r="AU8" s="1101" t="s">
        <v>1416</v>
      </c>
      <c r="AW8" s="1101" t="s">
        <v>1417</v>
      </c>
      <c r="AX8" s="1101" t="s">
        <v>1417</v>
      </c>
      <c r="AZ8" s="1101" t="s">
        <v>1418</v>
      </c>
      <c r="BB8" s="1101" t="s">
        <v>1419</v>
      </c>
      <c r="BC8" s="1101" t="s">
        <v>1368</v>
      </c>
      <c r="BE8" s="1101">
        <v>2006</v>
      </c>
      <c r="BF8" s="1101" t="s">
        <v>1420</v>
      </c>
      <c r="BH8" s="1103" t="s">
        <v>1421</v>
      </c>
      <c r="BJ8" s="1103" t="s">
        <v>1422</v>
      </c>
      <c r="BL8" s="1103" t="s">
        <v>1422</v>
      </c>
      <c r="BN8" s="1103" t="s">
        <v>1423</v>
      </c>
      <c r="BQ8" s="1101">
        <v>4213776</v>
      </c>
      <c r="BR8" s="1103" t="s">
        <v>163</v>
      </c>
      <c r="BS8" s="1106"/>
      <c r="BT8" s="1101">
        <v>64236874</v>
      </c>
      <c r="BU8" s="1107" t="s">
        <v>1424</v>
      </c>
      <c r="BV8" s="253"/>
      <c r="BW8" s="1101">
        <v>4213770</v>
      </c>
      <c r="BX8" s="1107" t="s">
        <v>1425</v>
      </c>
      <c r="BZ8" s="1101">
        <v>64237512</v>
      </c>
      <c r="CA8" s="1103" t="s">
        <v>259</v>
      </c>
    </row>
    <row r="9" ht="11.25" customHeight="1">
      <c r="A9" s="143" t="s">
        <v>1426</v>
      </c>
      <c r="B9" s="1088">
        <v>2007</v>
      </c>
      <c r="E9" s="1089" t="s">
        <v>1427</v>
      </c>
      <c r="F9" s="184"/>
      <c r="G9" s="1081" t="s">
        <v>1428</v>
      </c>
      <c r="H9" s="1081" t="s">
        <v>1429</v>
      </c>
      <c r="I9" s="1089" t="s">
        <v>109</v>
      </c>
      <c r="O9" s="1089" t="s">
        <v>1430</v>
      </c>
      <c r="V9" s="1110" t="s">
        <v>109</v>
      </c>
      <c r="W9" s="1097"/>
      <c r="X9" s="1088" t="s">
        <v>187</v>
      </c>
      <c r="Y9" s="1088" t="s">
        <v>1266</v>
      </c>
      <c r="Z9" s="107">
        <v>1</v>
      </c>
      <c r="AA9" s="848"/>
      <c r="AK9" s="1089" t="s">
        <v>1431</v>
      </c>
      <c r="AP9" s="783" t="s">
        <v>1432</v>
      </c>
      <c r="AQ9" s="1100" t="s">
        <v>1432</v>
      </c>
      <c r="AW9" s="1101" t="s">
        <v>1433</v>
      </c>
      <c r="AX9" s="1101" t="s">
        <v>1433</v>
      </c>
      <c r="AZ9" s="1101" t="s">
        <v>1434</v>
      </c>
      <c r="BB9" s="1101" t="s">
        <v>1435</v>
      </c>
      <c r="BC9" s="1101" t="s">
        <v>1368</v>
      </c>
      <c r="BE9" s="1101">
        <v>2007</v>
      </c>
      <c r="BF9" s="1101" t="s">
        <v>1436</v>
      </c>
      <c r="BH9" s="1103" t="s">
        <v>1041</v>
      </c>
      <c r="BJ9" s="1103" t="s">
        <v>1437</v>
      </c>
      <c r="BL9" s="1103" t="s">
        <v>1437</v>
      </c>
      <c r="BN9" s="1103" t="s">
        <v>1438</v>
      </c>
      <c r="BQ9" s="1101">
        <v>4213777</v>
      </c>
      <c r="BR9" s="1103" t="s">
        <v>169</v>
      </c>
      <c r="BS9" s="1106"/>
      <c r="BT9" s="1101">
        <v>64236875</v>
      </c>
      <c r="BU9" s="1103" t="s">
        <v>239</v>
      </c>
      <c r="BV9" s="253"/>
      <c r="BW9" s="63"/>
      <c r="BX9" s="63"/>
    </row>
    <row r="10" ht="11.25" customHeight="1">
      <c r="A10" s="143" t="s">
        <v>1439</v>
      </c>
      <c r="B10" s="1088">
        <v>2008</v>
      </c>
      <c r="E10" s="1089" t="s">
        <v>1440</v>
      </c>
      <c r="F10" s="184"/>
      <c r="G10" s="1089" t="s">
        <v>1441</v>
      </c>
      <c r="H10" s="1089" t="s">
        <v>1442</v>
      </c>
      <c r="I10" s="1089" t="s">
        <v>145</v>
      </c>
      <c r="J10" s="1081" t="s">
        <v>1443</v>
      </c>
      <c r="K10" s="1081" t="s">
        <v>1444</v>
      </c>
      <c r="O10" s="1089" t="s">
        <v>1445</v>
      </c>
      <c r="V10" s="1112" t="s">
        <v>145</v>
      </c>
      <c r="W10" s="1113"/>
      <c r="X10" s="1113" t="s">
        <v>1446</v>
      </c>
      <c r="Y10" s="1114" t="s">
        <v>1447</v>
      </c>
      <c r="Z10" s="107"/>
      <c r="AP10" s="783" t="s">
        <v>1446</v>
      </c>
      <c r="AQ10" s="1100" t="s">
        <v>1446</v>
      </c>
      <c r="AW10" s="1101" t="s">
        <v>1448</v>
      </c>
      <c r="AX10" s="1101" t="s">
        <v>1448</v>
      </c>
      <c r="AZ10" s="1101" t="s">
        <v>1158</v>
      </c>
      <c r="BB10" s="1101" t="s">
        <v>1449</v>
      </c>
      <c r="BC10" s="1101" t="s">
        <v>1368</v>
      </c>
      <c r="BE10" s="1101">
        <v>2008</v>
      </c>
      <c r="BF10" s="1101" t="s">
        <v>1450</v>
      </c>
      <c r="BH10" s="1103" t="s">
        <v>1048</v>
      </c>
      <c r="BJ10" s="1103" t="s">
        <v>1451</v>
      </c>
      <c r="BL10" s="1103" t="s">
        <v>1451</v>
      </c>
      <c r="BN10" s="1103" t="s">
        <v>1452</v>
      </c>
      <c r="BQ10" s="1101">
        <v>4213778</v>
      </c>
      <c r="BR10" s="1103" t="s">
        <v>175</v>
      </c>
      <c r="BS10" s="1106"/>
      <c r="BT10" s="1101">
        <v>64236876</v>
      </c>
      <c r="BU10" s="1103" t="s">
        <v>219</v>
      </c>
      <c r="BV10" s="253"/>
      <c r="BW10" s="63"/>
      <c r="BX10" s="63"/>
    </row>
    <row r="11" ht="11.25" customHeight="1">
      <c r="A11" s="143" t="s">
        <v>1453</v>
      </c>
      <c r="B11" s="1088">
        <v>2009</v>
      </c>
      <c r="E11" s="1089" t="s">
        <v>1454</v>
      </c>
      <c r="F11" s="184"/>
      <c r="G11" s="1089" t="s">
        <v>1455</v>
      </c>
      <c r="H11" s="1089" t="s">
        <v>1456</v>
      </c>
      <c r="I11" s="1089" t="s">
        <v>146</v>
      </c>
      <c r="J11" s="1089" t="s">
        <v>1457</v>
      </c>
      <c r="K11" s="1115" t="s">
        <v>1458</v>
      </c>
      <c r="O11" s="1089" t="s">
        <v>1459</v>
      </c>
      <c r="V11" s="1110" t="s">
        <v>146</v>
      </c>
      <c r="W11" s="1116"/>
      <c r="X11" s="1097" t="s">
        <v>1432</v>
      </c>
      <c r="Y11" s="1088" t="s">
        <v>1460</v>
      </c>
      <c r="Z11" s="107"/>
      <c r="AP11" s="783" t="s">
        <v>187</v>
      </c>
      <c r="AQ11" s="1117" t="s">
        <v>187</v>
      </c>
      <c r="AW11" s="1101" t="s">
        <v>1461</v>
      </c>
      <c r="AX11" s="1101" t="s">
        <v>1461</v>
      </c>
      <c r="AZ11" s="1101" t="s">
        <v>1462</v>
      </c>
      <c r="BB11" s="1101" t="s">
        <v>1463</v>
      </c>
      <c r="BC11" s="1101" t="s">
        <v>1368</v>
      </c>
      <c r="BE11" s="1101">
        <v>2009</v>
      </c>
      <c r="BF11" s="1101" t="s">
        <v>1047</v>
      </c>
      <c r="BH11" s="1103" t="s">
        <v>1464</v>
      </c>
      <c r="BJ11" s="1103" t="s">
        <v>1041</v>
      </c>
      <c r="BL11" s="1103" t="s">
        <v>1041</v>
      </c>
      <c r="BN11" s="1103" t="s">
        <v>1465</v>
      </c>
      <c r="BQ11" s="1101">
        <v>4213780</v>
      </c>
      <c r="BR11" s="1103" t="s">
        <v>181</v>
      </c>
      <c r="BS11" s="1106"/>
      <c r="BW11" s="63"/>
      <c r="BX11" s="63"/>
    </row>
    <row r="12" ht="11.25" customHeight="1">
      <c r="A12" s="143" t="s">
        <v>1466</v>
      </c>
      <c r="B12" s="1088">
        <v>2010</v>
      </c>
      <c r="E12" s="1089" t="s">
        <v>1467</v>
      </c>
      <c r="F12" s="184"/>
      <c r="G12" s="1089" t="s">
        <v>1456</v>
      </c>
      <c r="I12" s="1089" t="s">
        <v>147</v>
      </c>
      <c r="J12" s="1089" t="s">
        <v>1468</v>
      </c>
      <c r="K12" s="1115" t="s">
        <v>1469</v>
      </c>
      <c r="O12" s="1089" t="s">
        <v>1260</v>
      </c>
      <c r="V12" s="1110" t="s">
        <v>147</v>
      </c>
      <c r="W12" s="1117"/>
      <c r="X12" s="1097" t="s">
        <v>1470</v>
      </c>
      <c r="Y12" s="1088" t="s">
        <v>1266</v>
      </c>
      <c r="AP12" s="783"/>
      <c r="AW12" s="1101" t="s">
        <v>146</v>
      </c>
      <c r="AX12" s="1101" t="s">
        <v>146</v>
      </c>
      <c r="AZ12" s="1101" t="s">
        <v>1471</v>
      </c>
      <c r="BB12" s="1101" t="s">
        <v>1472</v>
      </c>
      <c r="BC12" s="1101" t="s">
        <v>1368</v>
      </c>
      <c r="BE12" s="1101">
        <v>2010</v>
      </c>
      <c r="BF12" s="1101" t="s">
        <v>1473</v>
      </c>
      <c r="BH12" s="1103" t="s">
        <v>1474</v>
      </c>
      <c r="BJ12" s="1103" t="s">
        <v>1475</v>
      </c>
      <c r="BL12" s="1103" t="s">
        <v>1475</v>
      </c>
      <c r="BN12" s="1103" t="s">
        <v>1476</v>
      </c>
      <c r="BQ12" s="1101">
        <v>4213779</v>
      </c>
      <c r="BR12" s="1103" t="s">
        <v>1432</v>
      </c>
      <c r="BS12" s="1106"/>
      <c r="BT12" s="253"/>
      <c r="BU12" s="253"/>
      <c r="BV12" s="253"/>
      <c r="BW12" s="63"/>
      <c r="BX12" s="63"/>
    </row>
    <row r="13" ht="11.25" customHeight="1">
      <c r="A13" s="143" t="s">
        <v>1477</v>
      </c>
      <c r="B13" s="1088">
        <v>2011</v>
      </c>
      <c r="E13" s="1089" t="s">
        <v>1478</v>
      </c>
      <c r="F13" s="184"/>
      <c r="I13" s="1089" t="s">
        <v>148</v>
      </c>
      <c r="K13" s="1115" t="s">
        <v>1431</v>
      </c>
      <c r="V13" s="1110" t="s">
        <v>148</v>
      </c>
      <c r="W13" s="1117"/>
      <c r="X13" s="1117"/>
      <c r="Y13" s="1117"/>
      <c r="AW13" s="1101" t="s">
        <v>147</v>
      </c>
      <c r="AX13" s="1101" t="s">
        <v>147</v>
      </c>
      <c r="BB13" s="1101" t="s">
        <v>1479</v>
      </c>
      <c r="BC13" s="1101" t="s">
        <v>1480</v>
      </c>
      <c r="BE13" s="1101">
        <v>2011</v>
      </c>
      <c r="BF13" s="1101" t="s">
        <v>1023</v>
      </c>
      <c r="BH13" s="1103" t="s">
        <v>1481</v>
      </c>
      <c r="BJ13" s="1103" t="s">
        <v>1464</v>
      </c>
      <c r="BL13" s="1103" t="s">
        <v>1464</v>
      </c>
      <c r="BN13" s="1103" t="s">
        <v>1482</v>
      </c>
      <c r="BQ13" s="1101">
        <v>4213783</v>
      </c>
      <c r="BR13" s="1103" t="s">
        <v>1446</v>
      </c>
      <c r="BS13" s="1106"/>
      <c r="BT13" s="253"/>
      <c r="BU13" s="253"/>
      <c r="BV13" s="253"/>
      <c r="BW13" s="253"/>
      <c r="BX13" s="63"/>
    </row>
    <row r="14" ht="11.25" customHeight="1">
      <c r="A14" s="143" t="s">
        <v>1483</v>
      </c>
      <c r="B14" s="1088">
        <v>2012</v>
      </c>
      <c r="I14" s="1089" t="s">
        <v>149</v>
      </c>
      <c r="J14" s="1081" t="s">
        <v>1484</v>
      </c>
      <c r="N14" s="1081" t="s">
        <v>1485</v>
      </c>
      <c r="V14" s="1096">
        <v>13</v>
      </c>
      <c r="W14" s="1097"/>
      <c r="X14" s="1097" t="s">
        <v>1299</v>
      </c>
      <c r="Y14" s="1088" t="s">
        <v>1266</v>
      </c>
      <c r="AW14" s="1101" t="s">
        <v>148</v>
      </c>
      <c r="AX14" s="1101" t="s">
        <v>148</v>
      </c>
      <c r="AZ14" s="1081" t="s">
        <v>1486</v>
      </c>
      <c r="BB14" s="1101" t="s">
        <v>1487</v>
      </c>
      <c r="BC14" s="1101" t="s">
        <v>1480</v>
      </c>
      <c r="BE14" s="1101">
        <v>2012</v>
      </c>
      <c r="BH14" s="1103" t="s">
        <v>1407</v>
      </c>
      <c r="BJ14" s="1118" t="s">
        <v>1488</v>
      </c>
      <c r="BL14" s="1118" t="s">
        <v>1488</v>
      </c>
      <c r="BN14" s="1103" t="s">
        <v>1489</v>
      </c>
      <c r="BQ14" s="1101">
        <v>4213782</v>
      </c>
      <c r="BR14" s="1103" t="s">
        <v>187</v>
      </c>
      <c r="BS14" s="1106"/>
      <c r="BT14" s="253"/>
      <c r="BU14" s="253"/>
      <c r="BV14" s="253"/>
      <c r="BW14" s="253"/>
      <c r="BX14" s="63"/>
    </row>
    <row r="15" ht="19.5" customHeight="1">
      <c r="A15" s="143" t="s">
        <v>1490</v>
      </c>
      <c r="B15" s="1088">
        <v>2013</v>
      </c>
      <c r="E15" s="1119" t="s">
        <v>1491</v>
      </c>
      <c r="G15" s="1081" t="s">
        <v>1492</v>
      </c>
      <c r="H15" s="1081" t="s">
        <v>1493</v>
      </c>
      <c r="I15" s="1090" t="s">
        <v>150</v>
      </c>
      <c r="J15" s="1117" t="s">
        <v>578</v>
      </c>
      <c r="N15" s="1120" t="s">
        <v>1494</v>
      </c>
      <c r="X15" s="783"/>
      <c r="AW15" s="1101" t="s">
        <v>149</v>
      </c>
      <c r="AX15" s="1101" t="s">
        <v>149</v>
      </c>
      <c r="AZ15" s="1101" t="s">
        <v>1418</v>
      </c>
      <c r="BB15" s="1101" t="s">
        <v>1495</v>
      </c>
      <c r="BC15" s="1101" t="s">
        <v>1480</v>
      </c>
      <c r="BE15" s="1101">
        <v>2013</v>
      </c>
      <c r="BH15" s="1103" t="s">
        <v>1423</v>
      </c>
      <c r="BJ15" s="1118" t="s">
        <v>1496</v>
      </c>
      <c r="BL15" s="1118" t="s">
        <v>1496</v>
      </c>
      <c r="BN15" s="1103" t="s">
        <v>1497</v>
      </c>
      <c r="BR15" s="253"/>
      <c r="BS15" s="253"/>
      <c r="BT15" s="253"/>
      <c r="BU15" s="253"/>
      <c r="BV15" s="253"/>
      <c r="BW15" s="253"/>
      <c r="BX15" s="63"/>
    </row>
    <row r="16" ht="21" customHeight="1">
      <c r="A16" s="1121" t="s">
        <v>1498</v>
      </c>
      <c r="B16" s="1088">
        <v>2014</v>
      </c>
      <c r="E16" s="1122" t="s">
        <v>1499</v>
      </c>
      <c r="G16" s="1089" t="s">
        <v>1500</v>
      </c>
      <c r="H16" s="1089" t="s">
        <v>1501</v>
      </c>
      <c r="I16" s="1090" t="s">
        <v>1502</v>
      </c>
      <c r="J16" s="1117" t="s">
        <v>551</v>
      </c>
      <c r="N16" s="1120" t="s">
        <v>1503</v>
      </c>
      <c r="AW16" s="1101" t="s">
        <v>150</v>
      </c>
      <c r="AX16" s="1101" t="s">
        <v>150</v>
      </c>
      <c r="AZ16" s="1101" t="s">
        <v>1434</v>
      </c>
      <c r="BB16" s="1101" t="s">
        <v>1504</v>
      </c>
      <c r="BC16" s="1101" t="s">
        <v>1480</v>
      </c>
      <c r="BE16" s="1101">
        <v>2014</v>
      </c>
      <c r="BH16" s="1103" t="s">
        <v>1438</v>
      </c>
      <c r="BJ16" s="1118" t="s">
        <v>1505</v>
      </c>
      <c r="BL16" s="1118" t="s">
        <v>1505</v>
      </c>
      <c r="BN16" s="1103" t="s">
        <v>1506</v>
      </c>
      <c r="BR16" s="253"/>
      <c r="BS16" s="253"/>
      <c r="BT16" s="253"/>
      <c r="BU16" s="253"/>
      <c r="BV16" s="253"/>
      <c r="BW16" s="253"/>
      <c r="BX16" s="63"/>
    </row>
    <row r="17" ht="21" customHeight="1">
      <c r="A17" s="143" t="s">
        <v>16</v>
      </c>
      <c r="B17" s="1088">
        <v>2015</v>
      </c>
      <c r="G17" s="1089" t="s">
        <v>1456</v>
      </c>
      <c r="H17" s="1089" t="s">
        <v>1456</v>
      </c>
      <c r="I17" s="1089" t="s">
        <v>1507</v>
      </c>
      <c r="N17" s="1120" t="s">
        <v>1508</v>
      </c>
      <c r="X17" s="783"/>
      <c r="AW17" s="1101" t="s">
        <v>1502</v>
      </c>
      <c r="AX17" s="1101" t="s">
        <v>1502</v>
      </c>
      <c r="AZ17" s="1101" t="s">
        <v>67</v>
      </c>
      <c r="BB17" s="1101" t="s">
        <v>1509</v>
      </c>
      <c r="BC17" s="1101" t="s">
        <v>1368</v>
      </c>
      <c r="BE17" s="1101">
        <v>2015</v>
      </c>
      <c r="BH17" s="1103" t="s">
        <v>1452</v>
      </c>
      <c r="BJ17" s="1118" t="s">
        <v>1510</v>
      </c>
      <c r="BL17" s="1118" t="s">
        <v>1510</v>
      </c>
      <c r="BN17" s="1103" t="s">
        <v>1511</v>
      </c>
      <c r="BR17" s="1081" t="s">
        <v>1310</v>
      </c>
      <c r="BS17" s="1102"/>
      <c r="BU17" s="1081" t="s">
        <v>1512</v>
      </c>
      <c r="BV17" s="253"/>
      <c r="BW17" s="63"/>
      <c r="BX17" s="1081" t="s">
        <v>1513</v>
      </c>
      <c r="CA17" s="1081" t="s">
        <v>1514</v>
      </c>
      <c r="CD17" s="1081" t="s">
        <v>1515</v>
      </c>
    </row>
    <row r="18" ht="21" customHeight="1">
      <c r="A18" s="143" t="s">
        <v>1516</v>
      </c>
      <c r="B18" s="1088">
        <v>2016</v>
      </c>
      <c r="E18" s="1123" t="s">
        <v>1517</v>
      </c>
      <c r="I18" s="1089" t="s">
        <v>1518</v>
      </c>
      <c r="N18" s="1120" t="s">
        <v>1519</v>
      </c>
      <c r="X18" s="783"/>
      <c r="AW18" s="1101" t="s">
        <v>1507</v>
      </c>
      <c r="AX18" s="1101" t="s">
        <v>1507</v>
      </c>
      <c r="BB18" s="1101" t="s">
        <v>1520</v>
      </c>
      <c r="BC18" s="1101" t="s">
        <v>1368</v>
      </c>
      <c r="BE18" s="1101">
        <v>2016</v>
      </c>
      <c r="BH18" s="1103" t="s">
        <v>1465</v>
      </c>
      <c r="BJ18" s="1118" t="s">
        <v>1521</v>
      </c>
      <c r="BL18" s="1118" t="s">
        <v>1521</v>
      </c>
      <c r="BN18" s="1103" t="s">
        <v>1522</v>
      </c>
      <c r="BQ18" s="1104" t="s">
        <v>1340</v>
      </c>
      <c r="BR18" s="783" t="s">
        <v>1341</v>
      </c>
      <c r="BS18" s="783"/>
      <c r="BT18" s="1104" t="s">
        <v>1523</v>
      </c>
      <c r="BU18" s="783" t="s">
        <v>1524</v>
      </c>
      <c r="BV18" s="253"/>
      <c r="BW18" s="1104" t="s">
        <v>1525</v>
      </c>
      <c r="BX18" s="783" t="s">
        <v>1526</v>
      </c>
      <c r="BZ18" s="1104" t="s">
        <v>1527</v>
      </c>
      <c r="CA18" s="783" t="s">
        <v>1528</v>
      </c>
      <c r="CC18" s="1104" t="s">
        <v>1529</v>
      </c>
      <c r="CD18" s="783" t="s">
        <v>1530</v>
      </c>
    </row>
    <row r="19" ht="21" customHeight="1">
      <c r="A19" s="1121" t="s">
        <v>1531</v>
      </c>
      <c r="B19" s="1088">
        <v>2017</v>
      </c>
      <c r="E19" s="143" t="s">
        <v>162</v>
      </c>
      <c r="I19" s="1089" t="s">
        <v>1532</v>
      </c>
      <c r="N19" s="1120" t="s">
        <v>1533</v>
      </c>
      <c r="X19" s="783"/>
      <c r="AW19" s="1101" t="s">
        <v>1518</v>
      </c>
      <c r="AX19" s="1101" t="s">
        <v>1518</v>
      </c>
      <c r="AZ19" s="1081" t="s">
        <v>1534</v>
      </c>
      <c r="BB19" s="1101" t="s">
        <v>1535</v>
      </c>
      <c r="BC19" s="1101" t="s">
        <v>1368</v>
      </c>
      <c r="BE19" s="1101">
        <v>2017</v>
      </c>
      <c r="BH19" s="1103" t="s">
        <v>1536</v>
      </c>
      <c r="BJ19" s="1118" t="s">
        <v>1537</v>
      </c>
      <c r="BL19" s="1118" t="s">
        <v>1537</v>
      </c>
      <c r="BQ19" s="1101">
        <v>4190064</v>
      </c>
      <c r="BR19" s="1103" t="s">
        <v>1538</v>
      </c>
      <c r="BS19" s="1106"/>
      <c r="BT19" s="1101">
        <v>4189671</v>
      </c>
      <c r="BU19" s="1103" t="s">
        <v>1539</v>
      </c>
      <c r="BV19" s="253"/>
      <c r="BW19" s="1101">
        <v>4189706</v>
      </c>
      <c r="BX19" s="1103" t="s">
        <v>1540</v>
      </c>
      <c r="BZ19" s="1101">
        <v>4189714</v>
      </c>
      <c r="CA19" s="1103" t="s">
        <v>1541</v>
      </c>
      <c r="CC19" s="1101">
        <v>4189708</v>
      </c>
      <c r="CD19" s="1103" t="s">
        <v>1542</v>
      </c>
    </row>
    <row r="20" ht="21" customHeight="1">
      <c r="A20" s="143" t="s">
        <v>1543</v>
      </c>
      <c r="B20" s="1088">
        <v>2018</v>
      </c>
      <c r="E20" s="143" t="s">
        <v>1299</v>
      </c>
      <c r="I20" s="1089" t="s">
        <v>1544</v>
      </c>
      <c r="N20" s="1120" t="s">
        <v>1545</v>
      </c>
      <c r="AW20" s="1101" t="s">
        <v>1532</v>
      </c>
      <c r="AX20" s="1101" t="s">
        <v>1532</v>
      </c>
      <c r="AZ20" s="1101" t="s">
        <v>1546</v>
      </c>
      <c r="BB20" s="1101" t="s">
        <v>1547</v>
      </c>
      <c r="BC20" s="1101" t="s">
        <v>1480</v>
      </c>
      <c r="BE20" s="1101">
        <v>2018</v>
      </c>
      <c r="BH20" s="1103" t="s">
        <v>1476</v>
      </c>
      <c r="BJ20" s="1103" t="s">
        <v>1407</v>
      </c>
      <c r="BL20" s="1103" t="s">
        <v>1407</v>
      </c>
      <c r="BQ20" s="1101">
        <v>4190065</v>
      </c>
      <c r="BR20" s="1103" t="s">
        <v>1548</v>
      </c>
      <c r="BS20" s="1106"/>
      <c r="BT20" s="1101">
        <v>4189672</v>
      </c>
      <c r="BU20" s="1103" t="s">
        <v>1549</v>
      </c>
      <c r="BV20" s="253"/>
      <c r="BW20" s="1101">
        <v>4189705</v>
      </c>
      <c r="BX20" s="1103" t="s">
        <v>1550</v>
      </c>
      <c r="BZ20" s="1101">
        <v>4189713</v>
      </c>
      <c r="CA20" s="1103" t="s">
        <v>1550</v>
      </c>
      <c r="CC20" s="1101">
        <v>4189709</v>
      </c>
      <c r="CD20" s="1103" t="s">
        <v>1551</v>
      </c>
    </row>
    <row r="21" ht="21" customHeight="1">
      <c r="A21" s="143" t="s">
        <v>1552</v>
      </c>
      <c r="B21" s="1088">
        <v>2019</v>
      </c>
      <c r="I21" s="1089" t="s">
        <v>1553</v>
      </c>
      <c r="N21" s="1120" t="s">
        <v>1554</v>
      </c>
      <c r="AW21" s="1101" t="s">
        <v>1544</v>
      </c>
      <c r="AX21" s="1101" t="s">
        <v>1544</v>
      </c>
      <c r="AZ21" s="1101" t="s">
        <v>1555</v>
      </c>
      <c r="BB21" s="1101" t="s">
        <v>1556</v>
      </c>
      <c r="BC21" s="1101" t="s">
        <v>1368</v>
      </c>
      <c r="BE21" s="1101">
        <v>2019</v>
      </c>
      <c r="BH21" s="1103" t="s">
        <v>1482</v>
      </c>
      <c r="BJ21" s="1103" t="s">
        <v>1423</v>
      </c>
      <c r="BL21" s="1103" t="s">
        <v>1423</v>
      </c>
      <c r="BQ21" s="1101">
        <v>4190066</v>
      </c>
      <c r="BR21" s="1103" t="s">
        <v>1557</v>
      </c>
      <c r="BS21" s="1106"/>
      <c r="BT21" s="1101">
        <v>4189673</v>
      </c>
      <c r="BU21" s="1103" t="s">
        <v>1558</v>
      </c>
      <c r="BV21" s="253"/>
      <c r="BW21" s="1101">
        <v>4189707</v>
      </c>
      <c r="BX21" s="1103" t="s">
        <v>1559</v>
      </c>
      <c r="BZ21" s="1101">
        <v>4189712</v>
      </c>
      <c r="CA21" s="1103" t="s">
        <v>1560</v>
      </c>
      <c r="CC21" s="1101">
        <v>4189710</v>
      </c>
      <c r="CD21" s="1103" t="s">
        <v>1561</v>
      </c>
    </row>
    <row r="22" ht="21" customHeight="1">
      <c r="A22" s="143" t="s">
        <v>1562</v>
      </c>
      <c r="B22" s="1088">
        <v>2020</v>
      </c>
      <c r="N22" s="1120" t="s">
        <v>1563</v>
      </c>
      <c r="AW22" s="1101" t="s">
        <v>1553</v>
      </c>
      <c r="AX22" s="1101" t="s">
        <v>1553</v>
      </c>
      <c r="AZ22" s="1101" t="s">
        <v>1564</v>
      </c>
      <c r="BB22" s="1101" t="s">
        <v>1565</v>
      </c>
      <c r="BC22" s="1101" t="s">
        <v>1368</v>
      </c>
      <c r="BE22" s="1101">
        <v>2020</v>
      </c>
      <c r="BH22" s="1103" t="s">
        <v>1489</v>
      </c>
      <c r="BJ22" s="1103" t="s">
        <v>1438</v>
      </c>
      <c r="BL22" s="1103" t="s">
        <v>1438</v>
      </c>
      <c r="BQ22" s="1101">
        <v>4190067</v>
      </c>
      <c r="BR22" s="1103" t="s">
        <v>1566</v>
      </c>
      <c r="BS22" s="1106"/>
      <c r="BT22" s="1101">
        <v>4189674</v>
      </c>
      <c r="BU22" s="1103" t="s">
        <v>1567</v>
      </c>
      <c r="BV22" s="253"/>
      <c r="BW22" s="253"/>
      <c r="CC22" s="1101">
        <v>4189711</v>
      </c>
      <c r="CD22" s="1103" t="s">
        <v>288</v>
      </c>
    </row>
    <row r="23" ht="21" customHeight="1">
      <c r="A23" s="143" t="s">
        <v>1568</v>
      </c>
      <c r="B23" s="1088">
        <v>2021</v>
      </c>
      <c r="AW23" s="1101" t="s">
        <v>1569</v>
      </c>
      <c r="AX23" s="1101" t="s">
        <v>1569</v>
      </c>
      <c r="AZ23" s="1101" t="s">
        <v>1570</v>
      </c>
      <c r="BB23" s="1101" t="s">
        <v>1571</v>
      </c>
      <c r="BC23" s="1101" t="s">
        <v>1276</v>
      </c>
      <c r="BE23" s="1101">
        <v>2021</v>
      </c>
      <c r="BH23" s="1103" t="s">
        <v>1497</v>
      </c>
      <c r="BJ23" s="1103" t="s">
        <v>1452</v>
      </c>
      <c r="BL23" s="1103" t="s">
        <v>1452</v>
      </c>
      <c r="BQ23" s="1101">
        <v>4190068</v>
      </c>
      <c r="BR23" s="1103" t="s">
        <v>1572</v>
      </c>
      <c r="BS23" s="1106"/>
      <c r="BT23" s="1101">
        <v>4189675</v>
      </c>
      <c r="BU23" s="1103" t="s">
        <v>1573</v>
      </c>
      <c r="BV23" s="253"/>
      <c r="BW23" s="253"/>
      <c r="CC23" s="1101">
        <v>5110778</v>
      </c>
      <c r="CD23" s="1103" t="s">
        <v>1574</v>
      </c>
    </row>
    <row r="24" ht="21" customHeight="1">
      <c r="A24" s="143" t="s">
        <v>1575</v>
      </c>
      <c r="B24" s="1088">
        <v>2022</v>
      </c>
      <c r="AW24" s="1101" t="s">
        <v>1576</v>
      </c>
      <c r="AX24" s="1101" t="s">
        <v>1576</v>
      </c>
      <c r="AZ24" s="1101" t="s">
        <v>1577</v>
      </c>
      <c r="BB24" s="1101" t="s">
        <v>1578</v>
      </c>
      <c r="BC24" s="1101" t="s">
        <v>1579</v>
      </c>
      <c r="BE24" s="1101">
        <v>2022</v>
      </c>
      <c r="BH24" s="1103" t="s">
        <v>1506</v>
      </c>
      <c r="BJ24" s="1103" t="s">
        <v>1465</v>
      </c>
      <c r="BL24" s="1103" t="s">
        <v>1465</v>
      </c>
      <c r="BQ24" s="1101">
        <v>4190069</v>
      </c>
      <c r="BR24" s="1103" t="s">
        <v>1580</v>
      </c>
      <c r="BS24" s="1106"/>
      <c r="BT24" s="1101">
        <v>4189676</v>
      </c>
      <c r="BU24" s="1103" t="s">
        <v>1581</v>
      </c>
      <c r="BV24" s="253"/>
      <c r="BW24" s="253"/>
      <c r="CC24" s="1101">
        <v>25575374</v>
      </c>
      <c r="CD24" s="1103" t="s">
        <v>1582</v>
      </c>
    </row>
    <row r="25" ht="11.25" customHeight="1">
      <c r="A25" s="143" t="s">
        <v>1583</v>
      </c>
      <c r="B25" s="1088">
        <v>2023</v>
      </c>
      <c r="AW25" s="1101" t="s">
        <v>1584</v>
      </c>
      <c r="AX25" s="1101" t="s">
        <v>1584</v>
      </c>
      <c r="AZ25" s="1101" t="s">
        <v>1585</v>
      </c>
      <c r="BB25" s="1101" t="s">
        <v>1586</v>
      </c>
      <c r="BC25" s="1101" t="s">
        <v>1579</v>
      </c>
      <c r="BE25" s="1101">
        <v>2023</v>
      </c>
      <c r="BH25" s="1103" t="s">
        <v>1511</v>
      </c>
      <c r="BJ25" s="1103" t="s">
        <v>1536</v>
      </c>
      <c r="BL25" s="1103" t="s">
        <v>1536</v>
      </c>
      <c r="BQ25" s="1101">
        <v>4190070</v>
      </c>
      <c r="BR25" s="1103" t="s">
        <v>1587</v>
      </c>
      <c r="BS25" s="1106"/>
      <c r="BT25" s="1101">
        <v>4189677</v>
      </c>
      <c r="BU25" s="1103" t="s">
        <v>1588</v>
      </c>
      <c r="BV25" s="253"/>
      <c r="BW25" s="253"/>
    </row>
    <row r="26" ht="11.25" customHeight="1">
      <c r="A26" s="143" t="s">
        <v>1589</v>
      </c>
      <c r="B26" s="1088">
        <v>2024</v>
      </c>
      <c r="J26" s="1124" t="s">
        <v>1590</v>
      </c>
      <c r="AX26" s="1101" t="s">
        <v>1591</v>
      </c>
      <c r="AZ26" s="1101" t="s">
        <v>1459</v>
      </c>
      <c r="BB26" s="1101" t="s">
        <v>1592</v>
      </c>
      <c r="BC26" s="1101" t="s">
        <v>1579</v>
      </c>
      <c r="BE26" s="1101">
        <v>2024</v>
      </c>
      <c r="BH26" s="1103" t="s">
        <v>1522</v>
      </c>
      <c r="BJ26" s="1103" t="s">
        <v>1476</v>
      </c>
      <c r="BL26" s="1103" t="s">
        <v>1476</v>
      </c>
      <c r="BQ26" s="1101">
        <v>4190071</v>
      </c>
      <c r="BR26" s="1103" t="s">
        <v>1593</v>
      </c>
      <c r="BS26" s="1106"/>
      <c r="BV26" s="253"/>
      <c r="BW26" s="253"/>
    </row>
    <row r="27" ht="11.25" customHeight="1">
      <c r="A27" s="143" t="s">
        <v>1594</v>
      </c>
      <c r="B27" s="1088">
        <v>2025</v>
      </c>
      <c r="J27" s="149" t="s">
        <v>684</v>
      </c>
      <c r="AX27" s="1101" t="s">
        <v>1595</v>
      </c>
      <c r="BB27" s="1101" t="s">
        <v>1596</v>
      </c>
      <c r="BC27" s="1101" t="s">
        <v>1579</v>
      </c>
      <c r="BE27" s="1101">
        <v>2025</v>
      </c>
      <c r="BH27" s="253" t="s">
        <v>22</v>
      </c>
      <c r="BJ27" s="1103" t="s">
        <v>1482</v>
      </c>
      <c r="BL27" s="1103" t="s">
        <v>1482</v>
      </c>
      <c r="BN27" s="253" t="s">
        <v>22</v>
      </c>
      <c r="BQ27" s="1101">
        <v>4190072</v>
      </c>
      <c r="BR27" s="1103" t="s">
        <v>1597</v>
      </c>
      <c r="BS27" s="1106"/>
      <c r="BV27" s="253"/>
      <c r="BW27" s="253"/>
    </row>
    <row r="28" ht="11.25" customHeight="1">
      <c r="A28" s="143" t="s">
        <v>1598</v>
      </c>
      <c r="D28" s="143"/>
      <c r="E28" s="1125"/>
      <c r="F28" s="1125"/>
      <c r="H28" s="251" t="s">
        <v>1599</v>
      </c>
      <c r="AX28" s="1101" t="s">
        <v>1600</v>
      </c>
      <c r="AZ28" s="1081" t="s">
        <v>1601</v>
      </c>
      <c r="BB28" s="1101" t="s">
        <v>1602</v>
      </c>
      <c r="BC28" s="1101" t="s">
        <v>1603</v>
      </c>
      <c r="BE28" s="1101">
        <v>2026</v>
      </c>
      <c r="BH28" s="253" t="s">
        <v>22</v>
      </c>
      <c r="BJ28" s="1103" t="s">
        <v>1489</v>
      </c>
      <c r="BL28" s="1103" t="s">
        <v>1489</v>
      </c>
      <c r="BN28" s="253" t="s">
        <v>22</v>
      </c>
      <c r="BQ28" s="1101">
        <v>4190073</v>
      </c>
      <c r="BR28" s="1103" t="s">
        <v>1604</v>
      </c>
      <c r="BS28" s="1106"/>
      <c r="BV28" s="253"/>
      <c r="BW28" s="253"/>
    </row>
    <row r="29" ht="11.25" customHeight="1">
      <c r="A29" s="143" t="s">
        <v>1605</v>
      </c>
      <c r="D29" s="1126" t="s">
        <v>1606</v>
      </c>
      <c r="E29" s="1127" t="str">
        <f>IF(TEMPLATE_GROUP="","",INDEX(StartDateList,MATCH(TEMPLATE_GROUP,CodeTemplateList,0),1))</f>
        <v>01.01.2025</v>
      </c>
      <c r="F29" s="1127" t="str">
        <f>IF(TEMPLATE_GROUP="","",INDEX(EndDateList,MATCH(TEMPLATE_GROUP,CodeTemplateList,0),1))</f>
        <v>31.12.2025</v>
      </c>
      <c r="H29" s="1128" t="s">
        <v>1607</v>
      </c>
      <c r="AX29" s="1101" t="s">
        <v>1608</v>
      </c>
      <c r="AZ29" s="1101" t="s">
        <v>1261</v>
      </c>
      <c r="BB29" s="1101" t="s">
        <v>1459</v>
      </c>
      <c r="BC29" s="107"/>
      <c r="BE29" s="1101">
        <v>2027</v>
      </c>
      <c r="BJ29" s="1103" t="s">
        <v>1497</v>
      </c>
      <c r="BL29" s="1103" t="s">
        <v>1497</v>
      </c>
    </row>
    <row r="30" ht="11.25" customHeight="1">
      <c r="A30" s="143" t="s">
        <v>1609</v>
      </c>
      <c r="D30" s="1129"/>
      <c r="E30" s="267"/>
      <c r="F30" s="267"/>
      <c r="AX30" s="1101" t="s">
        <v>1610</v>
      </c>
      <c r="AZ30" s="1101" t="s">
        <v>1288</v>
      </c>
      <c r="BE30" s="1101">
        <v>2028</v>
      </c>
      <c r="BJ30" s="1103" t="s">
        <v>1611</v>
      </c>
      <c r="BL30" s="1103" t="s">
        <v>1611</v>
      </c>
    </row>
    <row r="31" ht="12.75" customHeight="1">
      <c r="A31" s="143" t="s">
        <v>1612</v>
      </c>
      <c r="D31" s="143"/>
      <c r="E31" s="1125"/>
      <c r="F31" s="1125"/>
      <c r="H31" s="1130"/>
      <c r="AX31" s="1101" t="s">
        <v>1613</v>
      </c>
      <c r="AZ31" s="1101" t="s">
        <v>1614</v>
      </c>
      <c r="BE31" s="1101">
        <v>2029</v>
      </c>
      <c r="BJ31" s="1103" t="s">
        <v>1615</v>
      </c>
      <c r="BL31" s="1103" t="s">
        <v>1615</v>
      </c>
    </row>
    <row r="32" ht="11.25" customHeight="1">
      <c r="A32" s="143" t="s">
        <v>1616</v>
      </c>
      <c r="D32" s="1126" t="s">
        <v>1617</v>
      </c>
      <c r="E32" s="1127" t="str">
        <f>IF(TEMPLATE_GROUP="","",INDEX(StartDateList,MATCH(TEMPLATE_GROUP,CodeTemplateList,0),1))</f>
        <v>01.01.2025</v>
      </c>
      <c r="F32" s="1127" t="str">
        <f>IF(TEMPLATE_GROUP="","",INDEX(EndDateList,MATCH(TEMPLATE_GROUP,CodeTemplateList,0),1))</f>
        <v>31.12.2025</v>
      </c>
      <c r="H32" s="1131" t="s">
        <v>1618</v>
      </c>
      <c r="O32" s="143" t="s">
        <v>1259</v>
      </c>
      <c r="AX32" s="1101" t="s">
        <v>1619</v>
      </c>
      <c r="AZ32" s="1101" t="s">
        <v>1356</v>
      </c>
      <c r="BE32" s="1101">
        <v>2030</v>
      </c>
      <c r="BJ32" s="1103" t="s">
        <v>1506</v>
      </c>
      <c r="BL32" s="1103" t="s">
        <v>1506</v>
      </c>
    </row>
    <row r="33" ht="11.25" customHeight="1">
      <c r="A33" s="143" t="s">
        <v>1620</v>
      </c>
      <c r="O33" s="143" t="s">
        <v>1285</v>
      </c>
      <c r="AX33" s="1101" t="s">
        <v>1621</v>
      </c>
      <c r="AZ33" s="1101" t="s">
        <v>1260</v>
      </c>
      <c r="BE33" s="1101">
        <v>2031</v>
      </c>
      <c r="BJ33" s="1103" t="s">
        <v>1511</v>
      </c>
      <c r="BL33" s="1103" t="s">
        <v>1511</v>
      </c>
    </row>
    <row r="34" ht="11.25" customHeight="1">
      <c r="A34" s="143" t="s">
        <v>1622</v>
      </c>
      <c r="O34" s="143" t="s">
        <v>1321</v>
      </c>
      <c r="AX34" s="1101" t="s">
        <v>1623</v>
      </c>
      <c r="BE34" s="1101">
        <v>2032</v>
      </c>
      <c r="BJ34" s="1103" t="s">
        <v>1522</v>
      </c>
      <c r="BL34" s="1103" t="s">
        <v>1522</v>
      </c>
    </row>
    <row r="35" ht="11.25" customHeight="1">
      <c r="A35" s="143" t="s">
        <v>1624</v>
      </c>
      <c r="O35" s="143" t="s">
        <v>1354</v>
      </c>
      <c r="AX35" s="1101" t="s">
        <v>1625</v>
      </c>
      <c r="AZ35" s="1081" t="s">
        <v>1626</v>
      </c>
      <c r="BE35" s="1101">
        <v>2033</v>
      </c>
      <c r="BL35" s="1103" t="s">
        <v>1627</v>
      </c>
    </row>
    <row r="36" ht="11.25" customHeight="1">
      <c r="A36" s="1121" t="s">
        <v>1628</v>
      </c>
      <c r="D36" s="1132" t="s">
        <v>1629</v>
      </c>
      <c r="E36" s="1133" t="s">
        <v>803</v>
      </c>
      <c r="F36" s="1100" t="str">
        <f>INDEX(E37:E41,MATCH(TEMPLATE_SPHERE,F37:F41,0))</f>
        <v>теплоснабжения</v>
      </c>
      <c r="G36" s="1100" t="str">
        <f>INDEX(G37:G41,MATCH(TEMPLATE_SPHERE,F37:F41,0))</f>
        <v>теплоснабжение</v>
      </c>
      <c r="O36" s="143" t="s">
        <v>1379</v>
      </c>
      <c r="AX36" s="1101" t="s">
        <v>1630</v>
      </c>
      <c r="AZ36" s="1101" t="s">
        <v>1260</v>
      </c>
      <c r="BE36" s="1101">
        <v>2034</v>
      </c>
      <c r="BL36" s="1103" t="s">
        <v>1631</v>
      </c>
    </row>
    <row r="37" ht="11.25" customHeight="1">
      <c r="A37" s="143" t="s">
        <v>1632</v>
      </c>
      <c r="E37" s="1134" t="s">
        <v>1633</v>
      </c>
      <c r="F37" s="1135" t="s">
        <v>803</v>
      </c>
      <c r="G37" s="1134" t="s">
        <v>1634</v>
      </c>
      <c r="O37" s="143" t="s">
        <v>1398</v>
      </c>
      <c r="AX37" s="1101" t="s">
        <v>1635</v>
      </c>
      <c r="AZ37" s="1101" t="s">
        <v>1287</v>
      </c>
      <c r="BE37" s="1101">
        <v>2035</v>
      </c>
    </row>
    <row r="38" ht="11.25" customHeight="1">
      <c r="A38" s="143" t="s">
        <v>1636</v>
      </c>
      <c r="E38" s="1134" t="s">
        <v>1637</v>
      </c>
      <c r="F38" s="1136" t="s">
        <v>849</v>
      </c>
      <c r="G38" s="1134" t="s">
        <v>1638</v>
      </c>
      <c r="O38" s="143" t="s">
        <v>1414</v>
      </c>
      <c r="AX38" s="1101" t="s">
        <v>1639</v>
      </c>
      <c r="AZ38" s="1101" t="s">
        <v>1322</v>
      </c>
      <c r="BE38" s="1101">
        <v>2036</v>
      </c>
      <c r="BH38" s="1081" t="s">
        <v>1640</v>
      </c>
      <c r="BJ38" s="1081" t="s">
        <v>1641</v>
      </c>
      <c r="BL38" s="1081" t="s">
        <v>1642</v>
      </c>
      <c r="BN38" s="1081" t="s">
        <v>1643</v>
      </c>
    </row>
    <row r="39" ht="11.25" customHeight="1">
      <c r="A39" s="143" t="s">
        <v>1644</v>
      </c>
      <c r="E39" s="1134" t="s">
        <v>1645</v>
      </c>
      <c r="F39" s="1136" t="s">
        <v>902</v>
      </c>
      <c r="G39" s="1134" t="s">
        <v>1646</v>
      </c>
      <c r="O39" s="143" t="s">
        <v>1430</v>
      </c>
      <c r="AX39" s="1101" t="s">
        <v>1647</v>
      </c>
      <c r="AZ39" s="1101" t="s">
        <v>1355</v>
      </c>
      <c r="BE39" s="1101">
        <v>2037</v>
      </c>
      <c r="BH39" s="1103" t="s">
        <v>1648</v>
      </c>
      <c r="BJ39" s="1118" t="s">
        <v>1648</v>
      </c>
      <c r="BL39" s="1118" t="s">
        <v>1648</v>
      </c>
      <c r="BN39" s="1103" t="s">
        <v>1649</v>
      </c>
    </row>
    <row r="40" ht="11.25" customHeight="1">
      <c r="A40" s="143" t="s">
        <v>1650</v>
      </c>
      <c r="E40" s="1134" t="s">
        <v>1651</v>
      </c>
      <c r="F40" s="1136" t="s">
        <v>889</v>
      </c>
      <c r="G40" s="1134" t="s">
        <v>1652</v>
      </c>
      <c r="O40" s="143" t="s">
        <v>1445</v>
      </c>
      <c r="AX40" s="1101" t="s">
        <v>1653</v>
      </c>
      <c r="BE40" s="1101">
        <v>2038</v>
      </c>
      <c r="BH40" s="1103" t="s">
        <v>1654</v>
      </c>
      <c r="BJ40" s="1118" t="s">
        <v>1070</v>
      </c>
      <c r="BL40" s="1118" t="s">
        <v>1070</v>
      </c>
      <c r="BN40" s="1103" t="s">
        <v>1104</v>
      </c>
    </row>
    <row r="41" ht="11.25" customHeight="1">
      <c r="A41" s="143" t="s">
        <v>1655</v>
      </c>
      <c r="E41" s="1134" t="s">
        <v>1656</v>
      </c>
      <c r="F41" s="1136" t="s">
        <v>1657</v>
      </c>
      <c r="G41" s="1134" t="s">
        <v>1656</v>
      </c>
      <c r="O41" s="143" t="s">
        <v>1459</v>
      </c>
      <c r="AX41" s="1101" t="s">
        <v>1658</v>
      </c>
      <c r="AZ41" s="1081" t="s">
        <v>1659</v>
      </c>
      <c r="BE41" s="1101">
        <v>2039</v>
      </c>
      <c r="BH41" s="1103" t="s">
        <v>1660</v>
      </c>
      <c r="BJ41" s="1118" t="s">
        <v>1066</v>
      </c>
      <c r="BL41" s="1118" t="s">
        <v>1066</v>
      </c>
      <c r="BN41" s="1103" t="s">
        <v>1091</v>
      </c>
    </row>
    <row r="42" ht="11.25" customHeight="1">
      <c r="A42" s="143" t="s">
        <v>1661</v>
      </c>
      <c r="AX42" s="1101" t="s">
        <v>1662</v>
      </c>
      <c r="AZ42" s="1101" t="s">
        <v>1259</v>
      </c>
      <c r="BE42" s="1101">
        <v>2040</v>
      </c>
      <c r="BH42" s="1103" t="s">
        <v>1088</v>
      </c>
      <c r="BJ42" s="1118" t="s">
        <v>1068</v>
      </c>
      <c r="BL42" s="1118" t="s">
        <v>1068</v>
      </c>
      <c r="BN42" s="1103" t="s">
        <v>1663</v>
      </c>
    </row>
    <row r="43" ht="11.25" customHeight="1">
      <c r="A43" s="143" t="s">
        <v>1664</v>
      </c>
      <c r="AX43" s="1101" t="s">
        <v>1665</v>
      </c>
      <c r="AZ43" s="1101" t="s">
        <v>1285</v>
      </c>
      <c r="BE43" s="1101">
        <v>2041</v>
      </c>
      <c r="BH43" s="1103" t="s">
        <v>1666</v>
      </c>
      <c r="BJ43" s="1118" t="s">
        <v>1660</v>
      </c>
      <c r="BL43" s="1118" t="s">
        <v>1660</v>
      </c>
      <c r="BN43" s="1103" t="s">
        <v>1667</v>
      </c>
    </row>
    <row r="44" ht="11.25" customHeight="1">
      <c r="A44" s="143" t="s">
        <v>1668</v>
      </c>
      <c r="G44" s="848">
        <f ca="1">YEAR(TODAY())</f>
        <v>2025</v>
      </c>
      <c r="I44" s="1137" t="s">
        <v>1669</v>
      </c>
      <c r="J44" s="1117" t="s">
        <v>1670</v>
      </c>
      <c r="K44" s="1117" t="s">
        <v>1671</v>
      </c>
      <c r="AX44" s="1101" t="s">
        <v>1672</v>
      </c>
      <c r="AZ44" s="1101" t="s">
        <v>1321</v>
      </c>
      <c r="BE44" s="1101">
        <v>2042</v>
      </c>
      <c r="BH44" s="1103" t="s">
        <v>1673</v>
      </c>
      <c r="BJ44" s="1118" t="s">
        <v>1088</v>
      </c>
      <c r="BL44" s="1118" t="s">
        <v>1088</v>
      </c>
      <c r="BN44" s="1103" t="s">
        <v>1674</v>
      </c>
    </row>
    <row r="45" ht="11.25" customHeight="1">
      <c r="A45" s="143" t="s">
        <v>1675</v>
      </c>
      <c r="D45" s="1132" t="s">
        <v>1676</v>
      </c>
      <c r="E45" s="1133" t="s">
        <v>1062</v>
      </c>
      <c r="F45" s="1082" t="s">
        <v>1677</v>
      </c>
      <c r="G45" s="1138" t="s">
        <v>1678</v>
      </c>
      <c r="H45" s="1137" t="s">
        <v>1679</v>
      </c>
      <c r="I45" s="1139" t="b">
        <f>INDEX(PeriodIsEmptyList,MATCH(TEMPLATE_GROUP,CodeTemplateList,0),1)</f>
        <v>0</v>
      </c>
      <c r="J45" s="1140" t="str">
        <f>INDEX(NameTemplatesInTitleList,MATCH(TEMPLATE_GROUP,CodeTemplateList,0),1)</f>
        <v xml:space="preserve">Информация об инвестиционных программах регулируемой организации в области теплоснабжения</v>
      </c>
      <c r="K45" s="1140"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оказания услуг)</v>
      </c>
      <c r="AX45" s="1101" t="s">
        <v>1680</v>
      </c>
      <c r="AZ45" s="1101" t="s">
        <v>1354</v>
      </c>
      <c r="BE45" s="1101">
        <v>2043</v>
      </c>
      <c r="BH45" s="1103" t="s">
        <v>1681</v>
      </c>
      <c r="BJ45" s="1118" t="s">
        <v>1082</v>
      </c>
      <c r="BL45" s="1118" t="s">
        <v>1082</v>
      </c>
      <c r="BN45" s="1103" t="s">
        <v>1682</v>
      </c>
    </row>
    <row r="46" ht="11.25" customHeight="1">
      <c r="A46" s="143" t="s">
        <v>1683</v>
      </c>
      <c r="E46" s="1134" t="s">
        <v>27</v>
      </c>
      <c r="F46" s="1135" t="s">
        <v>1684</v>
      </c>
      <c r="G46" s="1141" t="str">
        <f>_xlfn.IFERROR(IF(TITLE_DATE_FIL="","01.01."&amp;CURRENT_YEAR,"01.01."&amp;YEAR(TITLE_DATE_FIL)),"01.01."&amp;CURRENT_YEAR)</f>
        <v>01.01.2025</v>
      </c>
      <c r="H46" s="1141" t="str">
        <f>_xlfn.IFERROR(IF(TITLE_DATE_FIL="","31.12."&amp;CURRENT_YEAR,"31.12."&amp;YEAR(TITLE_DATE_FIL)),"31.12."&amp;CURRENT_YEAR)</f>
        <v>31.12.2025</v>
      </c>
      <c r="I46" s="1142" t="b">
        <f>IF(TITLE_DATE_FIL="",TRUE,FALSE)</f>
        <v>1</v>
      </c>
      <c r="J46" s="1143" t="str">
        <f>"Общая информация о регулируемой организации ("&amp;TEMPLATE_SPHERE_RUS&amp;")"</f>
        <v xml:space="preserve">Общая информация о регулируемой организации (теплоснабжения)</v>
      </c>
      <c r="K46" s="1144"/>
      <c r="AX46" s="1101" t="s">
        <v>1685</v>
      </c>
      <c r="AZ46" s="1101" t="s">
        <v>1379</v>
      </c>
      <c r="BE46" s="1101">
        <v>2044</v>
      </c>
      <c r="BH46" s="1103" t="s">
        <v>1091</v>
      </c>
      <c r="BJ46" s="1118" t="s">
        <v>1072</v>
      </c>
      <c r="BL46" s="1118" t="s">
        <v>1072</v>
      </c>
      <c r="BN46" s="1103" t="s">
        <v>1686</v>
      </c>
    </row>
    <row r="47" ht="11.25" customHeight="1">
      <c r="A47" s="143" t="s">
        <v>1687</v>
      </c>
      <c r="E47" s="1134" t="s">
        <v>33</v>
      </c>
      <c r="F47" s="1136" t="s">
        <v>1688</v>
      </c>
      <c r="G47" s="1141" t="str">
        <f>_xlfn.IFERROR(IF(f_year="","01.01."&amp;CURRENT_YEAR,IF(LEN(f_quart)=0,"01.01."&amp;f_year,IF(f_quart="I квартал","01.01."&amp;f_year,IF(f_quart="II квартал","01.04."&amp;f_year,(IF(f_quart="III квартал","01.07."&amp;f_year,"01.10."&amp;f_year)))))),"01.01."&amp;CURRENT_YEAR)</f>
        <v>01.01.2025</v>
      </c>
      <c r="H47" s="1141" t="str">
        <f>_xlfn.IFERROR(IF(f_year="","31.12."&amp;CURRENT_YEAR,IF(LEN(f_quart)=0,"31.12."&amp;f_year,IF(f_quart="I квартал","31.03."&amp;f_year,IF(f_quart="II квартал","30.06."&amp;f_year,(IF(f_quart="III квартал","30.09."&amp;f_year,"31.12."&amp;f_year)))))),"31.12."&amp;CURRENT_YEAR)</f>
        <v>31.12.2025</v>
      </c>
      <c r="I47" s="1145" t="b">
        <f>IF(OR(f_year="",f_quart=""),TRUE,FALSE)</f>
        <v>1</v>
      </c>
      <c r="J47" s="114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144"/>
      <c r="AX47" s="1101" t="s">
        <v>1689</v>
      </c>
      <c r="AZ47" s="1101" t="s">
        <v>1398</v>
      </c>
      <c r="BE47" s="1101">
        <v>2045</v>
      </c>
      <c r="BH47" s="1103" t="s">
        <v>1663</v>
      </c>
      <c r="BJ47" s="1118" t="s">
        <v>1074</v>
      </c>
      <c r="BL47" s="1118" t="s">
        <v>1074</v>
      </c>
      <c r="BN47" s="1103" t="s">
        <v>1690</v>
      </c>
    </row>
    <row r="48" ht="11.25" customHeight="1">
      <c r="A48" s="143" t="s">
        <v>1691</v>
      </c>
      <c r="E48" s="1134" t="s">
        <v>1692</v>
      </c>
      <c r="F48" s="1136" t="s">
        <v>1693</v>
      </c>
      <c r="G48" s="1141" t="str">
        <f t="shared" ref="G48:G50" si="55">_xlfn.IFERROR(IF(f_year="","01.01."&amp;CURRENT_YEAR,"01.01."&amp;f_year),"01.01."&amp;CURRENT_YEAR)</f>
        <v>01.01.2025</v>
      </c>
      <c r="H48" s="1141" t="str">
        <f t="shared" ref="H48:H50" si="56">_xlfn.IFERROR(IF(f_year="","31.12."&amp;CURRENT_YEAR,"31.12."&amp;f_year),"31.12."&amp;CURRENT_YEAR)</f>
        <v>31.12.2025</v>
      </c>
      <c r="I48" s="1142" t="b">
        <f t="shared" ref="I48:I50" si="57">IF(f_year="",TRUE,FALSE)</f>
        <v>0</v>
      </c>
      <c r="J48" s="1143" t="s">
        <v>1694</v>
      </c>
      <c r="K48" s="1144"/>
      <c r="AX48" s="1101" t="s">
        <v>1695</v>
      </c>
      <c r="AZ48" s="1101" t="s">
        <v>1414</v>
      </c>
      <c r="BE48" s="1101">
        <v>2046</v>
      </c>
      <c r="BH48" s="1103" t="s">
        <v>1667</v>
      </c>
      <c r="BJ48" s="1118" t="s">
        <v>1076</v>
      </c>
      <c r="BL48" s="1118" t="s">
        <v>1076</v>
      </c>
      <c r="BN48" s="1103" t="s">
        <v>1696</v>
      </c>
    </row>
    <row r="49" ht="11.25" customHeight="1">
      <c r="A49" s="143" t="s">
        <v>1697</v>
      </c>
      <c r="E49" s="1134" t="s">
        <v>1698</v>
      </c>
      <c r="F49" s="1136" t="s">
        <v>1699</v>
      </c>
      <c r="G49" s="1141" t="str">
        <f t="shared" si="55"/>
        <v>01.01.2025</v>
      </c>
      <c r="H49" s="1141" t="str">
        <f t="shared" si="56"/>
        <v>31.12.2025</v>
      </c>
      <c r="I49" s="1142" t="b">
        <f t="shared" si="57"/>
        <v>0</v>
      </c>
      <c r="J49" s="1143"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144"/>
      <c r="AX49" s="1101" t="s">
        <v>1700</v>
      </c>
      <c r="AZ49" s="1101" t="s">
        <v>1430</v>
      </c>
      <c r="BE49" s="1101">
        <v>2047</v>
      </c>
      <c r="BH49" s="1103" t="s">
        <v>1092</v>
      </c>
      <c r="BJ49" s="1118" t="s">
        <v>1078</v>
      </c>
      <c r="BL49" s="1118" t="s">
        <v>1078</v>
      </c>
    </row>
    <row r="50" ht="11.25" customHeight="1">
      <c r="A50" s="143" t="s">
        <v>1701</v>
      </c>
      <c r="E50" s="1134" t="s">
        <v>1702</v>
      </c>
      <c r="F50" s="1136" t="s">
        <v>1062</v>
      </c>
      <c r="G50" s="1141" t="str">
        <f t="shared" si="55"/>
        <v>01.01.2025</v>
      </c>
      <c r="H50" s="1141" t="str">
        <f t="shared" si="56"/>
        <v>31.12.2025</v>
      </c>
      <c r="I50" s="1142" t="b">
        <f t="shared" si="57"/>
        <v>0</v>
      </c>
      <c r="J50" s="1143"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144"/>
      <c r="AX50" s="1101" t="s">
        <v>1703</v>
      </c>
      <c r="AZ50" s="1101" t="s">
        <v>1445</v>
      </c>
      <c r="BE50" s="1101">
        <v>2048</v>
      </c>
      <c r="BH50" s="1103" t="s">
        <v>1674</v>
      </c>
      <c r="BJ50" s="1118" t="s">
        <v>1080</v>
      </c>
      <c r="BL50" s="1118" t="s">
        <v>1080</v>
      </c>
    </row>
    <row r="51" ht="11.25" customHeight="1">
      <c r="A51" s="143" t="s">
        <v>1704</v>
      </c>
      <c r="E51" s="1134" t="s">
        <v>1705</v>
      </c>
      <c r="F51" s="1136" t="s">
        <v>1706</v>
      </c>
      <c r="G51" s="1141" t="str">
        <f t="shared" ref="G51:G52" si="58">_xlfn.IFERROR(IF(TITLE_PERIOD_START="","01.01."&amp;CURRENT_YEAR,"01.01."&amp;YEAR(TITLE_PERIOD_START)),"01.01."&amp;CURRENT_YEAR)</f>
        <v>01.01.2025</v>
      </c>
      <c r="H51" s="1141" t="str">
        <f t="shared" ref="H51:H52" si="59">_xlfn.IFERROR(IF(TITLE_PERIOD_END="","31.12."&amp;CURRENT_YEAR,"31.12."&amp;YEAR(TITLE_PERIOD_END)),"31.12."&amp;CURRENT_YEAR)</f>
        <v>31.12.2025</v>
      </c>
      <c r="I51" s="1145" t="b">
        <f t="shared" ref="I51:I52" si="60">IF(OR(TITLE_PERIOD_START="",TITLE_PERIOD_END=""),TRUE,FALSE)</f>
        <v>1</v>
      </c>
      <c r="J51" s="114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144"/>
      <c r="AX51" s="1101" t="s">
        <v>1707</v>
      </c>
      <c r="AZ51" s="1101" t="s">
        <v>1459</v>
      </c>
      <c r="BE51" s="1101">
        <v>2049</v>
      </c>
      <c r="BH51" s="1103" t="s">
        <v>1682</v>
      </c>
      <c r="BJ51" s="1118" t="s">
        <v>1708</v>
      </c>
      <c r="BL51" s="1118" t="s">
        <v>1708</v>
      </c>
    </row>
    <row r="52" ht="11.25" customHeight="1">
      <c r="A52" s="143" t="s">
        <v>1709</v>
      </c>
      <c r="E52" s="1134" t="s">
        <v>1710</v>
      </c>
      <c r="F52" s="1136" t="s">
        <v>1711</v>
      </c>
      <c r="G52" s="1141" t="str">
        <f t="shared" si="58"/>
        <v>01.01.2025</v>
      </c>
      <c r="H52" s="1141" t="str">
        <f t="shared" si="59"/>
        <v>31.12.2025</v>
      </c>
      <c r="I52" s="1145" t="b">
        <f t="shared" si="60"/>
        <v>1</v>
      </c>
      <c r="J52" s="1143"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144"/>
      <c r="AX52" s="1101" t="s">
        <v>1712</v>
      </c>
      <c r="AZ52" s="1101" t="s">
        <v>1260</v>
      </c>
      <c r="BE52" s="1101">
        <v>2050</v>
      </c>
      <c r="BH52" s="1103" t="s">
        <v>1686</v>
      </c>
      <c r="BJ52" s="1118" t="s">
        <v>1091</v>
      </c>
      <c r="BL52" s="1118" t="s">
        <v>1091</v>
      </c>
    </row>
    <row r="53" ht="11.25" customHeight="1">
      <c r="A53" s="143" t="s">
        <v>1713</v>
      </c>
      <c r="E53" s="1134" t="s">
        <v>1714</v>
      </c>
      <c r="F53" s="1136" t="s">
        <v>1714</v>
      </c>
      <c r="G53" s="1141" t="str">
        <f>_xlfn.IFERROR(IF(f_year="","01.01."&amp;CURRENT_YEAR,"01.01."&amp;f_year),"01.01."&amp;CURRENT_YEAR)</f>
        <v>01.01.2025</v>
      </c>
      <c r="H53" s="1141" t="str">
        <f>_xlfn.IFERROR(IF(f_year="","31.12."&amp;CURRENT_YEAR,"31.12."&amp;f_year),"31.12."&amp;CURRENT_YEAR)</f>
        <v>31.12.2025</v>
      </c>
      <c r="I53" s="1142" t="b">
        <f>IF(AND(f_year="",TITLE_DATE_FIL=""),TRUE,FALSE)</f>
        <v>0</v>
      </c>
      <c r="J53" s="1143" t="s">
        <v>1715</v>
      </c>
      <c r="K53" s="1144"/>
      <c r="AX53" s="1101" t="s">
        <v>1716</v>
      </c>
      <c r="BE53" s="1101">
        <v>2051</v>
      </c>
      <c r="BH53" s="1103" t="s">
        <v>1690</v>
      </c>
      <c r="BJ53" s="1118" t="s">
        <v>1663</v>
      </c>
      <c r="BL53" s="1118" t="s">
        <v>1663</v>
      </c>
    </row>
    <row r="54" ht="11.25" customHeight="1">
      <c r="A54" s="143" t="s">
        <v>1717</v>
      </c>
      <c r="AX54" s="1101" t="s">
        <v>1718</v>
      </c>
      <c r="AZ54" s="1081" t="s">
        <v>1719</v>
      </c>
      <c r="BE54" s="1101">
        <v>2052</v>
      </c>
      <c r="BH54" s="1103" t="s">
        <v>1696</v>
      </c>
      <c r="BJ54" s="1118" t="s">
        <v>1667</v>
      </c>
      <c r="BL54" s="1118" t="s">
        <v>1667</v>
      </c>
    </row>
    <row r="55" ht="11.25" customHeight="1">
      <c r="A55" s="143" t="s">
        <v>1720</v>
      </c>
      <c r="AX55" s="1101" t="s">
        <v>1721</v>
      </c>
      <c r="AZ55" s="1101" t="s">
        <v>1262</v>
      </c>
      <c r="BE55" s="1101">
        <v>2053</v>
      </c>
      <c r="BH55" s="253" t="s">
        <v>22</v>
      </c>
      <c r="BJ55" s="1118" t="s">
        <v>1092</v>
      </c>
      <c r="BL55" s="1118" t="s">
        <v>1092</v>
      </c>
    </row>
    <row r="56" ht="11.25" customHeight="1">
      <c r="A56" s="143" t="s">
        <v>1722</v>
      </c>
      <c r="D56" s="1146" t="s">
        <v>1723</v>
      </c>
      <c r="E56" s="1117" t="s">
        <v>108</v>
      </c>
      <c r="F56" s="143" t="s">
        <v>1724</v>
      </c>
      <c r="AX56" s="1101" t="s">
        <v>1725</v>
      </c>
      <c r="AZ56" s="1101" t="s">
        <v>1289</v>
      </c>
      <c r="BE56" s="1101">
        <v>2054</v>
      </c>
      <c r="BH56" s="253" t="s">
        <v>22</v>
      </c>
      <c r="BJ56" s="1118" t="s">
        <v>1674</v>
      </c>
      <c r="BL56" s="1118" t="s">
        <v>1674</v>
      </c>
    </row>
    <row r="57" ht="11.25" customHeight="1">
      <c r="A57" s="143" t="s">
        <v>1726</v>
      </c>
      <c r="D57" s="1146" t="s">
        <v>1727</v>
      </c>
      <c r="E57" s="1117" t="s">
        <v>108</v>
      </c>
      <c r="F57" s="143" t="s">
        <v>1724</v>
      </c>
      <c r="AX57" s="1101" t="s">
        <v>1728</v>
      </c>
      <c r="AZ57" s="1101" t="s">
        <v>1324</v>
      </c>
      <c r="BE57" s="1101">
        <v>2055</v>
      </c>
      <c r="BJ57" s="1118" t="s">
        <v>1682</v>
      </c>
      <c r="BL57" s="1118" t="s">
        <v>1682</v>
      </c>
    </row>
    <row r="58" ht="11.25" customHeight="1">
      <c r="A58" s="143" t="s">
        <v>1729</v>
      </c>
      <c r="D58" s="1146" t="s">
        <v>1730</v>
      </c>
      <c r="E58" s="1117" t="s">
        <v>1716</v>
      </c>
      <c r="F58" s="143" t="s">
        <v>1724</v>
      </c>
      <c r="AX58" s="1101" t="s">
        <v>1731</v>
      </c>
      <c r="BE58" s="1101">
        <v>2056</v>
      </c>
      <c r="BJ58" s="1118" t="s">
        <v>1686</v>
      </c>
      <c r="BL58" s="1118" t="s">
        <v>1686</v>
      </c>
    </row>
    <row r="59" ht="11.25" customHeight="1">
      <c r="A59" s="143" t="s">
        <v>1732</v>
      </c>
      <c r="D59" s="1146" t="s">
        <v>128</v>
      </c>
      <c r="E59" s="1117" t="s">
        <v>1619</v>
      </c>
      <c r="F59" s="143" t="s">
        <v>1733</v>
      </c>
      <c r="AX59" s="1101" t="s">
        <v>1734</v>
      </c>
      <c r="AZ59" s="1081" t="s">
        <v>1735</v>
      </c>
      <c r="BE59" s="1101">
        <v>2057</v>
      </c>
      <c r="BJ59" s="1118" t="s">
        <v>1690</v>
      </c>
      <c r="BL59" s="1118" t="s">
        <v>1690</v>
      </c>
    </row>
    <row r="60" ht="11.25" customHeight="1">
      <c r="A60" s="143" t="s">
        <v>1736</v>
      </c>
      <c r="D60" s="1146" t="s">
        <v>1737</v>
      </c>
      <c r="E60" s="1117" t="s">
        <v>1619</v>
      </c>
      <c r="F60" s="143" t="s">
        <v>1733</v>
      </c>
      <c r="AX60" s="1101" t="s">
        <v>1738</v>
      </c>
      <c r="AZ60" s="1101" t="s">
        <v>1263</v>
      </c>
      <c r="BE60" s="1101">
        <v>2058</v>
      </c>
      <c r="BJ60" s="1118" t="s">
        <v>1696</v>
      </c>
      <c r="BL60" s="1118" t="s">
        <v>1696</v>
      </c>
    </row>
    <row r="61" ht="11.25" customHeight="1">
      <c r="A61" s="143" t="s">
        <v>1739</v>
      </c>
      <c r="D61" s="1146" t="s">
        <v>1740</v>
      </c>
      <c r="E61" s="1117" t="s">
        <v>1619</v>
      </c>
      <c r="F61" s="143" t="s">
        <v>1733</v>
      </c>
      <c r="AX61" s="1101" t="s">
        <v>1741</v>
      </c>
      <c r="AZ61" s="1101" t="s">
        <v>1290</v>
      </c>
      <c r="BE61" s="1101">
        <v>2059</v>
      </c>
      <c r="BL61" s="1118" t="s">
        <v>1084</v>
      </c>
    </row>
    <row r="62" ht="11.25" customHeight="1">
      <c r="A62" s="143" t="s">
        <v>1742</v>
      </c>
      <c r="D62" s="1146" t="s">
        <v>127</v>
      </c>
      <c r="E62" s="1117">
        <v>30</v>
      </c>
      <c r="F62" s="143" t="s">
        <v>1733</v>
      </c>
      <c r="AZ62" s="1101" t="s">
        <v>1325</v>
      </c>
      <c r="BE62" s="1101">
        <v>2060</v>
      </c>
      <c r="BL62" s="1118" t="s">
        <v>1086</v>
      </c>
    </row>
    <row r="63" ht="11.25" customHeight="1">
      <c r="A63" s="143" t="s">
        <v>1743</v>
      </c>
      <c r="D63" s="1146" t="s">
        <v>1744</v>
      </c>
      <c r="E63" s="1117">
        <v>30</v>
      </c>
      <c r="F63" s="143" t="s">
        <v>1733</v>
      </c>
      <c r="AZ63" s="1101" t="s">
        <v>1357</v>
      </c>
      <c r="BE63" s="1101">
        <v>2061</v>
      </c>
    </row>
    <row r="64" ht="11.25" customHeight="1">
      <c r="A64" s="143" t="s">
        <v>1745</v>
      </c>
      <c r="D64" s="1146" t="s">
        <v>1746</v>
      </c>
      <c r="E64" s="1117">
        <v>30</v>
      </c>
      <c r="F64" s="143" t="s">
        <v>1733</v>
      </c>
      <c r="AZ64" s="1101" t="s">
        <v>1380</v>
      </c>
      <c r="BE64" s="1101">
        <v>2062</v>
      </c>
    </row>
    <row r="65" ht="11.25" customHeight="1">
      <c r="A65" s="143" t="s">
        <v>1747</v>
      </c>
      <c r="D65" s="143"/>
      <c r="BE65" s="1101">
        <v>2063</v>
      </c>
    </row>
    <row r="66" ht="11.25" customHeight="1">
      <c r="A66" s="143" t="s">
        <v>1748</v>
      </c>
      <c r="AZ66" s="1081" t="s">
        <v>1749</v>
      </c>
      <c r="BE66" s="1101">
        <v>2064</v>
      </c>
    </row>
    <row r="67" ht="11.25" customHeight="1">
      <c r="A67" s="143" t="s">
        <v>1750</v>
      </c>
      <c r="AZ67" s="1101" t="s">
        <v>1264</v>
      </c>
      <c r="BE67" s="1101">
        <v>2065</v>
      </c>
    </row>
    <row r="68" ht="11.25" customHeight="1">
      <c r="A68" s="143" t="s">
        <v>1751</v>
      </c>
      <c r="AZ68" s="1101" t="s">
        <v>1291</v>
      </c>
      <c r="BE68" s="1101">
        <v>2066</v>
      </c>
      <c r="BH68" s="1081" t="s">
        <v>1752</v>
      </c>
      <c r="BJ68" s="1081" t="s">
        <v>1753</v>
      </c>
      <c r="BL68" s="1081" t="s">
        <v>1754</v>
      </c>
      <c r="BN68" s="1081" t="s">
        <v>1755</v>
      </c>
    </row>
    <row r="69" ht="11.25" customHeight="1">
      <c r="A69" s="143" t="s">
        <v>1756</v>
      </c>
      <c r="AZ69" s="1101" t="s">
        <v>1326</v>
      </c>
      <c r="BE69" s="1101">
        <v>2067</v>
      </c>
      <c r="BH69" s="1103" t="s">
        <v>1757</v>
      </c>
      <c r="BI69" s="253" t="s">
        <v>106</v>
      </c>
      <c r="BJ69" s="1103" t="s">
        <v>1758</v>
      </c>
      <c r="BK69" s="253" t="s">
        <v>106</v>
      </c>
      <c r="BL69" s="1103" t="s">
        <v>1759</v>
      </c>
      <c r="BM69" s="253" t="s">
        <v>106</v>
      </c>
      <c r="BN69" s="1103" t="s">
        <v>1760</v>
      </c>
    </row>
    <row r="70" ht="11.25" customHeight="1">
      <c r="A70" s="143" t="s">
        <v>1761</v>
      </c>
      <c r="AZ70" s="1101" t="s">
        <v>1358</v>
      </c>
      <c r="BE70" s="1101">
        <v>2068</v>
      </c>
      <c r="BH70" s="1103" t="s">
        <v>1054</v>
      </c>
      <c r="BJ70" s="1103" t="s">
        <v>1762</v>
      </c>
      <c r="BL70" s="1103" t="s">
        <v>1763</v>
      </c>
      <c r="BN70" s="1103" t="s">
        <v>1764</v>
      </c>
    </row>
    <row r="71" ht="11.25" customHeight="1">
      <c r="A71" s="143" t="s">
        <v>1765</v>
      </c>
      <c r="AZ71" s="1101" t="s">
        <v>1360</v>
      </c>
      <c r="BE71" s="1101">
        <v>2069</v>
      </c>
      <c r="BH71" s="1103" t="s">
        <v>1037</v>
      </c>
      <c r="BI71" s="253" t="s">
        <v>90</v>
      </c>
      <c r="BJ71" s="1103" t="s">
        <v>1766</v>
      </c>
      <c r="BK71" s="253" t="s">
        <v>90</v>
      </c>
      <c r="BL71" s="1103" t="s">
        <v>1767</v>
      </c>
      <c r="BM71" s="253" t="s">
        <v>90</v>
      </c>
      <c r="BN71" s="1103" t="s">
        <v>1768</v>
      </c>
    </row>
    <row r="72" ht="11.25" customHeight="1">
      <c r="A72" s="143" t="s">
        <v>1769</v>
      </c>
      <c r="AZ72" s="1101" t="s">
        <v>19</v>
      </c>
      <c r="BE72" s="1101">
        <v>2070</v>
      </c>
      <c r="BH72" s="1103" t="s">
        <v>1770</v>
      </c>
      <c r="BJ72" s="1103" t="s">
        <v>1770</v>
      </c>
      <c r="BL72" s="1103" t="s">
        <v>1770</v>
      </c>
      <c r="BN72" s="1103" t="s">
        <v>1771</v>
      </c>
    </row>
    <row r="73" ht="11.25" customHeight="1">
      <c r="A73" s="143" t="s">
        <v>1772</v>
      </c>
      <c r="BH73" s="1103" t="s">
        <v>1773</v>
      </c>
      <c r="BI73" s="253" t="s">
        <v>108</v>
      </c>
      <c r="BJ73" s="1103" t="s">
        <v>1774</v>
      </c>
      <c r="BK73" s="253" t="s">
        <v>108</v>
      </c>
      <c r="BL73" s="1103" t="s">
        <v>1775</v>
      </c>
      <c r="BM73" s="253" t="s">
        <v>108</v>
      </c>
      <c r="BN73" s="1103" t="s">
        <v>1776</v>
      </c>
    </row>
    <row r="74" ht="11.25" customHeight="1">
      <c r="A74" s="143" t="s">
        <v>1777</v>
      </c>
      <c r="BH74" s="1103" t="s">
        <v>1778</v>
      </c>
      <c r="BJ74" s="1103" t="s">
        <v>1779</v>
      </c>
      <c r="BL74" s="1103" t="s">
        <v>1780</v>
      </c>
      <c r="BN74" s="1103" t="s">
        <v>1781</v>
      </c>
    </row>
    <row r="75" ht="11.25" customHeight="1">
      <c r="A75" s="143" t="s">
        <v>1782</v>
      </c>
      <c r="AZ75" s="1081" t="s">
        <v>1783</v>
      </c>
      <c r="BH75" s="1103" t="s">
        <v>1784</v>
      </c>
      <c r="BJ75" s="1103" t="s">
        <v>1784</v>
      </c>
      <c r="BL75" s="1103" t="s">
        <v>1784</v>
      </c>
    </row>
    <row r="76" ht="11.25" customHeight="1">
      <c r="A76" s="143" t="s">
        <v>1785</v>
      </c>
      <c r="AZ76" s="1101" t="s">
        <v>1273</v>
      </c>
      <c r="BH76" s="1103" t="s">
        <v>1021</v>
      </c>
      <c r="BJ76" s="1103" t="s">
        <v>1786</v>
      </c>
      <c r="BL76" s="1103" t="s">
        <v>1787</v>
      </c>
    </row>
    <row r="77" ht="11.25" customHeight="1">
      <c r="A77" s="143" t="s">
        <v>1788</v>
      </c>
      <c r="AZ77" s="1101" t="s">
        <v>1301</v>
      </c>
    </row>
    <row r="78" ht="11.25" customHeight="1">
      <c r="A78" s="143" t="s">
        <v>1789</v>
      </c>
      <c r="AZ78" s="1101" t="s">
        <v>1333</v>
      </c>
    </row>
    <row r="79" ht="11.25" customHeight="1">
      <c r="A79" s="143" t="s">
        <v>1790</v>
      </c>
      <c r="AZ79" s="1101" t="s">
        <v>1364</v>
      </c>
      <c r="BH79" s="1081" t="s">
        <v>1791</v>
      </c>
      <c r="BJ79" s="1081" t="s">
        <v>1792</v>
      </c>
      <c r="BL79" s="1081" t="s">
        <v>1793</v>
      </c>
    </row>
    <row r="80" ht="11.25" customHeight="1">
      <c r="A80" s="143" t="s">
        <v>1794</v>
      </c>
      <c r="AZ80" s="1101" t="s">
        <v>1385</v>
      </c>
      <c r="BH80" s="1103" t="s">
        <v>1795</v>
      </c>
      <c r="BJ80" s="1103" t="s">
        <v>1796</v>
      </c>
      <c r="BL80" s="1103" t="s">
        <v>1797</v>
      </c>
    </row>
    <row r="81" ht="11.25" customHeight="1">
      <c r="A81" s="143" t="s">
        <v>1798</v>
      </c>
      <c r="AZ81" s="1101" t="s">
        <v>1402</v>
      </c>
      <c r="BH81" s="1103" t="s">
        <v>1799</v>
      </c>
      <c r="BJ81" s="1103" t="s">
        <v>1800</v>
      </c>
      <c r="BL81" s="1103" t="s">
        <v>1801</v>
      </c>
    </row>
    <row r="82" ht="11.25" customHeight="1">
      <c r="A82" s="143" t="s">
        <v>1802</v>
      </c>
      <c r="AZ82" s="1101" t="s">
        <v>1416</v>
      </c>
      <c r="BH82" s="1103" t="s">
        <v>1803</v>
      </c>
      <c r="BJ82" s="1103" t="s">
        <v>1804</v>
      </c>
      <c r="BL82" s="1103" t="s">
        <v>1805</v>
      </c>
    </row>
    <row r="83" ht="11.25" customHeight="1">
      <c r="A83" s="143" t="s">
        <v>1806</v>
      </c>
      <c r="BH83" s="1103" t="s">
        <v>1807</v>
      </c>
      <c r="BJ83" s="1103" t="s">
        <v>1808</v>
      </c>
      <c r="BL83" s="1103" t="s">
        <v>1809</v>
      </c>
    </row>
    <row r="84" ht="11.25" customHeight="1">
      <c r="A84" s="143" t="s">
        <v>1810</v>
      </c>
      <c r="AZ84" s="1081" t="s">
        <v>1811</v>
      </c>
    </row>
    <row r="85" ht="11.25" customHeight="1">
      <c r="A85" s="1121" t="s">
        <v>1812</v>
      </c>
      <c r="AZ85" s="1101" t="s">
        <v>1813</v>
      </c>
    </row>
    <row r="86" ht="11.25" customHeight="1">
      <c r="A86" s="143" t="s">
        <v>1814</v>
      </c>
      <c r="AZ86" s="1101" t="s">
        <v>1815</v>
      </c>
      <c r="BH86" s="1081" t="s">
        <v>1036</v>
      </c>
      <c r="BJ86" s="1081" t="s">
        <v>1816</v>
      </c>
      <c r="BL86" s="1081" t="s">
        <v>1817</v>
      </c>
    </row>
    <row r="87" ht="11.25" customHeight="1">
      <c r="A87" s="143" t="s">
        <v>1818</v>
      </c>
      <c r="AZ87" s="1101" t="s">
        <v>1819</v>
      </c>
      <c r="BH87" s="1103" t="s">
        <v>1045</v>
      </c>
      <c r="BJ87" s="1103" t="s">
        <v>1820</v>
      </c>
      <c r="BL87" s="1103" t="s">
        <v>1821</v>
      </c>
    </row>
    <row r="88" ht="11.25" customHeight="1">
      <c r="A88" s="143" t="s">
        <v>1822</v>
      </c>
      <c r="AZ88" s="63"/>
      <c r="BH88" s="1103" t="s">
        <v>1038</v>
      </c>
      <c r="BJ88" s="1103" t="s">
        <v>1823</v>
      </c>
      <c r="BL88" s="1103" t="s">
        <v>1824</v>
      </c>
    </row>
    <row r="89" ht="11.25" customHeight="1">
      <c r="A89" s="143" t="s">
        <v>1825</v>
      </c>
      <c r="AZ89" s="1081" t="s">
        <v>1826</v>
      </c>
    </row>
    <row r="90" ht="11.25" customHeight="1">
      <c r="A90" s="143" t="s">
        <v>1827</v>
      </c>
      <c r="AZ90" s="1101" t="s">
        <v>1062</v>
      </c>
    </row>
    <row r="91" ht="11.25" customHeight="1">
      <c r="A91" s="143" t="s">
        <v>1828</v>
      </c>
      <c r="AZ91" s="1101" t="s">
        <v>1098</v>
      </c>
      <c r="BH91" s="1081" t="s">
        <v>1829</v>
      </c>
      <c r="BJ91" s="1081" t="s">
        <v>1830</v>
      </c>
      <c r="BL91" s="1081" t="s">
        <v>1831</v>
      </c>
    </row>
    <row r="92" ht="11.25" customHeight="1">
      <c r="AZ92" s="1101" t="s">
        <v>1832</v>
      </c>
      <c r="BH92" s="1103" t="s">
        <v>1833</v>
      </c>
      <c r="BJ92" s="1103" t="s">
        <v>1834</v>
      </c>
      <c r="BL92" s="1103" t="s">
        <v>1835</v>
      </c>
    </row>
    <row r="93" ht="11.25" customHeight="1">
      <c r="AZ93" s="1101" t="s">
        <v>1836</v>
      </c>
      <c r="BH93" s="1103" t="s">
        <v>1837</v>
      </c>
      <c r="BJ93" s="1103" t="s">
        <v>1838</v>
      </c>
      <c r="BL93" s="1103" t="s">
        <v>1839</v>
      </c>
    </row>
    <row r="94" ht="11.25" customHeight="1">
      <c r="AZ94" s="1101" t="s">
        <v>1840</v>
      </c>
    </row>
    <row r="96" ht="11.25" customHeight="1">
      <c r="AZ96" s="1081" t="s">
        <v>1841</v>
      </c>
      <c r="BH96" s="1081" t="s">
        <v>1842</v>
      </c>
      <c r="BJ96" s="1081" t="s">
        <v>1843</v>
      </c>
      <c r="BL96" s="1081" t="s">
        <v>1844</v>
      </c>
      <c r="BN96" s="1081" t="s">
        <v>1845</v>
      </c>
    </row>
    <row r="97" ht="11.25" customHeight="1">
      <c r="AZ97" s="1147" t="s">
        <v>1846</v>
      </c>
      <c r="BA97" s="574" t="s">
        <v>1847</v>
      </c>
      <c r="BH97" s="1103" t="s">
        <v>1848</v>
      </c>
      <c r="BJ97" s="1103" t="s">
        <v>1849</v>
      </c>
      <c r="BL97" s="1103" t="s">
        <v>1850</v>
      </c>
      <c r="BN97" s="1103" t="s">
        <v>1851</v>
      </c>
    </row>
    <row r="98" ht="11.25" customHeight="1">
      <c r="AZ98" s="1147" t="s">
        <v>1852</v>
      </c>
      <c r="BA98" s="574" t="s">
        <v>1853</v>
      </c>
      <c r="BH98" s="1103" t="s">
        <v>1854</v>
      </c>
      <c r="BJ98" s="1103" t="s">
        <v>1855</v>
      </c>
      <c r="BL98" s="1103" t="s">
        <v>1856</v>
      </c>
      <c r="BN98" s="1103" t="s">
        <v>1857</v>
      </c>
    </row>
    <row r="99" ht="22.5" customHeight="1">
      <c r="AZ99" s="1147" t="s">
        <v>1858</v>
      </c>
      <c r="BA99" s="57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103" t="s">
        <v>1859</v>
      </c>
      <c r="BJ99" s="1103" t="s">
        <v>1860</v>
      </c>
      <c r="BL99" s="1103" t="s">
        <v>1861</v>
      </c>
      <c r="BN99" s="1103" t="s">
        <v>1862</v>
      </c>
    </row>
    <row r="100" ht="22.5" customHeight="1">
      <c r="AZ100" s="1147" t="s">
        <v>1863</v>
      </c>
      <c r="BA100" s="57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103" t="s">
        <v>1459</v>
      </c>
      <c r="BL100" s="1103" t="s">
        <v>1459</v>
      </c>
      <c r="BN100" s="1103" t="s">
        <v>1864</v>
      </c>
    </row>
    <row r="101" ht="22.5" customHeight="1">
      <c r="AZ101" s="1147" t="s">
        <v>1865</v>
      </c>
      <c r="BA101" s="574" t="s">
        <v>1866</v>
      </c>
      <c r="BN101" s="1103" t="s">
        <v>1867</v>
      </c>
    </row>
    <row r="102" ht="22.5" customHeight="1">
      <c r="AZ102" s="1147" t="s">
        <v>1868</v>
      </c>
      <c r="BA102" s="57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103" t="s">
        <v>1869</v>
      </c>
    </row>
    <row r="103" ht="11.25" customHeight="1">
      <c r="AZ103" s="1147" t="s">
        <v>1870</v>
      </c>
      <c r="BA103" s="574" t="s">
        <v>1871</v>
      </c>
      <c r="BN103" s="1103" t="s">
        <v>1872</v>
      </c>
    </row>
    <row r="104" ht="11.25" customHeight="1">
      <c r="BN104" s="1103" t="s">
        <v>1873</v>
      </c>
    </row>
    <row r="105" ht="11.25" customHeight="1">
      <c r="AZ105" s="1081" t="s">
        <v>1874</v>
      </c>
    </row>
    <row r="106" ht="11.25" customHeight="1">
      <c r="AZ106" s="1101" t="s">
        <v>1875</v>
      </c>
    </row>
    <row r="107" ht="11.25" customHeight="1">
      <c r="AZ107" s="1101" t="s">
        <v>1876</v>
      </c>
      <c r="BH107" s="1081" t="s">
        <v>1877</v>
      </c>
      <c r="BJ107" s="1081" t="s">
        <v>1878</v>
      </c>
      <c r="BL107" s="1081" t="s">
        <v>1879</v>
      </c>
      <c r="BN107" s="1081" t="s">
        <v>1880</v>
      </c>
    </row>
    <row r="108" ht="11.25" customHeight="1">
      <c r="AZ108" s="1101" t="s">
        <v>566</v>
      </c>
      <c r="BH108" s="1103" t="s">
        <v>1881</v>
      </c>
      <c r="BJ108" s="1103" t="s">
        <v>1882</v>
      </c>
      <c r="BL108" s="1103" t="s">
        <v>1541</v>
      </c>
      <c r="BN108" s="1103" t="s">
        <v>1883</v>
      </c>
    </row>
    <row r="109" ht="11.25" customHeight="1">
      <c r="BH109" s="1103" t="s">
        <v>1884</v>
      </c>
    </row>
    <row r="110" ht="11.25" customHeight="1">
      <c r="AZ110" s="1081" t="s">
        <v>1885</v>
      </c>
      <c r="BH110" s="1103" t="s">
        <v>1884</v>
      </c>
    </row>
    <row r="111" ht="11.25" customHeight="1">
      <c r="AZ111" s="1147" t="s">
        <v>1846</v>
      </c>
      <c r="BA111" s="574" t="s">
        <v>1847</v>
      </c>
    </row>
    <row r="112" ht="11.25" customHeight="1">
      <c r="AZ112" s="1147" t="s">
        <v>1852</v>
      </c>
      <c r="BA112" s="574" t="s">
        <v>1853</v>
      </c>
    </row>
    <row r="113" ht="22.5" customHeight="1">
      <c r="AZ113" s="1147" t="s">
        <v>1858</v>
      </c>
      <c r="BA113" s="57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147" t="s">
        <v>1863</v>
      </c>
      <c r="BA114" s="574" t="str">
        <f t="shared" ref="BA114:BA115" si="61">"в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81" t="s">
        <v>1886</v>
      </c>
    </row>
    <row r="115" ht="22.5" customHeight="1">
      <c r="AZ115" s="1147" t="s">
        <v>1868</v>
      </c>
      <c r="BA115" s="574" t="str">
        <f t="shared" si="61"/>
        <v xml:space="preserve">в течение 5 рабочих дней со дня принятия соответствующего решения</v>
      </c>
      <c r="BH115" s="1103" t="s">
        <v>1260</v>
      </c>
    </row>
    <row r="116" ht="11.25" customHeight="1">
      <c r="AZ116" s="1147" t="s">
        <v>1870</v>
      </c>
      <c r="BA116" s="574" t="s">
        <v>1871</v>
      </c>
      <c r="BH116" s="1103" t="s">
        <v>1287</v>
      </c>
    </row>
    <row r="117" ht="11.25" customHeight="1">
      <c r="BH117" s="1103" t="s">
        <v>1322</v>
      </c>
    </row>
    <row r="118" ht="11.25" customHeight="1">
      <c r="BH118" s="1103" t="s">
        <v>1355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34" width="15.00390625"/>
    <col customWidth="1" min="3" max="3" style="335" width="3.00390625"/>
    <col customWidth="1" min="4" max="4" style="336" width="6.00390625"/>
    <col customWidth="1" min="5" max="5" style="335" width="52.00390625"/>
    <col customWidth="1" min="6" max="6" style="335" width="48.00390625"/>
    <col customWidth="1" min="7" max="7" style="335" width="93.00390625"/>
    <col customWidth="1" min="8" max="8" style="335" width="8.00390625"/>
    <col customWidth="1" min="9" max="9" style="335" width="64.00390625"/>
    <col hidden="1" min="10" max="10" style="335" width="9.140625"/>
  </cols>
  <sheetData>
    <row r="1" ht="11.25" hidden="1" customHeight="1">
      <c r="A1" s="334" t="s">
        <v>294</v>
      </c>
      <c r="J1" s="335" t="s">
        <v>14</v>
      </c>
    </row>
    <row r="2" ht="22.5" hidden="1" customHeight="1">
      <c r="A2" s="342"/>
      <c r="B2" s="342"/>
      <c r="C2" s="821" t="s">
        <v>684</v>
      </c>
      <c r="D2" s="1148"/>
      <c r="E2" s="448"/>
      <c r="F2" s="668"/>
      <c r="H2" s="352"/>
      <c r="J2" s="335">
        <v>0</v>
      </c>
    </row>
    <row r="3" ht="11.25" hidden="1" customHeight="1">
      <c r="J3" s="335">
        <v>0</v>
      </c>
    </row>
    <row r="4" ht="11.5" customHeight="1">
      <c r="A4" s="1149"/>
      <c r="B4" s="1149"/>
      <c r="J4" s="335">
        <v>11</v>
      </c>
    </row>
    <row r="5" ht="27.300000000000001" customHeight="1">
      <c r="D5" s="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6"/>
      <c r="F5" s="187"/>
      <c r="I5" s="339"/>
      <c r="J5" s="335">
        <v>26</v>
      </c>
    </row>
    <row r="6" ht="18" customHeight="1">
      <c r="D6" s="303" t="str">
        <f>IF(region_name=0,"Не определено",region_name)</f>
        <v xml:space="preserve">Еврейская автономная область</v>
      </c>
      <c r="E6" s="303"/>
      <c r="F6" s="303"/>
      <c r="I6" s="339"/>
      <c r="J6" s="335">
        <v>17</v>
      </c>
    </row>
    <row r="7" s="337" customFormat="1" ht="11.5" customHeight="1">
      <c r="A7" s="334"/>
      <c r="B7" s="334"/>
      <c r="D7" s="340"/>
      <c r="E7" s="340"/>
      <c r="F7" s="341"/>
      <c r="G7" s="340"/>
      <c r="J7" s="337">
        <v>11</v>
      </c>
    </row>
    <row r="8" ht="11.25" hidden="1" customHeight="1">
      <c r="A8" s="342"/>
      <c r="B8" s="342"/>
      <c r="C8" s="91"/>
      <c r="D8" s="83"/>
      <c r="E8" s="343"/>
      <c r="F8" s="343"/>
      <c r="J8" s="335">
        <v>0</v>
      </c>
    </row>
    <row r="9" ht="11.5" customHeight="1">
      <c r="A9" s="342"/>
      <c r="B9" s="342"/>
      <c r="C9" s="91"/>
      <c r="D9" s="344" t="s">
        <v>295</v>
      </c>
      <c r="E9" s="345"/>
      <c r="F9" s="345"/>
      <c r="G9" s="346" t="s">
        <v>296</v>
      </c>
      <c r="J9" s="335">
        <v>11</v>
      </c>
    </row>
    <row r="10" ht="11.5" customHeight="1">
      <c r="A10" s="342"/>
      <c r="B10" s="342"/>
      <c r="C10" s="91"/>
      <c r="D10" s="345" t="s">
        <v>88</v>
      </c>
      <c r="E10" s="346" t="s">
        <v>297</v>
      </c>
      <c r="F10" s="346" t="s">
        <v>298</v>
      </c>
      <c r="G10" s="347"/>
      <c r="J10" s="335">
        <v>11</v>
      </c>
    </row>
    <row r="11" ht="1.05" customHeight="1">
      <c r="A11" s="342"/>
      <c r="B11" s="342"/>
      <c r="C11" s="91"/>
      <c r="D11" s="348"/>
      <c r="E11" s="348"/>
      <c r="F11" s="348"/>
      <c r="G11" s="348"/>
      <c r="J11" s="335">
        <v>1</v>
      </c>
    </row>
    <row r="12" ht="24" customHeight="1">
      <c r="A12" s="342"/>
      <c r="B12" s="342"/>
      <c r="C12" s="91"/>
      <c r="D12" s="1148">
        <v>1</v>
      </c>
      <c r="E12" s="35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604" t="str">
        <f>IF(org="","",org)</f>
        <v xml:space="preserve">АО "ДГК" СП "Биробиджанская ТЭЦ"</v>
      </c>
      <c r="G12" s="35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150"/>
      <c r="J12" s="335">
        <v>23</v>
      </c>
    </row>
    <row r="13" ht="19.949999999999999" customHeight="1">
      <c r="A13" s="342"/>
      <c r="B13" s="342"/>
      <c r="C13" s="91"/>
      <c r="D13" s="1148">
        <v>2</v>
      </c>
      <c r="E13" s="484" t="s">
        <v>1887</v>
      </c>
      <c r="F13" s="157" t="s">
        <v>301</v>
      </c>
      <c r="G13" s="355"/>
      <c r="H13" s="1150"/>
      <c r="J13" s="335">
        <v>19</v>
      </c>
    </row>
    <row r="14" ht="19.949999999999999" customHeight="1">
      <c r="A14" s="342"/>
      <c r="B14" s="342"/>
      <c r="C14" s="91"/>
      <c r="D14" s="312" t="s">
        <v>704</v>
      </c>
      <c r="E14" s="673" t="s">
        <v>1888</v>
      </c>
      <c r="F14" s="448"/>
      <c r="G14" s="485" t="s">
        <v>1889</v>
      </c>
      <c r="H14" s="1150"/>
      <c r="J14" s="335">
        <v>19</v>
      </c>
    </row>
    <row r="15" ht="19.949999999999999" customHeight="1">
      <c r="A15" s="342"/>
      <c r="B15" s="342"/>
      <c r="C15" s="91"/>
      <c r="D15" s="312" t="s">
        <v>302</v>
      </c>
      <c r="E15" s="673" t="s">
        <v>1890</v>
      </c>
      <c r="F15" s="448"/>
      <c r="G15" s="485" t="s">
        <v>1891</v>
      </c>
      <c r="H15" s="1150"/>
      <c r="J15" s="335">
        <v>19</v>
      </c>
    </row>
    <row r="16" ht="24" customHeight="1">
      <c r="A16" s="342"/>
      <c r="B16" s="342"/>
      <c r="C16" s="91"/>
      <c r="D16" s="312" t="s">
        <v>305</v>
      </c>
      <c r="E16" s="494" t="s">
        <v>1892</v>
      </c>
      <c r="F16" s="387"/>
      <c r="G16" s="355" t="s">
        <v>1893</v>
      </c>
      <c r="H16" s="1150"/>
      <c r="J16" s="335">
        <v>23</v>
      </c>
    </row>
    <row r="17" ht="48.25" customHeight="1">
      <c r="A17" s="342"/>
      <c r="B17" s="342"/>
      <c r="C17" s="91"/>
      <c r="D17" s="1148">
        <v>3</v>
      </c>
      <c r="E17" s="484" t="s">
        <v>1894</v>
      </c>
      <c r="F17" s="448"/>
      <c r="G17" s="355" t="s">
        <v>1895</v>
      </c>
      <c r="H17" s="1150"/>
      <c r="J17" s="335">
        <v>46</v>
      </c>
    </row>
    <row r="18" ht="48.25" customHeight="1">
      <c r="A18" s="1151">
        <v>1</v>
      </c>
      <c r="B18" s="342"/>
      <c r="C18" s="360"/>
      <c r="D18" s="1148" t="s">
        <v>91</v>
      </c>
      <c r="E18" s="484" t="s">
        <v>1896</v>
      </c>
      <c r="F18" s="448"/>
      <c r="G18" s="355" t="s">
        <v>1895</v>
      </c>
      <c r="H18" s="1150"/>
      <c r="I18" s="361"/>
      <c r="J18" s="335">
        <v>46</v>
      </c>
    </row>
    <row r="19" ht="23.25" customHeight="1">
      <c r="A19" s="342"/>
      <c r="B19" s="342"/>
      <c r="C19" s="91"/>
      <c r="D19" s="1148" t="s">
        <v>108</v>
      </c>
      <c r="E19" s="484" t="s">
        <v>1897</v>
      </c>
      <c r="F19" s="157" t="s">
        <v>301</v>
      </c>
      <c r="G19" s="1152" t="s">
        <v>1898</v>
      </c>
      <c r="H19" s="352"/>
      <c r="J19" s="335">
        <v>22</v>
      </c>
    </row>
    <row r="20" s="1153" customFormat="1" ht="5.25" hidden="1" customHeight="1">
      <c r="A20" s="342"/>
      <c r="B20" s="342"/>
      <c r="C20" s="1154"/>
      <c r="D20" s="1155" t="s">
        <v>1162</v>
      </c>
      <c r="E20" s="373"/>
      <c r="F20" s="158"/>
      <c r="G20" s="1156"/>
      <c r="J20" s="1153">
        <v>0</v>
      </c>
    </row>
    <row r="21" ht="15.75" customHeight="1">
      <c r="A21" s="342"/>
      <c r="B21" s="342"/>
      <c r="C21" s="91"/>
      <c r="D21" s="367"/>
      <c r="E21" s="172" t="s">
        <v>334</v>
      </c>
      <c r="F21" s="369"/>
      <c r="G21" s="1157"/>
      <c r="H21" s="1150"/>
      <c r="J21" s="335">
        <v>15</v>
      </c>
    </row>
    <row r="22" s="334" customFormat="1" ht="26.25" customHeight="1">
      <c r="A22" s="342"/>
      <c r="B22" s="342"/>
      <c r="C22" s="342"/>
      <c r="D22" s="1148" t="s">
        <v>92</v>
      </c>
      <c r="E22" s="355" t="s">
        <v>1899</v>
      </c>
      <c r="F22" s="448"/>
      <c r="G22" s="355" t="s">
        <v>1900</v>
      </c>
      <c r="H22" s="1158"/>
      <c r="J22" s="334">
        <v>25</v>
      </c>
    </row>
    <row r="23" s="334" customFormat="1" ht="19.949999999999999" customHeight="1">
      <c r="A23" s="342"/>
      <c r="B23" s="342"/>
      <c r="C23" s="342"/>
      <c r="D23" s="1148" t="s">
        <v>93</v>
      </c>
      <c r="E23" s="484" t="s">
        <v>1901</v>
      </c>
      <c r="F23" s="387"/>
      <c r="G23" s="355" t="s">
        <v>1902</v>
      </c>
      <c r="H23" s="1158"/>
      <c r="J23" s="334">
        <v>19</v>
      </c>
    </row>
    <row r="24" s="334" customFormat="1" ht="144" hidden="1" customHeight="1">
      <c r="A24" s="342"/>
      <c r="B24" s="342"/>
      <c r="C24" s="342"/>
      <c r="D24" s="1148" t="s">
        <v>109</v>
      </c>
      <c r="E24" s="115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160"/>
      <c r="G24" s="11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158"/>
      <c r="J24" s="334">
        <v>0</v>
      </c>
    </row>
    <row r="25" ht="11.25" hidden="1" customHeight="1">
      <c r="A25" s="334" t="s">
        <v>82</v>
      </c>
      <c r="B25" s="334">
        <v>0</v>
      </c>
      <c r="C25" s="335">
        <v>3</v>
      </c>
      <c r="D25" s="336">
        <v>6</v>
      </c>
      <c r="E25" s="335">
        <v>52</v>
      </c>
      <c r="F25" s="335">
        <v>48</v>
      </c>
      <c r="G25" s="335">
        <v>93</v>
      </c>
      <c r="H25" s="335">
        <v>8</v>
      </c>
      <c r="I25" s="335">
        <v>64</v>
      </c>
      <c r="J25" s="335">
        <v>11</v>
      </c>
    </row>
  </sheetData>
  <sheetProtection autoFilter="0" deleteColumns="1" deleteRows="1" formatCells="1" formatColumns="0" formatRows="0" insertColumns="1" insertHyperlinks="1" insertRows="1" objects="0" pivotTables="1" scenarios="0" selectLockedCells="0" selectUnlockedCells="0" sheet="1" sort="1"/>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0003B-00CE-4BE8-ACAE-00C0001700A0}"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B000B4-0040-4362-B72B-006700A0003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9" width="3.00390625"/>
    <col customWidth="1" min="12" max="14" style="129" width="8.00390625"/>
    <col customWidth="1" min="15" max="15" style="129" width="25.00390625"/>
    <col customWidth="1" min="16" max="16" style="129" width="14.00390625"/>
    <col customWidth="1" min="17" max="20" style="130" width="8.00390625"/>
    <col customWidth="1" min="21" max="254" style="50" width="8.00390625"/>
    <col hidden="1" min="255" max="255" style="50" width="9.140625"/>
  </cols>
  <sheetData>
    <row r="1" ht="22.5" hidden="1" customHeight="1">
      <c r="F1" s="50" t="s">
        <v>1903</v>
      </c>
      <c r="G1" s="50" t="s">
        <v>47</v>
      </c>
      <c r="H1" s="50" t="s">
        <v>49</v>
      </c>
      <c r="IU1" s="50" t="s">
        <v>14</v>
      </c>
    </row>
    <row r="2" s="63" customFormat="1" ht="22.5" hidden="1" customHeight="1">
      <c r="A2" s="121"/>
      <c r="B2" s="53">
        <v>1</v>
      </c>
      <c r="C2" s="53"/>
      <c r="D2" s="1045" t="s">
        <v>684</v>
      </c>
      <c r="E2" s="157"/>
      <c r="F2" s="388"/>
      <c r="G2" s="388"/>
      <c r="H2" s="388"/>
      <c r="I2" s="1162"/>
      <c r="J2" s="1163"/>
      <c r="K2" s="1164"/>
      <c r="L2" s="57"/>
      <c r="M2" s="57"/>
      <c r="N2" s="129" t="str">
        <f t="array" ref="N2">IF(ISERROR(MATCH(MID(O2,1,250),MID(note_ter,1,250),0)),"n","y")</f>
        <v>n</v>
      </c>
      <c r="O2" s="57"/>
      <c r="P2" s="129" t="str">
        <f>G2&amp;"("&amp;J2&amp;")"</f>
        <v>()</v>
      </c>
      <c r="Q2" s="53"/>
      <c r="R2" s="53"/>
      <c r="S2" s="166"/>
      <c r="T2" s="53"/>
      <c r="U2" s="53"/>
      <c r="V2" s="53"/>
      <c r="W2" s="64"/>
      <c r="X2" s="64"/>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64"/>
      <c r="BU2" s="64"/>
      <c r="BV2" s="64"/>
      <c r="BW2" s="64"/>
      <c r="BX2" s="64"/>
      <c r="BY2" s="64"/>
      <c r="BZ2" s="64"/>
      <c r="CA2" s="64"/>
      <c r="CB2" s="64"/>
      <c r="CC2" s="64"/>
      <c r="IU2" s="63">
        <v>0</v>
      </c>
    </row>
    <row r="3" s="57" customFormat="1" ht="4.2000000000000002" customHeight="1">
      <c r="A3" s="131"/>
      <c r="D3" s="132"/>
      <c r="F3" s="133" t="s">
        <v>83</v>
      </c>
      <c r="G3" s="132" t="s">
        <v>84</v>
      </c>
      <c r="H3" s="132"/>
      <c r="I3" s="132"/>
      <c r="J3" s="134" t="s">
        <v>85</v>
      </c>
      <c r="K3" s="133" t="s">
        <v>83</v>
      </c>
      <c r="L3" s="133"/>
      <c r="M3" s="133"/>
      <c r="N3" s="133"/>
      <c r="O3" s="133"/>
      <c r="P3" s="133"/>
      <c r="Q3" s="133"/>
      <c r="R3" s="133"/>
      <c r="S3" s="133"/>
      <c r="T3" s="133"/>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57">
        <v>4</v>
      </c>
    </row>
    <row r="4" s="139" customFormat="1" ht="14.65" customHeight="1">
      <c r="A4" s="50"/>
      <c r="B4" s="53"/>
      <c r="C4" s="50"/>
      <c r="D4" s="128"/>
      <c r="E4" s="50"/>
      <c r="F4" s="57"/>
      <c r="G4" s="50"/>
      <c r="H4" s="50"/>
      <c r="I4" s="50"/>
      <c r="J4" s="140"/>
      <c r="K4" s="133"/>
      <c r="L4" s="129"/>
      <c r="M4" s="129"/>
      <c r="N4" s="129"/>
      <c r="O4" s="129"/>
      <c r="P4" s="129"/>
      <c r="Q4" s="130"/>
      <c r="R4" s="130"/>
      <c r="S4" s="130"/>
      <c r="T4" s="130"/>
      <c r="IU4" s="139">
        <v>14</v>
      </c>
    </row>
    <row r="5" s="139" customFormat="1" ht="27.300000000000001" customHeight="1">
      <c r="A5" s="50"/>
      <c r="B5" s="53"/>
      <c r="C5" s="50"/>
      <c r="D5" s="128"/>
      <c r="E5" s="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1"/>
      <c r="G5" s="141"/>
      <c r="H5" s="141"/>
      <c r="I5" s="141"/>
      <c r="J5" s="141"/>
      <c r="K5" s="133"/>
      <c r="L5" s="129"/>
      <c r="M5" s="129"/>
      <c r="N5" s="129"/>
      <c r="O5" s="129"/>
      <c r="P5" s="129"/>
      <c r="Q5" s="130"/>
      <c r="R5" s="130"/>
      <c r="S5" s="130"/>
      <c r="T5" s="130"/>
      <c r="IU5" s="139">
        <v>26</v>
      </c>
    </row>
    <row r="6" s="139" customFormat="1" ht="14.65" customHeight="1">
      <c r="A6" s="50"/>
      <c r="B6" s="53"/>
      <c r="C6" s="50"/>
      <c r="D6" s="128"/>
      <c r="E6" s="50"/>
      <c r="F6" s="142"/>
      <c r="G6" s="142"/>
      <c r="H6" s="142"/>
      <c r="I6" s="142"/>
      <c r="J6" s="121"/>
      <c r="K6" s="129"/>
      <c r="L6" s="129"/>
      <c r="M6" s="129"/>
      <c r="N6" s="129"/>
      <c r="O6" s="129"/>
      <c r="P6" s="129"/>
      <c r="Q6" s="130"/>
      <c r="R6" s="130"/>
      <c r="S6" s="130"/>
      <c r="T6" s="130"/>
      <c r="IU6" s="139">
        <v>14</v>
      </c>
    </row>
    <row r="7" s="139" customFormat="1" ht="14.65" customHeight="1">
      <c r="A7" s="50"/>
      <c r="B7" s="53"/>
      <c r="C7" s="50"/>
      <c r="D7" s="128"/>
      <c r="E7" s="73" t="s">
        <v>295</v>
      </c>
      <c r="F7" s="145"/>
      <c r="G7" s="145"/>
      <c r="H7" s="145"/>
      <c r="I7" s="145"/>
      <c r="J7" s="858" t="s">
        <v>296</v>
      </c>
      <c r="K7" s="129"/>
      <c r="L7" s="129"/>
      <c r="M7" s="129"/>
      <c r="N7" s="129"/>
      <c r="O7" s="129"/>
      <c r="P7" s="129"/>
      <c r="Q7" s="130"/>
      <c r="R7" s="130"/>
      <c r="S7" s="130"/>
      <c r="T7" s="130"/>
      <c r="IU7" s="139">
        <v>14</v>
      </c>
    </row>
    <row r="8" s="139" customFormat="1" ht="21" customHeight="1">
      <c r="A8" s="50"/>
      <c r="B8" s="53"/>
      <c r="C8" s="50"/>
      <c r="D8" s="128"/>
      <c r="E8" s="1165" t="s">
        <v>88</v>
      </c>
      <c r="F8" s="1166" t="s">
        <v>1903</v>
      </c>
      <c r="G8" s="1166" t="s">
        <v>47</v>
      </c>
      <c r="H8" s="1166" t="s">
        <v>49</v>
      </c>
      <c r="I8" s="1166" t="s">
        <v>1904</v>
      </c>
      <c r="J8" s="1167"/>
      <c r="K8" s="129"/>
      <c r="L8" s="129"/>
      <c r="M8" s="129"/>
      <c r="N8" s="129"/>
      <c r="O8" s="129"/>
      <c r="P8" s="129"/>
      <c r="Q8" s="130"/>
      <c r="R8" s="130"/>
      <c r="S8" s="130"/>
      <c r="T8" s="130"/>
      <c r="IU8" s="139">
        <v>20</v>
      </c>
    </row>
    <row r="9" s="63" customFormat="1" ht="23.25" customHeight="1">
      <c r="A9" s="50"/>
      <c r="B9" s="53">
        <v>1</v>
      </c>
      <c r="C9" s="53"/>
      <c r="D9" s="169"/>
      <c r="E9" s="157">
        <v>1</v>
      </c>
      <c r="F9" s="1168"/>
      <c r="G9" s="388"/>
      <c r="H9" s="388"/>
      <c r="I9" s="1169"/>
      <c r="J9" s="2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64"/>
      <c r="L9" s="57"/>
      <c r="M9" s="57"/>
      <c r="N9" s="129" t="str">
        <f t="array" ref="N9">IF(ISERROR(MATCH(MID(O9,1,250),MID(note_ter,1,250),0)),"n","y")</f>
        <v>n</v>
      </c>
      <c r="O9" s="57"/>
      <c r="P9" s="129"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6"/>
      <c r="T9" s="53"/>
      <c r="U9" s="53"/>
      <c r="V9" s="53"/>
      <c r="W9" s="64"/>
      <c r="X9" s="64"/>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64"/>
      <c r="BU9" s="64"/>
      <c r="BV9" s="64"/>
      <c r="BW9" s="64"/>
      <c r="BX9" s="64"/>
      <c r="BY9" s="64"/>
      <c r="BZ9" s="64"/>
      <c r="CA9" s="64"/>
      <c r="CB9" s="64"/>
      <c r="CC9" s="64"/>
      <c r="IU9" s="63">
        <v>22</v>
      </c>
    </row>
    <row r="10" s="63" customFormat="1" ht="15.75" customHeight="1">
      <c r="A10" s="50"/>
      <c r="B10" s="53"/>
      <c r="C10" s="168"/>
      <c r="D10" s="169"/>
      <c r="E10" s="1170"/>
      <c r="F10" s="701" t="s">
        <v>1905</v>
      </c>
      <c r="G10" s="1171"/>
      <c r="H10" s="1171"/>
      <c r="I10" s="1172"/>
      <c r="J10" s="289"/>
      <c r="K10" s="1173"/>
      <c r="L10" s="57"/>
      <c r="M10" s="57"/>
      <c r="N10" s="57"/>
      <c r="O10" s="129"/>
      <c r="P10" s="57"/>
      <c r="Q10" s="53"/>
      <c r="R10" s="53"/>
      <c r="S10" s="166"/>
      <c r="T10" s="53"/>
      <c r="U10" s="53"/>
      <c r="V10" s="53"/>
      <c r="W10" s="64"/>
      <c r="X10" s="6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64"/>
      <c r="BU10" s="64"/>
      <c r="BV10" s="64"/>
      <c r="BW10" s="64"/>
      <c r="BX10" s="64"/>
      <c r="BY10" s="64"/>
      <c r="BZ10" s="64"/>
      <c r="CA10" s="64"/>
      <c r="CB10" s="64"/>
      <c r="CC10" s="64"/>
      <c r="IU10" s="63">
        <v>15</v>
      </c>
    </row>
    <row r="11" s="139" customFormat="1" ht="22" customHeight="1">
      <c r="A11" s="50"/>
      <c r="B11" s="53"/>
      <c r="C11" s="50"/>
      <c r="D11" s="128"/>
      <c r="E11" s="179"/>
      <c r="F11" s="179"/>
      <c r="G11" s="179"/>
      <c r="H11" s="179"/>
      <c r="I11" s="179"/>
      <c r="J11" s="179"/>
      <c r="K11" s="129"/>
      <c r="L11" s="129"/>
      <c r="M11" s="129"/>
      <c r="N11" s="129"/>
      <c r="O11" s="129"/>
      <c r="P11" s="129"/>
      <c r="Q11" s="130"/>
      <c r="R11" s="130"/>
      <c r="S11" s="130"/>
      <c r="T11" s="130"/>
      <c r="IU11" s="139">
        <v>21</v>
      </c>
    </row>
    <row r="12" s="139" customFormat="1" ht="14.65" customHeight="1">
      <c r="A12" s="50"/>
      <c r="B12" s="53"/>
      <c r="C12" s="50"/>
      <c r="D12" s="128"/>
      <c r="E12" s="50"/>
      <c r="F12" s="50"/>
      <c r="G12" s="50"/>
      <c r="H12" s="50"/>
      <c r="I12" s="50"/>
      <c r="J12" s="50"/>
      <c r="K12" s="129"/>
      <c r="L12" s="129"/>
      <c r="M12" s="129"/>
      <c r="N12" s="129"/>
      <c r="O12" s="129"/>
      <c r="P12" s="129"/>
      <c r="Q12" s="130"/>
      <c r="R12" s="130"/>
      <c r="S12" s="130"/>
      <c r="T12" s="130"/>
      <c r="IU12" s="139">
        <v>14</v>
      </c>
    </row>
    <row r="13" s="139" customFormat="1" ht="1.05" customHeight="1">
      <c r="A13" s="50"/>
      <c r="B13" s="53"/>
      <c r="C13" s="50"/>
      <c r="D13" s="128"/>
      <c r="E13" s="50"/>
      <c r="F13" s="50"/>
      <c r="G13" s="50"/>
      <c r="H13" s="50"/>
      <c r="I13" s="50"/>
      <c r="J13" s="50"/>
      <c r="K13" s="129"/>
      <c r="L13" s="129"/>
      <c r="M13" s="129"/>
      <c r="N13" s="129"/>
      <c r="O13" s="129"/>
      <c r="P13" s="129"/>
      <c r="Q13" s="130"/>
      <c r="R13" s="130"/>
      <c r="S13" s="130"/>
      <c r="T13" s="130"/>
      <c r="IU13" s="139">
        <v>1</v>
      </c>
    </row>
    <row r="14" s="180" customFormat="1" ht="10.5" customHeight="1">
      <c r="B14" s="181"/>
      <c r="D14" s="182"/>
      <c r="K14" s="129"/>
      <c r="L14" s="129"/>
      <c r="M14" s="129"/>
      <c r="N14" s="129"/>
      <c r="O14" s="129"/>
      <c r="P14" s="129"/>
      <c r="Q14" s="130"/>
      <c r="R14" s="130"/>
      <c r="S14" s="130"/>
      <c r="T14" s="130"/>
      <c r="IU14" s="180">
        <v>10</v>
      </c>
    </row>
    <row r="15" s="180" customFormat="1" ht="10.5" customHeight="1">
      <c r="B15" s="181"/>
      <c r="D15" s="182"/>
      <c r="K15" s="129"/>
      <c r="L15" s="129"/>
      <c r="M15" s="129"/>
      <c r="N15" s="129"/>
      <c r="O15" s="129"/>
      <c r="P15" s="129"/>
      <c r="Q15" s="130"/>
      <c r="R15" s="130"/>
      <c r="S15" s="130"/>
      <c r="T15" s="130"/>
      <c r="IU15" s="180">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8">
        <v>3</v>
      </c>
      <c r="E24" s="50">
        <v>6</v>
      </c>
      <c r="F24" s="50">
        <v>46</v>
      </c>
      <c r="G24" s="50">
        <v>16</v>
      </c>
      <c r="H24" s="50">
        <v>16</v>
      </c>
      <c r="I24" s="50">
        <v>35</v>
      </c>
      <c r="J24" s="50">
        <v>89</v>
      </c>
      <c r="K24" s="129">
        <v>3</v>
      </c>
      <c r="L24" s="129">
        <v>8</v>
      </c>
      <c r="M24" s="129">
        <v>8</v>
      </c>
      <c r="N24" s="129">
        <v>8</v>
      </c>
      <c r="O24" s="129">
        <v>25</v>
      </c>
      <c r="P24" s="129">
        <v>14</v>
      </c>
      <c r="Q24" s="130">
        <v>8</v>
      </c>
      <c r="R24" s="130">
        <v>8</v>
      </c>
      <c r="S24" s="130">
        <v>8</v>
      </c>
      <c r="T24" s="130">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D300F3-00D7-429F-8C87-009D00E50079}" type="textLength" allowBlank="1" errorStyle="stop" imeMode="noControl" operator="between" showDropDown="0" showErrorMessage="1" showInputMessage="1">
          <x14:formula1>
            <xm:f>13</xm:f>
          </x14:formula1>
          <x14:formula2>
            <xm:f>15</xm:f>
          </x14:formula2>
          <xm:sqref>I3</xm:sqref>
        </x14:dataValidation>
        <x14:dataValidation xr:uid="{00F3000A-0018-4952-B1E5-00C3009300C5}"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1045" t="s">
        <v>684</v>
      </c>
      <c r="E2" s="73"/>
      <c r="F2" s="544" t="str">
        <f>IF(ROIV_INFO_NAME="","",ROIV_INFO_NAME)</f>
        <v xml:space="preserve">АО "ДГК" СП "Биробиджанская ТЭЦ"</v>
      </c>
      <c r="G2" s="1174" t="s">
        <v>22</v>
      </c>
      <c r="H2" s="1175"/>
      <c r="I2" s="1169"/>
      <c r="J2" s="758"/>
      <c r="K2" s="758"/>
      <c r="L2" s="136"/>
      <c r="M2" s="1164"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83</v>
      </c>
      <c r="G3" s="1176" t="s">
        <v>84</v>
      </c>
      <c r="H3" s="132"/>
      <c r="I3" s="132"/>
      <c r="J3" s="132"/>
      <c r="K3" s="132"/>
      <c r="L3" s="134" t="s">
        <v>85</v>
      </c>
      <c r="M3" s="133" t="s">
        <v>83</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295</v>
      </c>
      <c r="F7" s="145"/>
      <c r="G7" s="145"/>
      <c r="H7" s="145"/>
      <c r="I7" s="145"/>
      <c r="J7" s="145"/>
      <c r="K7" s="145"/>
      <c r="L7" s="858" t="s">
        <v>296</v>
      </c>
      <c r="M7" s="129"/>
      <c r="N7" s="129"/>
      <c r="O7" s="129"/>
      <c r="P7" s="129"/>
      <c r="Q7" s="129"/>
      <c r="R7" s="129"/>
      <c r="S7" s="130"/>
      <c r="T7" s="130"/>
      <c r="U7" s="130"/>
      <c r="V7" s="130"/>
      <c r="IW7" s="139">
        <v>14</v>
      </c>
    </row>
    <row r="8" s="139" customFormat="1" ht="67.200000000000003" customHeight="1">
      <c r="A8" s="50"/>
      <c r="B8" s="53"/>
      <c r="C8" s="50"/>
      <c r="D8" s="128"/>
      <c r="E8" s="1166" t="s">
        <v>88</v>
      </c>
      <c r="F8" s="116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177"/>
      <c r="I8" s="1178"/>
      <c r="J8" s="116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16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79"/>
      <c r="M8" s="129"/>
      <c r="N8" s="129"/>
      <c r="O8" s="129"/>
      <c r="P8" s="129"/>
      <c r="Q8" s="129"/>
      <c r="R8" s="129"/>
      <c r="S8" s="130"/>
      <c r="T8" s="130"/>
      <c r="U8" s="130"/>
      <c r="V8" s="130"/>
      <c r="IW8" s="139">
        <v>64</v>
      </c>
    </row>
    <row r="9" s="139" customFormat="1" ht="29.25" customHeight="1">
      <c r="A9" s="50"/>
      <c r="B9" s="53"/>
      <c r="C9" s="50"/>
      <c r="D9" s="128"/>
      <c r="E9" s="1180"/>
      <c r="F9" s="1180"/>
      <c r="G9" s="1180" t="s">
        <v>1906</v>
      </c>
      <c r="H9" s="1180" t="s">
        <v>1907</v>
      </c>
      <c r="I9" s="1180" t="s">
        <v>1908</v>
      </c>
      <c r="J9" s="1180"/>
      <c r="K9" s="1180"/>
      <c r="L9" s="1167"/>
      <c r="M9" s="129"/>
      <c r="N9" s="129"/>
      <c r="O9" s="129"/>
      <c r="P9" s="129"/>
      <c r="Q9" s="129"/>
      <c r="R9" s="129"/>
      <c r="S9" s="130"/>
      <c r="T9" s="130"/>
      <c r="U9" s="130"/>
      <c r="V9" s="130"/>
      <c r="IW9" s="139">
        <v>28</v>
      </c>
    </row>
    <row r="10" s="63" customFormat="1" ht="23.25" customHeight="1">
      <c r="A10" s="51"/>
      <c r="B10" s="53">
        <v>1</v>
      </c>
      <c r="C10" s="53"/>
      <c r="D10" s="161"/>
      <c r="E10" s="162">
        <v>1</v>
      </c>
      <c r="F10" s="1181" t="str">
        <f>IF(ROIV_INFO_NAME="","",ROIV_INFO_NAME)</f>
        <v xml:space="preserve">АО "ДГК" СП "Биробиджанская ТЭЦ"</v>
      </c>
      <c r="G10" s="89" t="s">
        <v>22</v>
      </c>
      <c r="H10" s="1175"/>
      <c r="I10" s="1182"/>
      <c r="J10" s="758"/>
      <c r="K10" s="758"/>
      <c r="L10" s="9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64"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22</v>
      </c>
    </row>
    <row r="11" s="63" customFormat="1" ht="15.75" customHeight="1">
      <c r="A11" s="51"/>
      <c r="B11" s="53"/>
      <c r="C11" s="168"/>
      <c r="D11" s="169"/>
      <c r="E11" s="170"/>
      <c r="F11" s="177" t="s">
        <v>1909</v>
      </c>
      <c r="G11" s="173"/>
      <c r="H11" s="173"/>
      <c r="I11" s="173"/>
      <c r="J11" s="173"/>
      <c r="K11" s="174"/>
      <c r="L11" s="1183"/>
      <c r="M11" s="1173"/>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82</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0" formatRows="0"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000C8-0084-4A99-B388-004800CA002F}" type="textLength" allowBlank="1" errorStyle="stop" imeMode="noControl" operator="between" showDropDown="0" showErrorMessage="1" showInputMessage="1">
          <x14:formula1>
            <xm:f>13</xm:f>
          </x14:formula1>
          <x14:formula2>
            <xm:f>15</xm:f>
          </x14:formula2>
          <xm:sqref>H3:I3</xm:sqref>
        </x14:dataValidation>
        <x14:dataValidation xr:uid="{00E90037-00B9-4E70-B05F-0004002F002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710010-0060-4DAC-AEE7-006D00D5009E}"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1C0039-0004-49EC-8C99-00FA00D400F4}"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1045" t="s">
        <v>684</v>
      </c>
      <c r="E2" s="157"/>
      <c r="F2" s="544" t="str">
        <f>IF(ROIV_INFO_NAME="","",ROIV_INFO_NAME)</f>
        <v xml:space="preserve">АО "ДГК" СП "Биробиджанская ТЭЦ"</v>
      </c>
      <c r="G2" s="89" t="s">
        <v>22</v>
      </c>
      <c r="H2" s="1175"/>
      <c r="I2" s="1169"/>
      <c r="J2" s="758"/>
      <c r="K2" s="758"/>
      <c r="L2" s="136"/>
      <c r="M2" s="1164"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83</v>
      </c>
      <c r="G3" s="1176" t="s">
        <v>84</v>
      </c>
      <c r="H3" s="132"/>
      <c r="I3" s="132"/>
      <c r="J3" s="132"/>
      <c r="K3" s="132"/>
      <c r="L3" s="134" t="s">
        <v>85</v>
      </c>
      <c r="M3" s="133" t="s">
        <v>83</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295</v>
      </c>
      <c r="F7" s="145"/>
      <c r="G7" s="145"/>
      <c r="H7" s="145"/>
      <c r="I7" s="145"/>
      <c r="J7" s="145"/>
      <c r="K7" s="145"/>
      <c r="L7" s="858" t="s">
        <v>296</v>
      </c>
      <c r="M7" s="129"/>
      <c r="N7" s="129"/>
      <c r="O7" s="129"/>
      <c r="P7" s="129"/>
      <c r="Q7" s="129"/>
      <c r="R7" s="129"/>
      <c r="S7" s="130"/>
      <c r="T7" s="130"/>
      <c r="U7" s="130"/>
      <c r="V7" s="130"/>
      <c r="IW7" s="139">
        <v>14</v>
      </c>
    </row>
    <row r="8" s="139" customFormat="1" ht="67.200000000000003" customHeight="1">
      <c r="A8" s="50"/>
      <c r="B8" s="53"/>
      <c r="C8" s="50"/>
      <c r="D8" s="128"/>
      <c r="E8" s="1166" t="s">
        <v>88</v>
      </c>
      <c r="F8" s="1166" t="s">
        <v>1910</v>
      </c>
      <c r="G8" s="147" t="s">
        <v>1911</v>
      </c>
      <c r="H8" s="1177"/>
      <c r="I8" s="1178"/>
      <c r="J8" s="1166" t="s">
        <v>1912</v>
      </c>
      <c r="K8" s="116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79"/>
      <c r="M8" s="129"/>
      <c r="N8" s="129"/>
      <c r="O8" s="129"/>
      <c r="P8" s="129"/>
      <c r="Q8" s="129"/>
      <c r="R8" s="129"/>
      <c r="S8" s="130"/>
      <c r="T8" s="130"/>
      <c r="U8" s="130"/>
      <c r="V8" s="130"/>
      <c r="IW8" s="139">
        <v>64</v>
      </c>
    </row>
    <row r="9" s="139" customFormat="1" ht="29.25" customHeight="1">
      <c r="A9" s="50"/>
      <c r="B9" s="53"/>
      <c r="C9" s="50"/>
      <c r="D9" s="128"/>
      <c r="E9" s="1180"/>
      <c r="F9" s="1180"/>
      <c r="G9" s="1180" t="s">
        <v>1906</v>
      </c>
      <c r="H9" s="1180" t="s">
        <v>1907</v>
      </c>
      <c r="I9" s="1180" t="s">
        <v>1908</v>
      </c>
      <c r="J9" s="1180"/>
      <c r="K9" s="1180"/>
      <c r="L9" s="1167"/>
      <c r="M9" s="129"/>
      <c r="N9" s="129"/>
      <c r="O9" s="129"/>
      <c r="P9" s="129"/>
      <c r="Q9" s="129"/>
      <c r="R9" s="129"/>
      <c r="S9" s="130"/>
      <c r="T9" s="130"/>
      <c r="U9" s="130"/>
      <c r="V9" s="130"/>
      <c r="IW9" s="139">
        <v>28</v>
      </c>
    </row>
    <row r="10" s="63" customFormat="1" ht="1.05" customHeight="1">
      <c r="A10" s="51"/>
      <c r="B10" s="53">
        <v>1</v>
      </c>
      <c r="C10" s="53"/>
      <c r="D10" s="161"/>
      <c r="E10" s="163">
        <v>0</v>
      </c>
      <c r="F10" s="409" t="str">
        <f>IF(ROIV_INFO_NAME="","",ROIV_INFO_NAME)</f>
        <v xml:space="preserve">АО "ДГК" СП "Биробиджанская ТЭЦ"</v>
      </c>
      <c r="G10" s="96" t="s">
        <v>22</v>
      </c>
      <c r="H10" s="1184"/>
      <c r="I10" s="1184"/>
      <c r="J10" s="849"/>
      <c r="K10" s="849"/>
      <c r="L10" s="9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64"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1</v>
      </c>
    </row>
    <row r="11" s="63" customFormat="1" ht="15.75" customHeight="1">
      <c r="A11" s="51"/>
      <c r="B11" s="53"/>
      <c r="C11" s="168"/>
      <c r="D11" s="169"/>
      <c r="E11" s="170"/>
      <c r="F11" s="177" t="s">
        <v>1909</v>
      </c>
      <c r="G11" s="173"/>
      <c r="H11" s="173"/>
      <c r="I11" s="173"/>
      <c r="J11" s="173"/>
      <c r="K11" s="174"/>
      <c r="L11" s="1183"/>
      <c r="M11" s="1173"/>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82</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1" formatRows="1"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A0038-00FC-4306-9B62-0034008200C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930085-00E9-43F5-8F6B-00B1003C002B}" type="textLength" allowBlank="1" errorStyle="stop" imeMode="noControl" operator="between" showDropDown="0" showErrorMessage="1" showInputMessage="1">
          <x14:formula1>
            <xm:f>13</xm:f>
          </x14:formula1>
          <x14:formula2>
            <xm:f>15</xm:f>
          </x14:formula2>
          <xm:sqref>H3:I3</xm:sqref>
        </x14:dataValidation>
        <x14:dataValidation xr:uid="{004700DB-00E1-4C53-BE7D-00D100F200BE}" type="textLength" allowBlank="1" errorStyle="stop" imeMode="noControl" operator="lessThanOrEqual" showDropDown="0" showErrorMessage="1" showInputMessage="1">
          <x14:formula1>
            <xm:f>990</xm:f>
          </x14:formula1>
          <xm:sqref>I2</xm:sqref>
        </x14:dataValidation>
        <x14:dataValidation xr:uid="{00A900BE-00C7-42DA-95A4-008D00D500B5}"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9" width="3.00390625"/>
    <col customWidth="1" min="16" max="16" style="129" width="8.00390625"/>
    <col hidden="1" min="17" max="17" style="50" width="9.140625"/>
  </cols>
  <sheetData>
    <row r="1" ht="22.5" hidden="1" customHeight="1">
      <c r="Q1" s="50" t="s">
        <v>14</v>
      </c>
    </row>
    <row r="2" s="63" customFormat="1" ht="22.5" hidden="1" customHeight="1">
      <c r="A2" s="131"/>
      <c r="B2" s="53">
        <v>1</v>
      </c>
      <c r="C2" s="53"/>
      <c r="D2" s="1045" t="s">
        <v>684</v>
      </c>
      <c r="E2" s="157">
        <v>1</v>
      </c>
      <c r="F2" s="604" t="str">
        <f>IF(region_name="","",region_name)</f>
        <v xml:space="preserve">Еврейская автономная область</v>
      </c>
      <c r="G2" s="1168"/>
      <c r="H2" s="390"/>
      <c r="I2" s="355"/>
      <c r="J2" s="73">
        <v>1</v>
      </c>
      <c r="K2" s="448"/>
      <c r="L2" s="448"/>
      <c r="M2" s="448"/>
      <c r="N2" s="366"/>
      <c r="O2" s="1164"/>
      <c r="P2" s="57"/>
      <c r="Q2" s="63">
        <v>0</v>
      </c>
    </row>
    <row r="3" s="63" customFormat="1" ht="22.5" hidden="1" customHeight="1">
      <c r="A3" s="121"/>
      <c r="B3" s="53"/>
      <c r="C3" s="53"/>
      <c r="D3" s="169"/>
      <c r="E3" s="157"/>
      <c r="F3" s="604"/>
      <c r="G3" s="1168"/>
      <c r="H3" s="388"/>
      <c r="I3" s="170"/>
      <c r="J3" s="701"/>
      <c r="K3" s="701" t="s">
        <v>1913</v>
      </c>
      <c r="L3" s="1185"/>
      <c r="M3" s="1186"/>
      <c r="N3" s="1187"/>
      <c r="O3" s="1164"/>
      <c r="P3" s="57"/>
      <c r="Q3" s="63">
        <v>0</v>
      </c>
    </row>
    <row r="4" s="57" customFormat="1" ht="5.25" hidden="1" customHeight="1">
      <c r="A4" s="131"/>
      <c r="D4" s="132"/>
      <c r="F4" s="133" t="s">
        <v>83</v>
      </c>
      <c r="G4" s="132" t="s">
        <v>84</v>
      </c>
      <c r="H4" s="132"/>
      <c r="I4" s="132"/>
      <c r="J4" s="1188"/>
      <c r="K4" s="132"/>
      <c r="L4" s="132"/>
      <c r="M4" s="132"/>
      <c r="N4" s="132"/>
      <c r="O4" s="133" t="s">
        <v>83</v>
      </c>
      <c r="P4" s="133"/>
      <c r="Q4" s="57">
        <v>0</v>
      </c>
    </row>
    <row r="5" s="63" customFormat="1" ht="22.5" hidden="1" customHeight="1">
      <c r="A5" s="131"/>
      <c r="B5" s="53">
        <v>1</v>
      </c>
      <c r="C5" s="53"/>
      <c r="D5" s="169"/>
      <c r="E5" s="1187"/>
      <c r="F5" s="1187"/>
      <c r="G5" s="1187"/>
      <c r="H5" s="1189"/>
      <c r="I5" s="1190" t="s">
        <v>684</v>
      </c>
      <c r="J5" s="145">
        <v>1</v>
      </c>
      <c r="K5" s="448"/>
      <c r="L5" s="448"/>
      <c r="M5" s="448"/>
      <c r="N5" s="366"/>
      <c r="O5" s="1164"/>
      <c r="P5" s="57"/>
      <c r="Q5" s="63">
        <v>0</v>
      </c>
    </row>
    <row r="6" s="139" customFormat="1" ht="14.65" customHeight="1">
      <c r="A6" s="50"/>
      <c r="B6" s="53"/>
      <c r="C6" s="50"/>
      <c r="D6" s="128"/>
      <c r="E6" s="50"/>
      <c r="F6" s="50"/>
      <c r="G6" s="50"/>
      <c r="H6" s="50"/>
      <c r="I6" s="50"/>
      <c r="J6" s="50"/>
      <c r="K6" s="50"/>
      <c r="L6" s="50"/>
      <c r="M6" s="50"/>
      <c r="N6" s="50"/>
      <c r="O6" s="133"/>
      <c r="P6" s="129"/>
      <c r="Q6" s="139">
        <v>14</v>
      </c>
    </row>
    <row r="7" s="139" customFormat="1" ht="27.300000000000001" customHeight="1">
      <c r="A7" s="50"/>
      <c r="B7" s="53"/>
      <c r="C7" s="50"/>
      <c r="D7" s="128"/>
      <c r="E7" s="11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91"/>
      <c r="G7" s="1191"/>
      <c r="H7" s="1191"/>
      <c r="I7" s="1191"/>
      <c r="J7" s="1191"/>
      <c r="K7" s="1191"/>
      <c r="L7" s="1191"/>
      <c r="M7" s="1191"/>
      <c r="N7" s="121"/>
      <c r="O7" s="133"/>
      <c r="P7" s="129"/>
      <c r="Q7" s="139">
        <v>26</v>
      </c>
    </row>
    <row r="8" s="139" customFormat="1" ht="14.65" customHeight="1">
      <c r="A8" s="50"/>
      <c r="B8" s="53"/>
      <c r="C8" s="50"/>
      <c r="D8" s="128"/>
      <c r="E8" s="50"/>
      <c r="F8" s="142"/>
      <c r="G8" s="142"/>
      <c r="H8" s="142"/>
      <c r="I8" s="142"/>
      <c r="J8" s="142"/>
      <c r="K8" s="142"/>
      <c r="L8" s="142"/>
      <c r="M8" s="142"/>
      <c r="N8" s="142"/>
      <c r="O8" s="129"/>
      <c r="P8" s="129"/>
      <c r="Q8" s="139">
        <v>14</v>
      </c>
    </row>
    <row r="9" s="1192" customFormat="1" ht="14.25" hidden="1" customHeight="1">
      <c r="A9" s="51"/>
      <c r="B9" s="114"/>
      <c r="C9" s="51"/>
      <c r="D9" s="128"/>
      <c r="E9" s="1193"/>
      <c r="F9" s="1193"/>
      <c r="G9" s="1193"/>
      <c r="H9" s="1193"/>
      <c r="I9" s="1193"/>
      <c r="J9" s="1193"/>
      <c r="K9" s="1193"/>
      <c r="L9" s="1193"/>
      <c r="M9" s="1194"/>
      <c r="O9" s="212"/>
      <c r="P9" s="212"/>
      <c r="Q9" s="1192">
        <v>0</v>
      </c>
    </row>
    <row r="10" s="139" customFormat="1" ht="14.65" customHeight="1">
      <c r="A10" s="50"/>
      <c r="B10" s="53"/>
      <c r="C10" s="50"/>
      <c r="D10" s="128"/>
      <c r="E10" s="157" t="s">
        <v>295</v>
      </c>
      <c r="F10" s="157"/>
      <c r="G10" s="157"/>
      <c r="H10" s="157"/>
      <c r="I10" s="157"/>
      <c r="J10" s="157"/>
      <c r="K10" s="157"/>
      <c r="L10" s="157"/>
      <c r="M10" s="73"/>
      <c r="N10" s="1166" t="s">
        <v>296</v>
      </c>
      <c r="O10" s="129"/>
      <c r="P10" s="129"/>
      <c r="Q10" s="139">
        <v>14</v>
      </c>
    </row>
    <row r="11" s="139" customFormat="1" ht="44.25" customHeight="1">
      <c r="A11" s="50"/>
      <c r="B11" s="53"/>
      <c r="C11" s="50"/>
      <c r="D11" s="128"/>
      <c r="E11" s="148" t="s">
        <v>88</v>
      </c>
      <c r="F11" s="148" t="s">
        <v>299</v>
      </c>
      <c r="G11" s="148" t="s">
        <v>1914</v>
      </c>
      <c r="H11" s="148"/>
      <c r="I11" s="148" t="s">
        <v>1915</v>
      </c>
      <c r="J11" s="148"/>
      <c r="K11" s="148"/>
      <c r="L11" s="148" t="s">
        <v>1916</v>
      </c>
      <c r="M11" s="147" t="s">
        <v>1917</v>
      </c>
      <c r="N11" s="1195"/>
      <c r="O11" s="129"/>
      <c r="P11" s="129"/>
      <c r="Q11" s="139">
        <v>42</v>
      </c>
    </row>
    <row r="12" s="139" customFormat="1" ht="29.25" customHeight="1">
      <c r="A12" s="50"/>
      <c r="B12" s="53"/>
      <c r="C12" s="50"/>
      <c r="D12" s="128"/>
      <c r="E12" s="1166"/>
      <c r="F12" s="148"/>
      <c r="G12" s="148" t="s">
        <v>1918</v>
      </c>
      <c r="H12" s="148" t="s">
        <v>303</v>
      </c>
      <c r="I12" s="148"/>
      <c r="J12" s="148"/>
      <c r="K12" s="148"/>
      <c r="L12" s="148"/>
      <c r="M12" s="147"/>
      <c r="N12" s="1180"/>
      <c r="O12" s="129"/>
      <c r="P12" s="129"/>
      <c r="Q12" s="139">
        <v>28</v>
      </c>
    </row>
    <row r="13" s="63" customFormat="1" ht="23.25" customHeight="1">
      <c r="A13" s="51">
        <v>26379339</v>
      </c>
      <c r="B13" s="53">
        <v>1</v>
      </c>
      <c r="C13" s="53"/>
      <c r="D13" s="169"/>
      <c r="E13" s="157">
        <v>1</v>
      </c>
      <c r="F13" s="1196" t="str">
        <f>IF(region_name="","",region_name)</f>
        <v xml:space="preserve">Еврейская автономная область</v>
      </c>
      <c r="G13" s="468"/>
      <c r="H13" s="1197"/>
      <c r="I13" s="355"/>
      <c r="J13" s="162">
        <v>1</v>
      </c>
      <c r="K13" s="1198"/>
      <c r="L13" s="1199"/>
      <c r="M13" s="1199"/>
      <c r="N13" s="1200" t="s">
        <v>1919</v>
      </c>
      <c r="O13" s="1164"/>
      <c r="P13" s="57"/>
      <c r="Q13" s="63">
        <v>22</v>
      </c>
    </row>
    <row r="14" s="63" customFormat="1" ht="23.25" customHeight="1">
      <c r="A14" s="51"/>
      <c r="B14" s="53"/>
      <c r="C14" s="53"/>
      <c r="D14" s="169"/>
      <c r="E14" s="157"/>
      <c r="F14" s="1196"/>
      <c r="G14" s="468"/>
      <c r="H14" s="1201"/>
      <c r="I14" s="170"/>
      <c r="J14" s="701"/>
      <c r="K14" s="701" t="s">
        <v>1913</v>
      </c>
      <c r="L14" s="1185"/>
      <c r="M14" s="1185"/>
      <c r="N14" s="1202"/>
      <c r="O14" s="1164"/>
      <c r="P14" s="57"/>
      <c r="Q14" s="63">
        <v>22</v>
      </c>
    </row>
    <row r="15" s="63" customFormat="1" ht="23.25" customHeight="1">
      <c r="A15" s="51"/>
      <c r="B15" s="53"/>
      <c r="C15" s="168"/>
      <c r="D15" s="169"/>
      <c r="E15" s="170"/>
      <c r="F15" s="701" t="s">
        <v>1905</v>
      </c>
      <c r="G15" s="1171"/>
      <c r="H15" s="1171"/>
      <c r="I15" s="173"/>
      <c r="J15" s="173"/>
      <c r="K15" s="173"/>
      <c r="L15" s="173"/>
      <c r="M15" s="173"/>
      <c r="N15" s="1202"/>
      <c r="O15" s="1173"/>
      <c r="P15" s="57"/>
      <c r="Q15" s="63">
        <v>22</v>
      </c>
    </row>
    <row r="16" s="139" customFormat="1" ht="22" customHeight="1">
      <c r="A16" s="50"/>
      <c r="B16" s="53"/>
      <c r="C16" s="50"/>
      <c r="D16" s="128"/>
      <c r="E16" s="179"/>
      <c r="F16" s="179"/>
      <c r="G16" s="179"/>
      <c r="H16" s="179"/>
      <c r="I16" s="179"/>
      <c r="J16" s="179"/>
      <c r="K16" s="179"/>
      <c r="L16" s="179"/>
      <c r="M16" s="50"/>
      <c r="N16" s="50"/>
      <c r="O16" s="129"/>
      <c r="P16" s="129"/>
      <c r="Q16" s="139">
        <v>21</v>
      </c>
    </row>
    <row r="17" s="139" customFormat="1" ht="14.65" customHeight="1">
      <c r="A17" s="50"/>
      <c r="B17" s="53"/>
      <c r="C17" s="50"/>
      <c r="D17" s="128"/>
      <c r="E17" s="50"/>
      <c r="F17" s="50"/>
      <c r="G17" s="50"/>
      <c r="H17" s="50"/>
      <c r="I17" s="50"/>
      <c r="J17" s="50"/>
      <c r="K17" s="50"/>
      <c r="L17" s="50"/>
      <c r="M17" s="50"/>
      <c r="N17" s="50"/>
      <c r="O17" s="129"/>
      <c r="P17" s="129"/>
      <c r="Q17" s="139">
        <v>14</v>
      </c>
    </row>
    <row r="18" s="139" customFormat="1" ht="1.05" customHeight="1">
      <c r="A18" s="50"/>
      <c r="B18" s="53"/>
      <c r="C18" s="50"/>
      <c r="D18" s="128"/>
      <c r="E18" s="50"/>
      <c r="F18" s="50"/>
      <c r="G18" s="50"/>
      <c r="H18" s="50"/>
      <c r="I18" s="50"/>
      <c r="J18" s="50"/>
      <c r="K18" s="50"/>
      <c r="L18" s="50"/>
      <c r="M18" s="50"/>
      <c r="N18" s="50"/>
      <c r="O18" s="129"/>
      <c r="P18" s="129"/>
      <c r="Q18" s="139">
        <v>1</v>
      </c>
    </row>
    <row r="19" ht="22.5" hidden="1" customHeight="1">
      <c r="A19" s="50" t="s">
        <v>82</v>
      </c>
      <c r="B19" s="53">
        <v>0</v>
      </c>
      <c r="C19" s="50">
        <v>0</v>
      </c>
      <c r="D19" s="128">
        <v>3</v>
      </c>
      <c r="E19" s="50">
        <v>6</v>
      </c>
      <c r="F19" s="50">
        <v>27</v>
      </c>
      <c r="G19" s="50">
        <v>29</v>
      </c>
      <c r="H19" s="50">
        <v>25</v>
      </c>
      <c r="I19" s="50">
        <v>5</v>
      </c>
      <c r="J19" s="50">
        <v>6</v>
      </c>
      <c r="K19" s="50">
        <v>41</v>
      </c>
      <c r="L19" s="50">
        <v>42</v>
      </c>
      <c r="M19" s="50">
        <v>41</v>
      </c>
      <c r="N19" s="50">
        <v>89</v>
      </c>
      <c r="O19" s="129">
        <v>3</v>
      </c>
      <c r="P19" s="129">
        <v>8</v>
      </c>
      <c r="Q19" s="50">
        <v>23</v>
      </c>
    </row>
  </sheetData>
  <sheetProtection autoFilter="0" deleteColumns="1" deleteRows="1" formatCells="1" formatColumns="0" formatRows="0" insertColumns="1" insertHyperlinks="1" insertRows="1" objects="0" pivotTables="1" scenarios="0" selectLockedCells="0" selectUnlockedCells="0" sheet="1" sort="1"/>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90079-0049-44EE-AA9A-001100F2004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D2000E-003A-4314-8F5A-00B5002B008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294" width="9.140625"/>
    <col hidden="1" min="2" max="2" style="143" width="9.140625"/>
    <col customWidth="1" min="3" max="3" style="1203" width="3.00390625"/>
    <col customWidth="1" min="4" max="4" style="143" width="6.00390625"/>
    <col customWidth="1" min="5" max="5" style="143" width="22.00390625"/>
    <col customWidth="1" min="6" max="6" style="143" width="15.00390625"/>
    <col customWidth="1" min="7" max="7" style="143" width="14.00390625"/>
    <col customWidth="1" min="8" max="8" style="143" width="47.00390625"/>
    <col customWidth="1" min="9" max="9" style="143" width="115.00390625"/>
    <col customWidth="1" min="10" max="10" style="143" width="3.00390625"/>
    <col customWidth="1" min="11" max="12" style="143" width="8.00390625"/>
    <col hidden="1" min="13" max="13" style="143" width="9.140625"/>
  </cols>
  <sheetData>
    <row r="1" ht="14.25" hidden="1" customHeight="1">
      <c r="M1" s="143" t="s">
        <v>14</v>
      </c>
    </row>
    <row r="2" ht="14.25" hidden="1" customHeight="1">
      <c r="M2" s="143">
        <v>0</v>
      </c>
    </row>
    <row r="3" ht="14.25" hidden="1" customHeight="1">
      <c r="M3" s="143">
        <v>0</v>
      </c>
    </row>
    <row r="4" ht="3" customHeight="1">
      <c r="M4" s="143">
        <v>3</v>
      </c>
    </row>
    <row r="5" s="50" customFormat="1" ht="31.5" customHeight="1">
      <c r="A5" s="56"/>
      <c r="C5" s="381"/>
      <c r="D5" s="141" t="s">
        <v>1920</v>
      </c>
      <c r="E5" s="141"/>
      <c r="F5" s="141"/>
      <c r="G5" s="141"/>
      <c r="H5" s="141"/>
      <c r="I5" s="239"/>
      <c r="M5" s="50">
        <v>30</v>
      </c>
    </row>
    <row r="6" ht="3" hidden="1" customHeight="1">
      <c r="D6" s="333"/>
      <c r="E6" s="333"/>
      <c r="F6" s="333"/>
      <c r="G6" s="333"/>
      <c r="H6" s="333"/>
      <c r="I6" s="333"/>
      <c r="M6" s="143">
        <v>0</v>
      </c>
    </row>
    <row r="7" s="294" customFormat="1" ht="14.65" customHeight="1">
      <c r="B7" s="143"/>
      <c r="C7" s="1203"/>
      <c r="D7" s="1204"/>
      <c r="E7" s="1204"/>
      <c r="F7" s="1204"/>
      <c r="G7" s="1204"/>
      <c r="H7" s="341"/>
      <c r="I7" s="1204"/>
      <c r="J7" s="1205"/>
      <c r="M7" s="294">
        <v>14</v>
      </c>
    </row>
    <row r="8" ht="14.65" customHeight="1">
      <c r="D8" s="347" t="s">
        <v>295</v>
      </c>
      <c r="E8" s="347"/>
      <c r="F8" s="347"/>
      <c r="G8" s="347"/>
      <c r="H8" s="347"/>
      <c r="I8" s="347" t="s">
        <v>296</v>
      </c>
      <c r="M8" s="143">
        <v>14</v>
      </c>
    </row>
    <row r="9" ht="29.25" customHeight="1">
      <c r="D9" s="347" t="s">
        <v>88</v>
      </c>
      <c r="E9" s="347" t="s">
        <v>1921</v>
      </c>
      <c r="F9" s="347"/>
      <c r="G9" s="347"/>
      <c r="H9" s="347"/>
      <c r="I9" s="347"/>
      <c r="M9" s="143">
        <v>28</v>
      </c>
    </row>
    <row r="10" ht="24" customHeight="1">
      <c r="D10" s="347"/>
      <c r="E10" s="347" t="s">
        <v>1922</v>
      </c>
      <c r="F10" s="347" t="s">
        <v>1923</v>
      </c>
      <c r="G10" s="347" t="s">
        <v>1924</v>
      </c>
      <c r="H10" s="347" t="s">
        <v>385</v>
      </c>
      <c r="I10" s="347"/>
      <c r="M10" s="143">
        <v>23</v>
      </c>
    </row>
    <row r="11" ht="12" hidden="1" customHeight="1">
      <c r="D11" s="425" t="s">
        <v>106</v>
      </c>
      <c r="E11" s="425" t="s">
        <v>91</v>
      </c>
      <c r="F11" s="425" t="s">
        <v>108</v>
      </c>
      <c r="G11" s="425" t="s">
        <v>92</v>
      </c>
      <c r="H11" s="425" t="s">
        <v>93</v>
      </c>
      <c r="I11" s="425" t="s">
        <v>109</v>
      </c>
      <c r="M11" s="143">
        <v>0</v>
      </c>
    </row>
    <row r="12" s="143" customFormat="1" ht="26.25" customHeight="1">
      <c r="A12" s="64" t="s">
        <v>90</v>
      </c>
      <c r="B12" s="143" t="s">
        <v>22</v>
      </c>
      <c r="C12" s="324"/>
      <c r="D12" s="218" t="s">
        <v>106</v>
      </c>
      <c r="E12" s="448"/>
      <c r="F12" s="448"/>
      <c r="G12" s="510" t="s">
        <v>22</v>
      </c>
      <c r="H12" s="470"/>
      <c r="I12" s="285" t="s">
        <v>1925</v>
      </c>
      <c r="K12" s="1206"/>
      <c r="L12" s="167"/>
      <c r="M12" s="143">
        <v>25</v>
      </c>
    </row>
    <row r="13" ht="15.75" customHeight="1">
      <c r="A13" s="143"/>
      <c r="B13" s="143"/>
      <c r="C13" s="143"/>
      <c r="D13" s="831"/>
      <c r="E13" s="177" t="s">
        <v>463</v>
      </c>
      <c r="F13" s="1051"/>
      <c r="G13" s="1051"/>
      <c r="H13" s="832"/>
      <c r="I13" s="289"/>
      <c r="M13" s="143">
        <v>15</v>
      </c>
    </row>
    <row r="14" ht="3" customHeight="1">
      <c r="A14" s="143"/>
      <c r="B14" s="143"/>
      <c r="C14" s="143"/>
      <c r="M14" s="143">
        <v>3</v>
      </c>
    </row>
    <row r="15" ht="29.25" customHeight="1">
      <c r="E15" s="1207" t="s">
        <v>1926</v>
      </c>
      <c r="F15" s="1207"/>
      <c r="G15" s="1207"/>
      <c r="H15" s="1207"/>
      <c r="M15" s="143">
        <v>28</v>
      </c>
    </row>
    <row r="16" ht="14.25" hidden="1" customHeight="1">
      <c r="A16" s="294" t="s">
        <v>82</v>
      </c>
      <c r="B16" s="143">
        <v>0</v>
      </c>
      <c r="C16" s="1203">
        <v>3</v>
      </c>
      <c r="D16" s="143">
        <v>6</v>
      </c>
      <c r="E16" s="143">
        <v>22</v>
      </c>
      <c r="F16" s="143">
        <v>15</v>
      </c>
      <c r="G16" s="143">
        <v>14</v>
      </c>
      <c r="H16" s="143">
        <v>47</v>
      </c>
      <c r="I16" s="143">
        <v>115</v>
      </c>
      <c r="J16" s="143">
        <v>3</v>
      </c>
      <c r="K16" s="143">
        <v>8</v>
      </c>
      <c r="L16" s="143">
        <v>8</v>
      </c>
      <c r="M16" s="143">
        <v>14</v>
      </c>
    </row>
  </sheetData>
  <sheetProtection autoFilter="0" deleteColumns="1" deleteRows="1" formatCells="1" formatColumns="0" formatRows="0" insertColumns="1" insertHyperlinks="1" insertRows="1" objects="0" pivotTables="1" scenarios="0" selectLockedCells="0" selectUnlockedCells="0" sheet="1" sort="1"/>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600C6-0017-4BC1-B1FA-003C00DF002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640070-00D6-4B1B-B780-0018005400ED}"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208" width="9.140625"/>
    <col customWidth="1" min="3" max="3" style="1209" width="3.00390625"/>
    <col customWidth="1" min="4" max="4" style="1208" width="6.00390625"/>
    <col customWidth="1" min="5" max="5" style="1208" width="94.00390625"/>
    <col customWidth="1" min="6" max="9" style="1208" width="8.00390625"/>
    <col hidden="1" min="10" max="10" style="1208" width="9.140625"/>
  </cols>
  <sheetData>
    <row r="1" ht="14.25" hidden="1" customHeight="1">
      <c r="J1" s="1208" t="s">
        <v>14</v>
      </c>
    </row>
    <row r="2" ht="14.25" hidden="1" customHeight="1">
      <c r="J2" s="1208">
        <v>0</v>
      </c>
    </row>
    <row r="3" ht="14.25" hidden="1" customHeight="1">
      <c r="J3" s="1208">
        <v>0</v>
      </c>
    </row>
    <row r="4" ht="14.25" hidden="1" customHeight="1">
      <c r="J4" s="1208">
        <v>0</v>
      </c>
    </row>
    <row r="5" ht="14.25" hidden="1" customHeight="1">
      <c r="J5" s="1208">
        <v>0</v>
      </c>
    </row>
    <row r="6" ht="3" customHeight="1">
      <c r="C6" s="1210"/>
      <c r="D6" s="333"/>
      <c r="E6" s="333"/>
      <c r="J6" s="1208">
        <v>3</v>
      </c>
    </row>
    <row r="7" ht="23.25" customHeight="1">
      <c r="C7" s="1210"/>
      <c r="D7" s="788" t="s">
        <v>1927</v>
      </c>
      <c r="E7" s="756"/>
      <c r="F7" s="1211"/>
      <c r="J7" s="1208">
        <v>22</v>
      </c>
    </row>
    <row r="8" ht="3" customHeight="1">
      <c r="C8" s="1210"/>
      <c r="D8" s="333"/>
      <c r="E8" s="333"/>
      <c r="J8" s="1208">
        <v>3</v>
      </c>
    </row>
    <row r="9" ht="16.800000000000001" customHeight="1">
      <c r="C9" s="1210"/>
      <c r="D9" s="347" t="s">
        <v>88</v>
      </c>
      <c r="E9" s="157" t="s">
        <v>1928</v>
      </c>
      <c r="J9" s="1208">
        <v>16</v>
      </c>
    </row>
    <row r="10" ht="1.05" customHeight="1">
      <c r="C10" s="1210"/>
      <c r="D10" s="425"/>
      <c r="E10" s="425"/>
      <c r="J10" s="1208">
        <v>1</v>
      </c>
    </row>
    <row r="11" ht="11.25" hidden="1" customHeight="1">
      <c r="C11" s="1210"/>
      <c r="D11" s="1212">
        <v>0</v>
      </c>
      <c r="E11" s="1213"/>
      <c r="J11" s="1208">
        <v>0</v>
      </c>
    </row>
    <row r="12" ht="15.75" customHeight="1">
      <c r="C12" s="381"/>
      <c r="D12" s="828">
        <v>1</v>
      </c>
      <c r="E12" s="448"/>
      <c r="J12" s="1208">
        <v>15</v>
      </c>
    </row>
    <row r="13" ht="12.75" customHeight="1">
      <c r="C13" s="1210"/>
      <c r="D13" s="439"/>
      <c r="E13" s="1214" t="s">
        <v>1929</v>
      </c>
      <c r="J13" s="1208">
        <v>12</v>
      </c>
    </row>
    <row r="14" ht="3" customHeight="1">
      <c r="J14" s="1208">
        <v>3</v>
      </c>
    </row>
    <row r="15" ht="23.25" customHeight="1">
      <c r="C15" s="1215"/>
      <c r="D15" s="1207" t="s">
        <v>1930</v>
      </c>
      <c r="E15" s="1207"/>
      <c r="F15" s="994"/>
      <c r="G15" s="994"/>
      <c r="H15" s="994"/>
      <c r="I15" s="994"/>
      <c r="J15" s="1208">
        <v>22</v>
      </c>
    </row>
    <row r="16" ht="14.25" hidden="1" customHeight="1">
      <c r="A16" s="1208" t="s">
        <v>82</v>
      </c>
      <c r="B16" s="1208">
        <v>0</v>
      </c>
      <c r="C16" s="1209">
        <v>3</v>
      </c>
      <c r="D16" s="1208">
        <v>6</v>
      </c>
      <c r="E16" s="1208">
        <v>94</v>
      </c>
      <c r="F16" s="1208">
        <v>8</v>
      </c>
      <c r="G16" s="1208">
        <v>8</v>
      </c>
      <c r="H16" s="1208">
        <v>8</v>
      </c>
      <c r="I16" s="1208">
        <v>8</v>
      </c>
      <c r="J16" s="1208">
        <v>14</v>
      </c>
    </row>
  </sheetData>
  <sheetProtection autoFilter="0" deleteColumns="1" deleteRows="1" formatCells="1" formatColumns="0" formatRows="0" insertColumns="1" insertHyperlinks="1" insertRows="1" objects="0" pivotTables="1" scenarios="0" selectLockedCells="0" selectUnlockedCells="0" sheet="1" sort="1"/>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4F00D0-002C-4BCA-8EFF-00B3008100C8}"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100" workbookViewId="0">
      <selection activeCell="E13" activeCellId="0" sqref="E13"/>
    </sheetView>
  </sheetViews>
  <sheetFormatPr defaultColWidth="9.140625" defaultRowHeight="14.25" customHeight="1"/>
  <cols>
    <col hidden="1" min="1" max="2" style="1208" width="9.140625"/>
    <col customWidth="1" min="3" max="3" style="1209" width="3.00390625"/>
    <col customWidth="1" min="4" max="4" style="1208" width="6.00390625"/>
    <col customWidth="1" min="5" max="5" style="1208" width="94.00390625"/>
    <col customWidth="1" min="6" max="12" style="1208" width="8.00390625"/>
    <col hidden="1" min="13" max="13" style="1208" width="9.140625"/>
  </cols>
  <sheetData>
    <row r="1" ht="14.25" hidden="1" customHeight="1">
      <c r="L1" s="1208"/>
      <c r="M1" s="1208" t="s">
        <v>14</v>
      </c>
    </row>
    <row r="2" ht="14.25" hidden="1" customHeight="1">
      <c r="M2" s="1208">
        <v>0</v>
      </c>
    </row>
    <row r="3" ht="14.25" hidden="1" customHeight="1">
      <c r="M3" s="1208">
        <v>0</v>
      </c>
    </row>
    <row r="4" ht="14.25" hidden="1" customHeight="1">
      <c r="M4" s="1208">
        <v>0</v>
      </c>
    </row>
    <row r="5" ht="14.25" hidden="1" customHeight="1">
      <c r="M5" s="1208">
        <v>0</v>
      </c>
    </row>
    <row r="6" ht="3" customHeight="1">
      <c r="C6" s="1210"/>
      <c r="D6" s="333"/>
      <c r="E6" s="333"/>
      <c r="M6" s="1208">
        <v>3</v>
      </c>
    </row>
    <row r="7" ht="23.25" customHeight="1">
      <c r="C7" s="1210"/>
      <c r="D7" s="141" t="s">
        <v>1931</v>
      </c>
      <c r="E7" s="141"/>
      <c r="F7" s="1211"/>
      <c r="M7" s="1208">
        <v>22</v>
      </c>
    </row>
    <row r="8" ht="3" customHeight="1">
      <c r="C8" s="1210"/>
      <c r="D8" s="333"/>
      <c r="E8" s="333"/>
      <c r="M8" s="1208">
        <v>3</v>
      </c>
    </row>
    <row r="9" ht="16.800000000000001" customHeight="1">
      <c r="C9" s="1210"/>
      <c r="D9" s="347" t="s">
        <v>88</v>
      </c>
      <c r="E9" s="246" t="s">
        <v>282</v>
      </c>
      <c r="M9" s="1208">
        <v>16</v>
      </c>
    </row>
    <row r="10" ht="12.75" customHeight="1">
      <c r="C10" s="1210"/>
      <c r="D10" s="425" t="s">
        <v>106</v>
      </c>
      <c r="E10" s="425" t="s">
        <v>107</v>
      </c>
      <c r="M10" s="1208">
        <v>12</v>
      </c>
    </row>
    <row r="11" ht="15" hidden="1" customHeight="1">
      <c r="C11" s="1210"/>
      <c r="D11" s="828">
        <v>0</v>
      </c>
      <c r="E11" s="458"/>
      <c r="M11" s="1208">
        <v>0</v>
      </c>
    </row>
    <row r="12" ht="66" customHeight="1">
      <c r="A12" s="1208"/>
      <c r="B12" s="1208"/>
      <c r="C12" s="1216" t="s">
        <v>684</v>
      </c>
      <c r="D12" s="828" t="s">
        <v>106</v>
      </c>
      <c r="E12" s="387" t="s">
        <v>1932</v>
      </c>
      <c r="F12" s="1208"/>
      <c r="G12" s="1208"/>
      <c r="H12" s="1208"/>
      <c r="I12" s="1208"/>
      <c r="J12" s="1208"/>
      <c r="K12" s="1208"/>
      <c r="L12" s="1208"/>
      <c r="M12" s="1208"/>
    </row>
    <row r="13" ht="61.5" customHeight="1">
      <c r="A13" s="1208"/>
      <c r="B13" s="1208"/>
      <c r="C13" s="1216" t="s">
        <v>684</v>
      </c>
      <c r="D13" s="828" t="s">
        <v>107</v>
      </c>
      <c r="E13" s="387" t="s">
        <v>1933</v>
      </c>
      <c r="F13" s="1208"/>
      <c r="G13" s="1208"/>
      <c r="H13" s="1208"/>
      <c r="I13" s="1208"/>
      <c r="J13" s="1208"/>
      <c r="K13" s="1208"/>
      <c r="L13" s="1208"/>
      <c r="M13" s="1208"/>
    </row>
    <row r="14" ht="14.65" customHeight="1">
      <c r="C14" s="1210"/>
      <c r="D14" s="831"/>
      <c r="E14" s="1214" t="s">
        <v>1929</v>
      </c>
      <c r="M14" s="1208">
        <v>14</v>
      </c>
    </row>
    <row r="15" ht="14.25" hidden="1" customHeight="1">
      <c r="A15" s="1208" t="s">
        <v>82</v>
      </c>
      <c r="B15" s="1208">
        <v>0</v>
      </c>
      <c r="C15" s="1209">
        <v>3</v>
      </c>
      <c r="D15" s="1208">
        <v>6</v>
      </c>
      <c r="E15" s="1208">
        <v>94</v>
      </c>
      <c r="F15" s="1208">
        <v>8</v>
      </c>
      <c r="G15" s="1208">
        <v>8</v>
      </c>
      <c r="H15" s="1208">
        <v>8</v>
      </c>
      <c r="I15" s="1208">
        <v>8</v>
      </c>
      <c r="J15" s="1208">
        <v>8</v>
      </c>
      <c r="K15" s="1208">
        <v>8</v>
      </c>
      <c r="L15" s="1208">
        <v>8</v>
      </c>
      <c r="M15" s="1208">
        <v>14</v>
      </c>
    </row>
  </sheetData>
  <sheetProtection autoFilter="0" deleteColumns="1" deleteRows="1" formatCells="1" formatColumns="0" formatRows="0" insertColumns="1" insertHyperlinks="1" insertRows="1" objects="0" pivotTables="1" scenarios="0" selectLockedCells="0" selectUnlockedCells="0" sheet="1" sort="1"/>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B003D-00D9-4EBF-B840-00CA00850057}" type="textLength" allowBlank="1" error="Допускается ввод не более 900 символов!" errorStyle="stop" errorTitle="Ошибка" imeMode="noControl" operator="lessThanOrEqual" showDropDown="0" showErrorMessage="1" showInputMessage="1">
          <x14:formula1>
            <xm:f>900</xm:f>
          </x14:formula1>
          <xm:sqref>E13</xm:sqref>
        </x14:dataValidation>
        <x14:dataValidation xr:uid="{007E00F0-0031-4891-8E00-006B007900B8}"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A70004-00B5-46DF-9984-004500080085}"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294" width="8.00390625"/>
    <col customWidth="1" min="38" max="64" style="63" width="8.00390625"/>
    <col hidden="1" min="65" max="65" style="63" width="9.140625"/>
  </cols>
  <sheetData>
    <row r="1" s="167"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7" t="s">
        <v>14</v>
      </c>
    </row>
    <row r="2" s="295" customFormat="1" ht="11.25" hidden="1" customHeight="1">
      <c r="L2" s="295" t="s">
        <v>274</v>
      </c>
      <c r="M2" s="295" t="s">
        <v>275</v>
      </c>
      <c r="R2" s="295" t="s">
        <v>276</v>
      </c>
      <c r="S2" s="295" t="s">
        <v>275</v>
      </c>
      <c r="X2" s="295" t="s">
        <v>274</v>
      </c>
      <c r="Y2" s="295" t="s">
        <v>275</v>
      </c>
      <c r="AD2" s="295" t="s">
        <v>274</v>
      </c>
      <c r="AE2" s="295" t="s">
        <v>275</v>
      </c>
      <c r="AJ2" s="296"/>
      <c r="AK2" s="296"/>
      <c r="AL2" s="296"/>
      <c r="AM2" s="296"/>
      <c r="AN2" s="296"/>
      <c r="AO2" s="296"/>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5">
        <v>0</v>
      </c>
    </row>
    <row r="3" s="297" customFormat="1" ht="11.5" customHeight="1">
      <c r="AJ3" s="63"/>
      <c r="AK3" s="294"/>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297">
        <v>11</v>
      </c>
    </row>
    <row r="4" s="139" customFormat="1" ht="34.5" customHeight="1">
      <c r="A4" s="56"/>
      <c r="B4" s="50"/>
      <c r="C4" s="128"/>
      <c r="D4" s="298" t="s">
        <v>277</v>
      </c>
      <c r="E4" s="298"/>
      <c r="F4" s="298"/>
      <c r="G4" s="298"/>
      <c r="H4" s="298"/>
      <c r="I4" s="298"/>
      <c r="J4" s="298"/>
      <c r="K4" s="299"/>
      <c r="T4" s="300"/>
      <c r="AJ4" s="301"/>
      <c r="AK4" s="302"/>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139">
        <v>33</v>
      </c>
    </row>
    <row r="5" s="139" customFormat="1" ht="14.65" customHeight="1">
      <c r="A5" s="56"/>
      <c r="B5" s="50"/>
      <c r="C5" s="128"/>
      <c r="D5" s="303" t="str">
        <f>IF(org=0,"Не определено",org)</f>
        <v xml:space="preserve">АО "ДГК" СП "Биробиджанская ТЭЦ"</v>
      </c>
      <c r="E5" s="303"/>
      <c r="F5" s="303"/>
      <c r="G5" s="303"/>
      <c r="H5" s="303"/>
      <c r="I5" s="303"/>
      <c r="J5" s="303"/>
      <c r="K5" s="299"/>
      <c r="T5" s="300"/>
      <c r="AJ5" s="301"/>
      <c r="AK5" s="302"/>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139">
        <v>14</v>
      </c>
    </row>
    <row r="6" s="139" customFormat="1" ht="14.65" customHeight="1">
      <c r="A6" s="56"/>
      <c r="B6" s="50"/>
      <c r="C6" s="128"/>
      <c r="D6" s="299"/>
      <c r="E6" s="299"/>
      <c r="F6" s="299"/>
      <c r="G6" s="299"/>
      <c r="H6" s="299"/>
      <c r="I6" s="299"/>
      <c r="J6" s="299"/>
      <c r="K6" s="299"/>
      <c r="T6" s="300"/>
      <c r="AJ6" s="301"/>
      <c r="AK6" s="302"/>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139">
        <v>14</v>
      </c>
    </row>
    <row r="7" s="167"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7">
        <v>1</v>
      </c>
    </row>
    <row r="8" ht="33.75" customHeight="1">
      <c r="D8" s="157" t="s">
        <v>88</v>
      </c>
      <c r="E8" s="157" t="s">
        <v>102</v>
      </c>
      <c r="F8" s="304" t="s">
        <v>119</v>
      </c>
      <c r="G8" s="305"/>
      <c r="H8" s="304" t="s">
        <v>88</v>
      </c>
      <c r="I8" s="305"/>
      <c r="J8" s="157" t="s">
        <v>120</v>
      </c>
      <c r="K8" s="306"/>
      <c r="L8" s="307" t="s">
        <v>278</v>
      </c>
      <c r="M8" s="307"/>
      <c r="N8" s="307"/>
      <c r="O8" s="307"/>
      <c r="P8" s="307"/>
      <c r="Q8" s="304"/>
      <c r="R8" s="73" t="s">
        <v>279</v>
      </c>
      <c r="S8" s="145"/>
      <c r="T8" s="145"/>
      <c r="U8" s="145"/>
      <c r="V8" s="145"/>
      <c r="W8" s="304"/>
      <c r="X8" s="157" t="s">
        <v>280</v>
      </c>
      <c r="Y8" s="157"/>
      <c r="Z8" s="157"/>
      <c r="AA8" s="157"/>
      <c r="AB8" s="157"/>
      <c r="AC8" s="307"/>
      <c r="AD8" s="157" t="s">
        <v>281</v>
      </c>
      <c r="AE8" s="157"/>
      <c r="AF8" s="157"/>
      <c r="AG8" s="157"/>
      <c r="AH8" s="73"/>
      <c r="AI8" s="157" t="s">
        <v>282</v>
      </c>
      <c r="AJ8" s="63"/>
      <c r="BM8" s="63">
        <v>32</v>
      </c>
    </row>
    <row r="9" ht="23.25" customHeight="1">
      <c r="D9" s="157"/>
      <c r="E9" s="157"/>
      <c r="F9" s="307" t="s">
        <v>89</v>
      </c>
      <c r="G9" s="307" t="s">
        <v>125</v>
      </c>
      <c r="H9" s="308"/>
      <c r="I9" s="309"/>
      <c r="J9" s="73"/>
      <c r="K9" s="308"/>
      <c r="L9" s="157" t="s">
        <v>283</v>
      </c>
      <c r="M9" s="73"/>
      <c r="N9" s="304" t="s">
        <v>88</v>
      </c>
      <c r="O9" s="305"/>
      <c r="P9" s="157" t="s">
        <v>126</v>
      </c>
      <c r="Q9" s="306"/>
      <c r="R9" s="157" t="s">
        <v>283</v>
      </c>
      <c r="S9" s="73"/>
      <c r="T9" s="304" t="s">
        <v>88</v>
      </c>
      <c r="U9" s="305"/>
      <c r="V9" s="157" t="s">
        <v>126</v>
      </c>
      <c r="W9" s="306"/>
      <c r="X9" s="157" t="s">
        <v>283</v>
      </c>
      <c r="Y9" s="73"/>
      <c r="Z9" s="304" t="s">
        <v>88</v>
      </c>
      <c r="AA9" s="305"/>
      <c r="AB9" s="157" t="s">
        <v>284</v>
      </c>
      <c r="AC9" s="306"/>
      <c r="AD9" s="157" t="s">
        <v>283</v>
      </c>
      <c r="AE9" s="73"/>
      <c r="AF9" s="304" t="s">
        <v>88</v>
      </c>
      <c r="AG9" s="305"/>
      <c r="AH9" s="73" t="s">
        <v>284</v>
      </c>
      <c r="AI9" s="157"/>
      <c r="AJ9" s="63"/>
      <c r="BM9" s="63">
        <v>22</v>
      </c>
    </row>
    <row r="10" ht="24" customHeight="1">
      <c r="D10" s="307"/>
      <c r="E10" s="307"/>
      <c r="F10" s="306"/>
      <c r="G10" s="306"/>
      <c r="H10" s="310"/>
      <c r="I10" s="311"/>
      <c r="J10" s="304"/>
      <c r="K10" s="308"/>
      <c r="L10" s="307" t="s">
        <v>285</v>
      </c>
      <c r="M10" s="304" t="s">
        <v>286</v>
      </c>
      <c r="N10" s="308"/>
      <c r="O10" s="309"/>
      <c r="P10" s="307"/>
      <c r="Q10" s="306"/>
      <c r="R10" s="307" t="s">
        <v>285</v>
      </c>
      <c r="S10" s="304" t="s">
        <v>286</v>
      </c>
      <c r="T10" s="308"/>
      <c r="U10" s="309"/>
      <c r="V10" s="307"/>
      <c r="W10" s="306"/>
      <c r="X10" s="307" t="s">
        <v>285</v>
      </c>
      <c r="Y10" s="304" t="s">
        <v>286</v>
      </c>
      <c r="Z10" s="308"/>
      <c r="AA10" s="309"/>
      <c r="AB10" s="307"/>
      <c r="AC10" s="306"/>
      <c r="AD10" s="307" t="s">
        <v>285</v>
      </c>
      <c r="AE10" s="304" t="s">
        <v>286</v>
      </c>
      <c r="AF10" s="308"/>
      <c r="AG10" s="309"/>
      <c r="AH10" s="304"/>
      <c r="AI10" s="307"/>
      <c r="AJ10" s="63"/>
      <c r="AK10" s="143" t="s">
        <v>287</v>
      </c>
      <c r="AL10" s="143" t="s">
        <v>127</v>
      </c>
      <c r="BM10" s="63">
        <v>23</v>
      </c>
    </row>
    <row r="11" ht="15" customHeight="1">
      <c r="D11" s="312" t="s">
        <v>106</v>
      </c>
      <c r="E11" s="313" t="s">
        <v>288</v>
      </c>
      <c r="F11" s="313" t="s">
        <v>289</v>
      </c>
      <c r="G11" s="314" t="s">
        <v>19</v>
      </c>
      <c r="H11" s="315"/>
      <c r="I11" s="316"/>
      <c r="J11" s="259"/>
      <c r="K11" s="259"/>
      <c r="L11" s="260"/>
      <c r="M11" s="260"/>
      <c r="N11" s="317"/>
      <c r="O11" s="260"/>
      <c r="P11" s="259"/>
      <c r="Q11" s="259"/>
      <c r="R11" s="260"/>
      <c r="S11" s="260"/>
      <c r="T11" s="318"/>
      <c r="U11" s="260"/>
      <c r="V11" s="259"/>
      <c r="W11" s="260"/>
      <c r="X11" s="260"/>
      <c r="Y11" s="260"/>
      <c r="Z11" s="317"/>
      <c r="AA11" s="260"/>
      <c r="AB11" s="259"/>
      <c r="AC11" s="319"/>
      <c r="AD11" s="260"/>
      <c r="AE11" s="260"/>
      <c r="AF11" s="260"/>
      <c r="AG11" s="260"/>
      <c r="AH11" s="317"/>
      <c r="AI11" s="263"/>
      <c r="AJ11" s="63"/>
      <c r="BM11" s="63">
        <v>14</v>
      </c>
    </row>
    <row r="12" ht="14.65" customHeight="1">
      <c r="D12" s="312"/>
      <c r="E12" s="313"/>
      <c r="F12" s="313"/>
      <c r="G12" s="320"/>
      <c r="H12" s="321"/>
      <c r="I12" s="322"/>
      <c r="J12" s="268"/>
      <c r="K12" s="86"/>
      <c r="L12" s="125"/>
      <c r="M12" s="125"/>
      <c r="N12" s="60"/>
      <c r="O12" s="125"/>
      <c r="P12" s="268"/>
      <c r="Q12" s="268"/>
      <c r="R12" s="125"/>
      <c r="S12" s="125"/>
      <c r="T12" s="323"/>
      <c r="U12" s="125"/>
      <c r="V12" s="268"/>
      <c r="W12" s="125"/>
      <c r="X12" s="125"/>
      <c r="Y12" s="125"/>
      <c r="Z12" s="60"/>
      <c r="AA12" s="125"/>
      <c r="AB12" s="268"/>
      <c r="AC12" s="86"/>
      <c r="AD12" s="125"/>
      <c r="AE12" s="125"/>
      <c r="AF12" s="271"/>
      <c r="AG12" s="271"/>
      <c r="AH12" s="271"/>
      <c r="AI12" s="272"/>
      <c r="AJ12" s="63"/>
      <c r="BM12" s="63">
        <v>14</v>
      </c>
    </row>
    <row r="13" ht="14.65" customHeight="1">
      <c r="D13" s="312"/>
      <c r="E13" s="313"/>
      <c r="F13" s="313"/>
      <c r="G13" s="320"/>
      <c r="H13" s="321"/>
      <c r="I13" s="322"/>
      <c r="J13" s="268"/>
      <c r="K13" s="86"/>
      <c r="L13" s="125"/>
      <c r="M13" s="125"/>
      <c r="N13" s="60"/>
      <c r="O13" s="125"/>
      <c r="P13" s="268"/>
      <c r="Q13" s="268"/>
      <c r="R13" s="125"/>
      <c r="S13" s="125"/>
      <c r="T13" s="323"/>
      <c r="U13" s="125"/>
      <c r="V13" s="268"/>
      <c r="W13" s="125"/>
      <c r="X13" s="125"/>
      <c r="Y13" s="125"/>
      <c r="Z13" s="125"/>
      <c r="AA13" s="271"/>
      <c r="AB13" s="271"/>
      <c r="AC13" s="271"/>
      <c r="AD13" s="271"/>
      <c r="AE13" s="271"/>
      <c r="AF13" s="271"/>
      <c r="AG13" s="271"/>
      <c r="AH13" s="271"/>
      <c r="AI13" s="272"/>
      <c r="AJ13" s="63"/>
      <c r="BM13" s="63">
        <v>14</v>
      </c>
    </row>
    <row r="14" ht="14.65" customHeight="1">
      <c r="D14" s="312"/>
      <c r="E14" s="313"/>
      <c r="F14" s="313"/>
      <c r="G14" s="320"/>
      <c r="H14" s="321"/>
      <c r="I14" s="322"/>
      <c r="J14" s="268"/>
      <c r="K14" s="86"/>
      <c r="L14" s="125"/>
      <c r="M14" s="125"/>
      <c r="N14" s="60"/>
      <c r="O14" s="125"/>
      <c r="P14" s="268"/>
      <c r="Q14" s="268"/>
      <c r="R14" s="125"/>
      <c r="S14" s="125"/>
      <c r="T14" s="324"/>
      <c r="U14" s="325"/>
      <c r="V14" s="271"/>
      <c r="W14" s="271"/>
      <c r="X14" s="271"/>
      <c r="Y14" s="271"/>
      <c r="Z14" s="271"/>
      <c r="AA14" s="271"/>
      <c r="AB14" s="271"/>
      <c r="AC14" s="271"/>
      <c r="AD14" s="271"/>
      <c r="AE14" s="271"/>
      <c r="AF14" s="271"/>
      <c r="AG14" s="271"/>
      <c r="AH14" s="271"/>
      <c r="AI14" s="272"/>
      <c r="AJ14" s="63"/>
      <c r="BM14" s="63">
        <v>14</v>
      </c>
    </row>
    <row r="15" ht="11.5" customHeight="1">
      <c r="D15" s="312"/>
      <c r="E15" s="313"/>
      <c r="F15" s="313"/>
      <c r="G15" s="320"/>
      <c r="H15" s="326"/>
      <c r="I15" s="322"/>
      <c r="J15" s="268"/>
      <c r="K15" s="86"/>
      <c r="L15" s="125"/>
      <c r="M15" s="125"/>
      <c r="N15" s="271"/>
      <c r="O15" s="271"/>
      <c r="P15" s="271"/>
      <c r="Q15" s="271"/>
      <c r="R15" s="271"/>
      <c r="S15" s="271"/>
      <c r="T15" s="271"/>
      <c r="U15" s="271"/>
      <c r="V15" s="271"/>
      <c r="W15" s="271"/>
      <c r="X15" s="271"/>
      <c r="Y15" s="271"/>
      <c r="Z15" s="271"/>
      <c r="AA15" s="271"/>
      <c r="AB15" s="271"/>
      <c r="AC15" s="271"/>
      <c r="AD15" s="271"/>
      <c r="AE15" s="271"/>
      <c r="AF15" s="271"/>
      <c r="AG15" s="271"/>
      <c r="AH15" s="271"/>
      <c r="AI15" s="272"/>
      <c r="AJ15" s="63"/>
      <c r="BM15" s="63">
        <v>11</v>
      </c>
    </row>
    <row r="16" s="297" customFormat="1" ht="11.5" customHeight="1">
      <c r="D16" s="327"/>
      <c r="E16" s="328"/>
      <c r="F16" s="329"/>
      <c r="G16" s="220"/>
      <c r="H16" s="330"/>
      <c r="I16" s="331"/>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80"/>
      <c r="AJ16" s="63"/>
      <c r="AK16" s="294"/>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297">
        <v>11</v>
      </c>
    </row>
    <row r="17" ht="15" customHeight="1">
      <c r="D17" s="312" t="s">
        <v>107</v>
      </c>
      <c r="E17" s="313" t="s">
        <v>288</v>
      </c>
      <c r="F17" s="313" t="s">
        <v>290</v>
      </c>
      <c r="G17" s="314" t="s">
        <v>19</v>
      </c>
      <c r="H17" s="315"/>
      <c r="I17" s="316"/>
      <c r="J17" s="259"/>
      <c r="K17" s="259"/>
      <c r="L17" s="260"/>
      <c r="M17" s="260"/>
      <c r="N17" s="317"/>
      <c r="O17" s="260"/>
      <c r="P17" s="259"/>
      <c r="Q17" s="259"/>
      <c r="R17" s="260"/>
      <c r="S17" s="260"/>
      <c r="T17" s="318"/>
      <c r="U17" s="260"/>
      <c r="V17" s="259"/>
      <c r="W17" s="260"/>
      <c r="X17" s="260"/>
      <c r="Y17" s="260"/>
      <c r="Z17" s="317"/>
      <c r="AA17" s="260"/>
      <c r="AB17" s="259"/>
      <c r="AC17" s="319"/>
      <c r="AD17" s="260"/>
      <c r="AE17" s="260"/>
      <c r="AF17" s="260"/>
      <c r="AG17" s="260"/>
      <c r="AH17" s="317"/>
      <c r="AI17" s="263"/>
      <c r="AJ17" s="63"/>
      <c r="BM17" s="63">
        <v>14</v>
      </c>
    </row>
    <row r="18" ht="14.65" customHeight="1">
      <c r="D18" s="312"/>
      <c r="E18" s="313"/>
      <c r="F18" s="313"/>
      <c r="G18" s="320"/>
      <c r="H18" s="321"/>
      <c r="I18" s="322"/>
      <c r="J18" s="268"/>
      <c r="K18" s="86"/>
      <c r="L18" s="125"/>
      <c r="M18" s="125"/>
      <c r="N18" s="60"/>
      <c r="O18" s="125"/>
      <c r="P18" s="268"/>
      <c r="Q18" s="268"/>
      <c r="R18" s="125"/>
      <c r="S18" s="125"/>
      <c r="T18" s="323"/>
      <c r="U18" s="125"/>
      <c r="V18" s="268"/>
      <c r="W18" s="125"/>
      <c r="X18" s="125"/>
      <c r="Y18" s="125"/>
      <c r="Z18" s="60"/>
      <c r="AA18" s="125"/>
      <c r="AB18" s="268"/>
      <c r="AC18" s="86"/>
      <c r="AD18" s="125"/>
      <c r="AE18" s="125"/>
      <c r="AF18" s="271"/>
      <c r="AG18" s="271"/>
      <c r="AH18" s="271"/>
      <c r="AI18" s="272"/>
      <c r="AJ18" s="63"/>
      <c r="BM18" s="63">
        <v>14</v>
      </c>
    </row>
    <row r="19" ht="14.65" customHeight="1">
      <c r="D19" s="312"/>
      <c r="E19" s="313"/>
      <c r="F19" s="313"/>
      <c r="G19" s="320"/>
      <c r="H19" s="321"/>
      <c r="I19" s="322"/>
      <c r="J19" s="268"/>
      <c r="K19" s="86"/>
      <c r="L19" s="125"/>
      <c r="M19" s="125"/>
      <c r="N19" s="60"/>
      <c r="O19" s="125"/>
      <c r="P19" s="268"/>
      <c r="Q19" s="268"/>
      <c r="R19" s="125"/>
      <c r="S19" s="125"/>
      <c r="T19" s="323"/>
      <c r="U19" s="125"/>
      <c r="V19" s="268"/>
      <c r="W19" s="125"/>
      <c r="X19" s="125"/>
      <c r="Y19" s="125"/>
      <c r="Z19" s="125"/>
      <c r="AA19" s="271"/>
      <c r="AB19" s="271"/>
      <c r="AC19" s="271"/>
      <c r="AD19" s="271"/>
      <c r="AE19" s="271"/>
      <c r="AF19" s="271"/>
      <c r="AG19" s="271"/>
      <c r="AH19" s="271"/>
      <c r="AI19" s="272"/>
      <c r="AJ19" s="63"/>
      <c r="BM19" s="63">
        <v>14</v>
      </c>
    </row>
    <row r="20" ht="14.65" customHeight="1">
      <c r="D20" s="312"/>
      <c r="E20" s="313"/>
      <c r="F20" s="313"/>
      <c r="G20" s="320"/>
      <c r="H20" s="321"/>
      <c r="I20" s="322"/>
      <c r="J20" s="268"/>
      <c r="K20" s="86"/>
      <c r="L20" s="125"/>
      <c r="M20" s="125"/>
      <c r="N20" s="60"/>
      <c r="O20" s="125"/>
      <c r="P20" s="268"/>
      <c r="Q20" s="268"/>
      <c r="R20" s="125"/>
      <c r="S20" s="125"/>
      <c r="T20" s="324"/>
      <c r="U20" s="325"/>
      <c r="V20" s="271"/>
      <c r="W20" s="271"/>
      <c r="X20" s="271"/>
      <c r="Y20" s="271"/>
      <c r="Z20" s="271"/>
      <c r="AA20" s="271"/>
      <c r="AB20" s="271"/>
      <c r="AC20" s="271"/>
      <c r="AD20" s="271"/>
      <c r="AE20" s="271"/>
      <c r="AF20" s="271"/>
      <c r="AG20" s="271"/>
      <c r="AH20" s="271"/>
      <c r="AI20" s="272"/>
      <c r="AJ20" s="63"/>
      <c r="BM20" s="63">
        <v>14</v>
      </c>
    </row>
    <row r="21" ht="11.5" customHeight="1">
      <c r="D21" s="312"/>
      <c r="E21" s="313"/>
      <c r="F21" s="313"/>
      <c r="G21" s="320"/>
      <c r="H21" s="326"/>
      <c r="I21" s="322"/>
      <c r="J21" s="268"/>
      <c r="K21" s="86"/>
      <c r="L21" s="125"/>
      <c r="M21" s="125"/>
      <c r="N21" s="271"/>
      <c r="O21" s="271"/>
      <c r="P21" s="271"/>
      <c r="Q21" s="271"/>
      <c r="R21" s="271"/>
      <c r="S21" s="271"/>
      <c r="T21" s="271"/>
      <c r="U21" s="271"/>
      <c r="V21" s="271"/>
      <c r="W21" s="271"/>
      <c r="X21" s="271"/>
      <c r="Y21" s="271"/>
      <c r="Z21" s="271"/>
      <c r="AA21" s="271"/>
      <c r="AB21" s="271"/>
      <c r="AC21" s="271"/>
      <c r="AD21" s="271"/>
      <c r="AE21" s="271"/>
      <c r="AF21" s="271"/>
      <c r="AG21" s="271"/>
      <c r="AH21" s="271"/>
      <c r="AI21" s="272"/>
      <c r="AJ21" s="63"/>
      <c r="BM21" s="63">
        <v>11</v>
      </c>
    </row>
    <row r="22" s="297" customFormat="1" ht="11.5" customHeight="1">
      <c r="D22" s="327"/>
      <c r="E22" s="328"/>
      <c r="F22" s="329"/>
      <c r="G22" s="220"/>
      <c r="H22" s="330"/>
      <c r="I22" s="331"/>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80"/>
      <c r="AJ22" s="63"/>
      <c r="AK22" s="294"/>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297">
        <v>11</v>
      </c>
    </row>
    <row r="23" ht="15" customHeight="1">
      <c r="D23" s="312" t="s">
        <v>90</v>
      </c>
      <c r="E23" s="313" t="s">
        <v>288</v>
      </c>
      <c r="F23" s="313" t="s">
        <v>291</v>
      </c>
      <c r="G23" s="314" t="s">
        <v>19</v>
      </c>
      <c r="H23" s="315"/>
      <c r="I23" s="316"/>
      <c r="J23" s="259"/>
      <c r="K23" s="259"/>
      <c r="L23" s="260"/>
      <c r="M23" s="260"/>
      <c r="N23" s="317"/>
      <c r="O23" s="260"/>
      <c r="P23" s="259"/>
      <c r="Q23" s="259"/>
      <c r="R23" s="260"/>
      <c r="S23" s="260"/>
      <c r="T23" s="318"/>
      <c r="U23" s="260"/>
      <c r="V23" s="259"/>
      <c r="W23" s="260"/>
      <c r="X23" s="260"/>
      <c r="Y23" s="260"/>
      <c r="Z23" s="317"/>
      <c r="AA23" s="260"/>
      <c r="AB23" s="259"/>
      <c r="AC23" s="319"/>
      <c r="AD23" s="260"/>
      <c r="AE23" s="260"/>
      <c r="AF23" s="260"/>
      <c r="AG23" s="260"/>
      <c r="AH23" s="317"/>
      <c r="AI23" s="263"/>
      <c r="AJ23" s="63"/>
      <c r="AK23" s="294" t="s">
        <v>98</v>
      </c>
      <c r="BM23" s="63">
        <v>14</v>
      </c>
    </row>
    <row r="24" ht="14.65" customHeight="1">
      <c r="D24" s="312"/>
      <c r="E24" s="313"/>
      <c r="F24" s="313"/>
      <c r="G24" s="320"/>
      <c r="H24" s="321"/>
      <c r="I24" s="322"/>
      <c r="J24" s="268"/>
      <c r="K24" s="86"/>
      <c r="L24" s="125"/>
      <c r="M24" s="125"/>
      <c r="N24" s="60"/>
      <c r="O24" s="125"/>
      <c r="P24" s="268"/>
      <c r="Q24" s="268"/>
      <c r="R24" s="125"/>
      <c r="S24" s="125"/>
      <c r="T24" s="323"/>
      <c r="U24" s="125"/>
      <c r="V24" s="268"/>
      <c r="W24" s="125"/>
      <c r="X24" s="125"/>
      <c r="Y24" s="125"/>
      <c r="Z24" s="60"/>
      <c r="AA24" s="125"/>
      <c r="AB24" s="268"/>
      <c r="AC24" s="86"/>
      <c r="AD24" s="125"/>
      <c r="AE24" s="125"/>
      <c r="AF24" s="271"/>
      <c r="AG24" s="271"/>
      <c r="AH24" s="271"/>
      <c r="AI24" s="272"/>
      <c r="AJ24" s="63"/>
      <c r="BM24" s="63">
        <v>14</v>
      </c>
    </row>
    <row r="25" ht="14.65" customHeight="1">
      <c r="D25" s="312"/>
      <c r="E25" s="313"/>
      <c r="F25" s="313"/>
      <c r="G25" s="320"/>
      <c r="H25" s="321"/>
      <c r="I25" s="322"/>
      <c r="J25" s="268"/>
      <c r="K25" s="86"/>
      <c r="L25" s="125"/>
      <c r="M25" s="125"/>
      <c r="N25" s="60"/>
      <c r="O25" s="125"/>
      <c r="P25" s="268"/>
      <c r="Q25" s="268"/>
      <c r="R25" s="125"/>
      <c r="S25" s="125"/>
      <c r="T25" s="323"/>
      <c r="U25" s="125"/>
      <c r="V25" s="268"/>
      <c r="W25" s="125"/>
      <c r="X25" s="125"/>
      <c r="Y25" s="125"/>
      <c r="Z25" s="125"/>
      <c r="AA25" s="271"/>
      <c r="AB25" s="271"/>
      <c r="AC25" s="271"/>
      <c r="AD25" s="271"/>
      <c r="AE25" s="271"/>
      <c r="AF25" s="271"/>
      <c r="AG25" s="271"/>
      <c r="AH25" s="271"/>
      <c r="AI25" s="272"/>
      <c r="AJ25" s="63"/>
      <c r="BM25" s="63">
        <v>14</v>
      </c>
    </row>
    <row r="26" ht="14.65" customHeight="1">
      <c r="D26" s="312"/>
      <c r="E26" s="313"/>
      <c r="F26" s="313"/>
      <c r="G26" s="320"/>
      <c r="H26" s="321"/>
      <c r="I26" s="322"/>
      <c r="J26" s="268"/>
      <c r="K26" s="86"/>
      <c r="L26" s="125"/>
      <c r="M26" s="125"/>
      <c r="N26" s="60"/>
      <c r="O26" s="125"/>
      <c r="P26" s="268"/>
      <c r="Q26" s="268"/>
      <c r="R26" s="125"/>
      <c r="S26" s="125"/>
      <c r="T26" s="324"/>
      <c r="U26" s="325"/>
      <c r="V26" s="271"/>
      <c r="W26" s="271"/>
      <c r="X26" s="271"/>
      <c r="Y26" s="271"/>
      <c r="Z26" s="271"/>
      <c r="AA26" s="271"/>
      <c r="AB26" s="271"/>
      <c r="AC26" s="271"/>
      <c r="AD26" s="271"/>
      <c r="AE26" s="271"/>
      <c r="AF26" s="271"/>
      <c r="AG26" s="271"/>
      <c r="AH26" s="271"/>
      <c r="AI26" s="272"/>
      <c r="AJ26" s="63"/>
      <c r="BM26" s="63">
        <v>14</v>
      </c>
    </row>
    <row r="27" ht="11.5" customHeight="1">
      <c r="D27" s="312"/>
      <c r="E27" s="313"/>
      <c r="F27" s="313"/>
      <c r="G27" s="320"/>
      <c r="H27" s="326"/>
      <c r="I27" s="322"/>
      <c r="J27" s="268"/>
      <c r="K27" s="86"/>
      <c r="L27" s="125"/>
      <c r="M27" s="125"/>
      <c r="N27" s="271"/>
      <c r="O27" s="271"/>
      <c r="P27" s="271"/>
      <c r="Q27" s="271"/>
      <c r="R27" s="271"/>
      <c r="S27" s="271"/>
      <c r="T27" s="271"/>
      <c r="U27" s="271"/>
      <c r="V27" s="271"/>
      <c r="W27" s="271"/>
      <c r="X27" s="271"/>
      <c r="Y27" s="271"/>
      <c r="Z27" s="271"/>
      <c r="AA27" s="271"/>
      <c r="AB27" s="271"/>
      <c r="AC27" s="271"/>
      <c r="AD27" s="271"/>
      <c r="AE27" s="271"/>
      <c r="AF27" s="271"/>
      <c r="AG27" s="271"/>
      <c r="AH27" s="271"/>
      <c r="AI27" s="272"/>
      <c r="AJ27" s="63"/>
      <c r="BM27" s="63">
        <v>11</v>
      </c>
    </row>
    <row r="28" s="297" customFormat="1" ht="11.5" customHeight="1">
      <c r="D28" s="327"/>
      <c r="E28" s="328"/>
      <c r="F28" s="329"/>
      <c r="G28" s="220"/>
      <c r="H28" s="330"/>
      <c r="I28" s="331"/>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80"/>
      <c r="AJ28" s="63"/>
      <c r="AK28" s="294"/>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297">
        <v>11</v>
      </c>
    </row>
    <row r="29" ht="15" customHeight="1">
      <c r="D29" s="312" t="s">
        <v>91</v>
      </c>
      <c r="E29" s="313" t="s">
        <v>288</v>
      </c>
      <c r="F29" s="313" t="s">
        <v>292</v>
      </c>
      <c r="G29" s="314" t="s">
        <v>19</v>
      </c>
      <c r="H29" s="315"/>
      <c r="I29" s="316"/>
      <c r="J29" s="259"/>
      <c r="K29" s="259"/>
      <c r="L29" s="260"/>
      <c r="M29" s="260"/>
      <c r="N29" s="317"/>
      <c r="O29" s="260"/>
      <c r="P29" s="259"/>
      <c r="Q29" s="259"/>
      <c r="R29" s="260"/>
      <c r="S29" s="260"/>
      <c r="T29" s="318"/>
      <c r="U29" s="260"/>
      <c r="V29" s="259"/>
      <c r="W29" s="260"/>
      <c r="X29" s="260"/>
      <c r="Y29" s="260"/>
      <c r="Z29" s="317"/>
      <c r="AA29" s="260"/>
      <c r="AB29" s="259"/>
      <c r="AC29" s="319"/>
      <c r="AD29" s="260"/>
      <c r="AE29" s="260"/>
      <c r="AF29" s="260"/>
      <c r="AG29" s="260"/>
      <c r="AH29" s="317"/>
      <c r="AI29" s="263"/>
      <c r="AJ29" s="63"/>
      <c r="BM29" s="63">
        <v>14</v>
      </c>
    </row>
    <row r="30" ht="14.65" customHeight="1">
      <c r="D30" s="312"/>
      <c r="E30" s="313"/>
      <c r="F30" s="313"/>
      <c r="G30" s="320"/>
      <c r="H30" s="321"/>
      <c r="I30" s="322"/>
      <c r="J30" s="268"/>
      <c r="K30" s="86"/>
      <c r="L30" s="125"/>
      <c r="M30" s="125"/>
      <c r="N30" s="60"/>
      <c r="O30" s="125"/>
      <c r="P30" s="268"/>
      <c r="Q30" s="268"/>
      <c r="R30" s="125"/>
      <c r="S30" s="125"/>
      <c r="T30" s="323"/>
      <c r="U30" s="125"/>
      <c r="V30" s="268"/>
      <c r="W30" s="125"/>
      <c r="X30" s="125"/>
      <c r="Y30" s="125"/>
      <c r="Z30" s="60"/>
      <c r="AA30" s="125"/>
      <c r="AB30" s="268"/>
      <c r="AC30" s="86"/>
      <c r="AD30" s="125"/>
      <c r="AE30" s="125"/>
      <c r="AF30" s="271"/>
      <c r="AG30" s="271"/>
      <c r="AH30" s="271"/>
      <c r="AI30" s="272"/>
      <c r="AJ30" s="63"/>
      <c r="BM30" s="63">
        <v>14</v>
      </c>
    </row>
    <row r="31" ht="14.65" customHeight="1">
      <c r="D31" s="312"/>
      <c r="E31" s="313"/>
      <c r="F31" s="313"/>
      <c r="G31" s="320"/>
      <c r="H31" s="321"/>
      <c r="I31" s="322"/>
      <c r="J31" s="268"/>
      <c r="K31" s="86"/>
      <c r="L31" s="125"/>
      <c r="M31" s="125"/>
      <c r="N31" s="60"/>
      <c r="O31" s="125"/>
      <c r="P31" s="268"/>
      <c r="Q31" s="268"/>
      <c r="R31" s="125"/>
      <c r="S31" s="125"/>
      <c r="T31" s="323"/>
      <c r="U31" s="125"/>
      <c r="V31" s="268"/>
      <c r="W31" s="125"/>
      <c r="X31" s="125"/>
      <c r="Y31" s="125"/>
      <c r="Z31" s="125"/>
      <c r="AA31" s="271"/>
      <c r="AB31" s="271"/>
      <c r="AC31" s="271"/>
      <c r="AD31" s="271"/>
      <c r="AE31" s="271"/>
      <c r="AF31" s="271"/>
      <c r="AG31" s="271"/>
      <c r="AH31" s="271"/>
      <c r="AI31" s="272"/>
      <c r="AJ31" s="63"/>
      <c r="BM31" s="63">
        <v>14</v>
      </c>
    </row>
    <row r="32" ht="14.65" customHeight="1">
      <c r="D32" s="312"/>
      <c r="E32" s="313"/>
      <c r="F32" s="313"/>
      <c r="G32" s="320"/>
      <c r="H32" s="321"/>
      <c r="I32" s="322"/>
      <c r="J32" s="268"/>
      <c r="K32" s="86"/>
      <c r="L32" s="125"/>
      <c r="M32" s="125"/>
      <c r="N32" s="60"/>
      <c r="O32" s="125"/>
      <c r="P32" s="268"/>
      <c r="Q32" s="268"/>
      <c r="R32" s="125"/>
      <c r="S32" s="125"/>
      <c r="T32" s="324"/>
      <c r="U32" s="325"/>
      <c r="V32" s="271"/>
      <c r="W32" s="271"/>
      <c r="X32" s="271"/>
      <c r="Y32" s="271"/>
      <c r="Z32" s="271"/>
      <c r="AA32" s="271"/>
      <c r="AB32" s="271"/>
      <c r="AC32" s="271"/>
      <c r="AD32" s="271"/>
      <c r="AE32" s="271"/>
      <c r="AF32" s="271"/>
      <c r="AG32" s="271"/>
      <c r="AH32" s="271"/>
      <c r="AI32" s="272"/>
      <c r="AJ32" s="63"/>
      <c r="BM32" s="63">
        <v>14</v>
      </c>
    </row>
    <row r="33" ht="11.5" customHeight="1">
      <c r="D33" s="312"/>
      <c r="E33" s="313"/>
      <c r="F33" s="313"/>
      <c r="G33" s="320"/>
      <c r="H33" s="326"/>
      <c r="I33" s="322"/>
      <c r="J33" s="268"/>
      <c r="K33" s="86"/>
      <c r="L33" s="125"/>
      <c r="M33" s="125"/>
      <c r="N33" s="271"/>
      <c r="O33" s="271"/>
      <c r="P33" s="271"/>
      <c r="Q33" s="271"/>
      <c r="R33" s="271"/>
      <c r="S33" s="271"/>
      <c r="T33" s="271"/>
      <c r="U33" s="271"/>
      <c r="V33" s="271"/>
      <c r="W33" s="271"/>
      <c r="X33" s="271"/>
      <c r="Y33" s="271"/>
      <c r="Z33" s="271"/>
      <c r="AA33" s="271"/>
      <c r="AB33" s="271"/>
      <c r="AC33" s="271"/>
      <c r="AD33" s="271"/>
      <c r="AE33" s="271"/>
      <c r="AF33" s="271"/>
      <c r="AG33" s="271"/>
      <c r="AH33" s="271"/>
      <c r="AI33" s="272"/>
      <c r="AJ33" s="63"/>
      <c r="BM33" s="63">
        <v>11</v>
      </c>
    </row>
    <row r="34" s="297" customFormat="1" ht="11.5" customHeight="1">
      <c r="D34" s="327"/>
      <c r="E34" s="328"/>
      <c r="F34" s="329"/>
      <c r="G34" s="220"/>
      <c r="H34" s="330"/>
      <c r="I34" s="331"/>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80"/>
      <c r="AJ34" s="63"/>
      <c r="AK34" s="294"/>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297">
        <v>11</v>
      </c>
    </row>
    <row r="35" ht="15" customHeight="1">
      <c r="D35" s="312" t="s">
        <v>108</v>
      </c>
      <c r="E35" s="313" t="s">
        <v>288</v>
      </c>
      <c r="F35" s="313" t="s">
        <v>293</v>
      </c>
      <c r="G35" s="314" t="s">
        <v>19</v>
      </c>
      <c r="H35" s="315"/>
      <c r="I35" s="316"/>
      <c r="J35" s="259"/>
      <c r="K35" s="259"/>
      <c r="L35" s="260"/>
      <c r="M35" s="260"/>
      <c r="N35" s="317"/>
      <c r="O35" s="260"/>
      <c r="P35" s="259"/>
      <c r="Q35" s="259"/>
      <c r="R35" s="260"/>
      <c r="S35" s="260"/>
      <c r="T35" s="318"/>
      <c r="U35" s="260"/>
      <c r="V35" s="259"/>
      <c r="W35" s="260"/>
      <c r="X35" s="260"/>
      <c r="Y35" s="260"/>
      <c r="Z35" s="317"/>
      <c r="AA35" s="260"/>
      <c r="AB35" s="259"/>
      <c r="AC35" s="319"/>
      <c r="AD35" s="260"/>
      <c r="AE35" s="260"/>
      <c r="AF35" s="260"/>
      <c r="AG35" s="260"/>
      <c r="AH35" s="317"/>
      <c r="AI35" s="263"/>
      <c r="AJ35" s="63"/>
      <c r="BM35" s="63">
        <v>14</v>
      </c>
    </row>
    <row r="36" ht="14.65" customHeight="1">
      <c r="D36" s="312"/>
      <c r="E36" s="313"/>
      <c r="F36" s="313"/>
      <c r="G36" s="320"/>
      <c r="H36" s="321"/>
      <c r="I36" s="322"/>
      <c r="J36" s="268"/>
      <c r="K36" s="86"/>
      <c r="L36" s="125"/>
      <c r="M36" s="125"/>
      <c r="N36" s="60"/>
      <c r="O36" s="125"/>
      <c r="P36" s="268"/>
      <c r="Q36" s="268"/>
      <c r="R36" s="125"/>
      <c r="S36" s="125"/>
      <c r="T36" s="323"/>
      <c r="U36" s="125"/>
      <c r="V36" s="268"/>
      <c r="W36" s="125"/>
      <c r="X36" s="125"/>
      <c r="Y36" s="125"/>
      <c r="Z36" s="60"/>
      <c r="AA36" s="125"/>
      <c r="AB36" s="268"/>
      <c r="AC36" s="86"/>
      <c r="AD36" s="125"/>
      <c r="AE36" s="125"/>
      <c r="AF36" s="271"/>
      <c r="AG36" s="271"/>
      <c r="AH36" s="271"/>
      <c r="AI36" s="272"/>
      <c r="AJ36" s="63"/>
      <c r="BM36" s="63">
        <v>14</v>
      </c>
    </row>
    <row r="37" ht="14.65" customHeight="1">
      <c r="D37" s="312"/>
      <c r="E37" s="313"/>
      <c r="F37" s="313"/>
      <c r="G37" s="320"/>
      <c r="H37" s="321"/>
      <c r="I37" s="322"/>
      <c r="J37" s="268"/>
      <c r="K37" s="86"/>
      <c r="L37" s="125"/>
      <c r="M37" s="125"/>
      <c r="N37" s="60"/>
      <c r="O37" s="125"/>
      <c r="P37" s="268"/>
      <c r="Q37" s="268"/>
      <c r="R37" s="125"/>
      <c r="S37" s="125"/>
      <c r="T37" s="323"/>
      <c r="U37" s="125"/>
      <c r="V37" s="268"/>
      <c r="W37" s="125"/>
      <c r="X37" s="125"/>
      <c r="Y37" s="125"/>
      <c r="Z37" s="125"/>
      <c r="AA37" s="271"/>
      <c r="AB37" s="271"/>
      <c r="AC37" s="271"/>
      <c r="AD37" s="271"/>
      <c r="AE37" s="271"/>
      <c r="AF37" s="271"/>
      <c r="AG37" s="271"/>
      <c r="AH37" s="271"/>
      <c r="AI37" s="272"/>
      <c r="AJ37" s="63"/>
      <c r="BM37" s="63">
        <v>14</v>
      </c>
    </row>
    <row r="38" ht="14.65" customHeight="1">
      <c r="D38" s="312"/>
      <c r="E38" s="313"/>
      <c r="F38" s="313"/>
      <c r="G38" s="320"/>
      <c r="H38" s="321"/>
      <c r="I38" s="322"/>
      <c r="J38" s="268"/>
      <c r="K38" s="86"/>
      <c r="L38" s="125"/>
      <c r="M38" s="125"/>
      <c r="N38" s="60"/>
      <c r="O38" s="125"/>
      <c r="P38" s="268"/>
      <c r="Q38" s="268"/>
      <c r="R38" s="125"/>
      <c r="S38" s="125"/>
      <c r="T38" s="324"/>
      <c r="U38" s="325"/>
      <c r="V38" s="271"/>
      <c r="W38" s="271"/>
      <c r="X38" s="271"/>
      <c r="Y38" s="271"/>
      <c r="Z38" s="271"/>
      <c r="AA38" s="271"/>
      <c r="AB38" s="271"/>
      <c r="AC38" s="271"/>
      <c r="AD38" s="271"/>
      <c r="AE38" s="271"/>
      <c r="AF38" s="271"/>
      <c r="AG38" s="271"/>
      <c r="AH38" s="271"/>
      <c r="AI38" s="272"/>
      <c r="AJ38" s="63"/>
      <c r="BM38" s="63">
        <v>14</v>
      </c>
    </row>
    <row r="39" ht="11.5" customHeight="1">
      <c r="D39" s="312"/>
      <c r="E39" s="313"/>
      <c r="F39" s="313"/>
      <c r="G39" s="320"/>
      <c r="H39" s="326"/>
      <c r="I39" s="322"/>
      <c r="J39" s="268"/>
      <c r="K39" s="86"/>
      <c r="L39" s="125"/>
      <c r="M39" s="125"/>
      <c r="N39" s="271"/>
      <c r="O39" s="271"/>
      <c r="P39" s="271"/>
      <c r="Q39" s="271"/>
      <c r="R39" s="271"/>
      <c r="S39" s="271"/>
      <c r="T39" s="271"/>
      <c r="U39" s="271"/>
      <c r="V39" s="271"/>
      <c r="W39" s="271"/>
      <c r="X39" s="271"/>
      <c r="Y39" s="271"/>
      <c r="Z39" s="271"/>
      <c r="AA39" s="271"/>
      <c r="AB39" s="271"/>
      <c r="AC39" s="271"/>
      <c r="AD39" s="271"/>
      <c r="AE39" s="271"/>
      <c r="AF39" s="271"/>
      <c r="AG39" s="271"/>
      <c r="AH39" s="271"/>
      <c r="AI39" s="272"/>
      <c r="AJ39" s="63"/>
      <c r="BM39" s="63">
        <v>11</v>
      </c>
    </row>
    <row r="40" s="297" customFormat="1" ht="11.5" customHeight="1">
      <c r="D40" s="312"/>
      <c r="E40" s="313"/>
      <c r="F40" s="332"/>
      <c r="G40" s="220"/>
      <c r="H40" s="330"/>
      <c r="I40" s="331"/>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80"/>
      <c r="AJ40" s="63"/>
      <c r="AK40" s="294"/>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297">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294">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1" deleteRows="1" formatCells="1" formatColumns="0" formatRows="0" insertColumns="1" insertHyperlinks="1" insertRows="1" objects="0" pivotTables="1" scenarios="0" selectLockedCells="0" selectUnlockedCells="0" sheet="1" sort="1"/>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E00DD-00A1-4236-BB08-00AD009A00AC}"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BC0035-002C-4472-BE74-00240002007D}"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217" t="s">
        <v>1934</v>
      </c>
      <c r="C2" s="1217"/>
      <c r="D2" s="1217"/>
      <c r="E2" s="1218"/>
      <c r="F2" s="63">
        <v>22</v>
      </c>
    </row>
    <row r="3" ht="3" customHeight="1">
      <c r="F3" s="63">
        <v>3</v>
      </c>
    </row>
    <row r="4" ht="23.25" customHeight="1">
      <c r="B4" s="1219" t="s">
        <v>1935</v>
      </c>
      <c r="C4" s="1219" t="s">
        <v>1936</v>
      </c>
      <c r="D4" s="1219" t="s">
        <v>1937</v>
      </c>
      <c r="F4" s="63">
        <v>22</v>
      </c>
    </row>
    <row r="5" ht="11.25" hidden="1" customHeight="1">
      <c r="A5" s="63" t="s">
        <v>82</v>
      </c>
      <c r="B5" s="63">
        <v>34</v>
      </c>
      <c r="C5" s="63">
        <v>85</v>
      </c>
      <c r="D5" s="63">
        <v>17</v>
      </c>
      <c r="E5" s="63">
        <v>8</v>
      </c>
      <c r="F5" s="63">
        <v>11</v>
      </c>
    </row>
  </sheetData>
  <sheetProtection autoFilter="0" deleteColumns="1" deleteRows="1" formatCells="1" formatColumns="0" formatRows="0" insertColumns="1" insertHyperlinks="1" insertRows="1" objects="0" pivotTables="1" scenarios="0" selectLockedCells="0" selectUnlockedCells="0" sheet="1" sort="1"/>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220" customFormat="1" ht="17.25" customHeight="1">
      <c r="A2" s="1220" t="s">
        <v>1938</v>
      </c>
    </row>
    <row r="4" s="1208" customFormat="1" ht="15" customHeight="1">
      <c r="C4" s="381"/>
      <c r="D4" s="828"/>
      <c r="E4" s="448"/>
    </row>
    <row r="6" s="1220" customFormat="1" ht="17.25" customHeight="1">
      <c r="A6" s="1220" t="s">
        <v>1939</v>
      </c>
    </row>
    <row r="8" s="1208" customFormat="1" ht="17.25" customHeight="1">
      <c r="C8" s="1216"/>
      <c r="D8" s="828"/>
      <c r="E8" s="387"/>
    </row>
    <row r="11" s="1220" customFormat="1" ht="17.25" customHeight="1">
      <c r="A11" s="1220" t="s">
        <v>1940</v>
      </c>
    </row>
    <row r="13" s="139" customFormat="1" ht="15" customHeight="1">
      <c r="A13" s="114">
        <v>1</v>
      </c>
      <c r="B13" s="53"/>
      <c r="C13" s="169" t="s">
        <v>684</v>
      </c>
      <c r="D13" s="128"/>
      <c r="E13" s="157">
        <f>A13</f>
        <v>1</v>
      </c>
      <c r="F13" s="249"/>
      <c r="G13" s="159" t="str">
        <f>"Территория "&amp;E13</f>
        <v xml:space="preserve">Территория 1</v>
      </c>
      <c r="H13" s="160"/>
      <c r="I13" s="160"/>
      <c r="J13" s="129"/>
      <c r="K13" s="129"/>
      <c r="L13" s="129"/>
      <c r="M13" s="129"/>
      <c r="N13" s="129"/>
      <c r="O13" s="129"/>
      <c r="P13" s="130"/>
      <c r="Q13" s="130"/>
      <c r="R13" s="130"/>
      <c r="S13" s="130"/>
    </row>
    <row r="14" s="63" customFormat="1" ht="15" customHeight="1">
      <c r="A14" s="114"/>
      <c r="B14" s="53">
        <v>1</v>
      </c>
      <c r="C14" s="53"/>
      <c r="D14" s="161"/>
      <c r="E14" s="162" t="str">
        <f>A13&amp;"."&amp;B14</f>
        <v>1.1</v>
      </c>
      <c r="F14" s="560">
        <f>$F$20</f>
        <v>0</v>
      </c>
      <c r="G14" s="164"/>
      <c r="H14" s="164"/>
      <c r="I14" s="165"/>
      <c r="J14" s="129"/>
      <c r="K14" s="57"/>
      <c r="L14" s="57"/>
      <c r="M14" s="129" t="str">
        <f t="array" ref="M14">IF(ISERROR(MATCH(MID(N14,1,250),MID(note_ter,1,250),0)),"n","y")</f>
        <v>n</v>
      </c>
      <c r="N14" s="57"/>
      <c r="O14" s="129" t="str">
        <f>H14&amp;"("&amp;I14&amp;")"</f>
        <v>()</v>
      </c>
      <c r="P14" s="53"/>
      <c r="Q14" s="53"/>
      <c r="R14" s="166"/>
      <c r="S14" s="53"/>
      <c r="T14" s="53"/>
      <c r="U14" s="53"/>
      <c r="V14" s="64"/>
      <c r="W14" s="64"/>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64"/>
      <c r="BT14" s="64"/>
      <c r="BU14" s="64"/>
      <c r="BV14" s="64"/>
      <c r="BW14" s="64"/>
      <c r="BX14" s="64"/>
      <c r="BY14" s="64"/>
      <c r="BZ14" s="64"/>
      <c r="CA14" s="64"/>
      <c r="CB14" s="64"/>
    </row>
    <row r="15" s="63" customFormat="1" ht="15" customHeight="1">
      <c r="A15" s="114"/>
      <c r="B15" s="53"/>
      <c r="C15" s="168"/>
      <c r="D15" s="169"/>
      <c r="E15" s="170"/>
      <c r="F15" s="171"/>
      <c r="G15" s="172" t="s">
        <v>99</v>
      </c>
      <c r="H15" s="173"/>
      <c r="I15" s="174"/>
      <c r="J15" s="57"/>
      <c r="K15" s="57"/>
      <c r="L15" s="57"/>
      <c r="M15" s="57"/>
      <c r="N15" s="129"/>
      <c r="O15" s="57"/>
      <c r="P15" s="53"/>
      <c r="Q15" s="53"/>
      <c r="R15" s="166"/>
      <c r="S15" s="53"/>
      <c r="T15" s="53"/>
      <c r="U15" s="53"/>
      <c r="V15" s="64"/>
      <c r="W15" s="64"/>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64"/>
      <c r="BT15" s="64"/>
      <c r="BU15" s="64"/>
      <c r="BV15" s="64"/>
      <c r="BW15" s="64"/>
      <c r="BX15" s="64"/>
      <c r="BY15" s="64"/>
      <c r="BZ15" s="64"/>
      <c r="CA15" s="64"/>
      <c r="CB15" s="64"/>
    </row>
    <row r="17" s="1220" customFormat="1" ht="17.25" customHeight="1">
      <c r="A17" s="1220" t="s">
        <v>1941</v>
      </c>
    </row>
    <row r="19" s="63" customFormat="1" ht="15" customHeight="1">
      <c r="A19" s="114"/>
      <c r="B19" s="53">
        <v>1</v>
      </c>
      <c r="C19" s="53"/>
      <c r="D19" s="161" t="s">
        <v>684</v>
      </c>
      <c r="E19" s="157"/>
      <c r="F19" s="498">
        <f>$F$20</f>
        <v>0</v>
      </c>
      <c r="G19" s="1221"/>
      <c r="H19" s="1221"/>
      <c r="I19" s="920"/>
      <c r="J19" s="129"/>
      <c r="K19" s="57"/>
      <c r="L19" s="57"/>
      <c r="M19" s="129" t="str">
        <f t="array" ref="M19">IF(ISERROR(MATCH(MID(N19,1,250),MID(note_ter,1,250),0)),"n","y")</f>
        <v>n</v>
      </c>
      <c r="N19" s="57"/>
      <c r="O19" s="129" t="str">
        <f>H19&amp;"("&amp;I19&amp;")"</f>
        <v>()</v>
      </c>
      <c r="P19" s="53"/>
      <c r="Q19" s="53"/>
      <c r="R19" s="166"/>
      <c r="S19" s="53"/>
      <c r="T19" s="53"/>
      <c r="U19" s="53"/>
      <c r="V19" s="64"/>
      <c r="W19" s="64"/>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64"/>
      <c r="BT19" s="64"/>
      <c r="BU19" s="64"/>
      <c r="BV19" s="64"/>
      <c r="BW19" s="64"/>
      <c r="BX19" s="64"/>
      <c r="BY19" s="64"/>
      <c r="BZ19" s="64"/>
      <c r="CA19" s="64"/>
      <c r="CB19" s="64"/>
    </row>
    <row r="21" s="63" customFormat="1" ht="15" customHeight="1">
      <c r="A21" s="1220" t="s">
        <v>1942</v>
      </c>
      <c r="B21" s="1220"/>
      <c r="C21" s="1220"/>
      <c r="D21" s="1220"/>
      <c r="E21" s="1220"/>
      <c r="F21" s="1220"/>
      <c r="G21" s="1220"/>
      <c r="H21" s="1220"/>
      <c r="I21" s="1220"/>
      <c r="J21" s="1220"/>
      <c r="K21" s="1220"/>
      <c r="L21" s="1220"/>
      <c r="M21" s="1220"/>
      <c r="N21" s="1220"/>
      <c r="O21" s="1220"/>
      <c r="P21" s="1220"/>
      <c r="Q21" s="1220"/>
      <c r="R21" s="1220"/>
      <c r="S21" s="1220"/>
      <c r="T21" s="1220"/>
      <c r="U21" s="1222"/>
      <c r="V21" s="1220"/>
      <c r="W21" s="1220"/>
    </row>
    <row r="22" s="63" customFormat="1" ht="15" customHeight="1">
      <c r="U22" s="1223"/>
    </row>
    <row r="23" s="184" customFormat="1" ht="15" customHeight="1">
      <c r="A23" s="63"/>
      <c r="B23" s="63"/>
      <c r="C23" s="875" t="s">
        <v>684</v>
      </c>
      <c r="D23" s="218" t="s">
        <v>106</v>
      </c>
      <c r="E23" s="219"/>
      <c r="F23" s="224" t="s">
        <v>19</v>
      </c>
      <c r="G23" s="1224"/>
      <c r="H23" s="157">
        <v>1</v>
      </c>
      <c r="I23" s="1225" t="str">
        <f>IF(U23="","",INDEX(TERRITORY_MR_LIST,MATCH(U23,TERRITORY_LIST_ID,0)))</f>
        <v/>
      </c>
      <c r="J23" s="224" t="s">
        <v>19</v>
      </c>
      <c r="K23" s="1226"/>
      <c r="L23" s="218" t="s">
        <v>106</v>
      </c>
      <c r="M23" s="226"/>
      <c r="N23" s="151"/>
      <c r="O23" s="151"/>
      <c r="P23" s="151"/>
      <c r="Q23" s="151"/>
      <c r="R23" s="151"/>
      <c r="S23" s="151"/>
      <c r="T23" s="151"/>
      <c r="U23" s="1227"/>
      <c r="V23" s="151"/>
      <c r="W23" s="151"/>
      <c r="X23" s="151"/>
      <c r="Y23" s="151" t="s">
        <v>115</v>
      </c>
      <c r="Z23" s="151">
        <v>1705000</v>
      </c>
      <c r="AA23" s="151"/>
      <c r="AB23" s="151"/>
      <c r="AC23" s="151"/>
      <c r="AD23" s="151"/>
      <c r="AE23" s="151"/>
      <c r="AF23" s="151"/>
      <c r="AG23" s="151"/>
      <c r="AH23" s="151"/>
      <c r="AI23" s="151"/>
      <c r="AJ23" s="151"/>
      <c r="AK23" s="151"/>
      <c r="AL23" s="151"/>
    </row>
    <row r="24" s="184" customFormat="1" ht="15" customHeight="1">
      <c r="A24" s="63"/>
      <c r="B24" s="63"/>
      <c r="C24" s="149"/>
      <c r="D24" s="218"/>
      <c r="E24" s="227"/>
      <c r="F24" s="224"/>
      <c r="G24" s="1228"/>
      <c r="H24" s="157"/>
      <c r="I24" s="1229"/>
      <c r="J24" s="224"/>
      <c r="K24" s="170"/>
      <c r="L24" s="171"/>
      <c r="M24" s="229" t="s">
        <v>116</v>
      </c>
      <c r="N24" s="151"/>
      <c r="O24" s="151"/>
      <c r="P24" s="151"/>
      <c r="Q24" s="151"/>
      <c r="R24" s="151"/>
      <c r="S24" s="151"/>
      <c r="T24" s="151"/>
      <c r="U24" s="1227"/>
      <c r="V24" s="151"/>
      <c r="W24" s="151"/>
      <c r="X24" s="151"/>
      <c r="Y24" s="151"/>
      <c r="Z24" s="151"/>
      <c r="AA24" s="151"/>
      <c r="AB24" s="151"/>
      <c r="AC24" s="151"/>
      <c r="AD24" s="151"/>
      <c r="AE24" s="151"/>
      <c r="AF24" s="151"/>
      <c r="AG24" s="151"/>
      <c r="AH24" s="151"/>
      <c r="AI24" s="151"/>
      <c r="AJ24" s="151"/>
      <c r="AK24" s="151"/>
      <c r="AL24" s="151"/>
    </row>
    <row r="25" s="184" customFormat="1" ht="15" customHeight="1">
      <c r="A25" s="63"/>
      <c r="B25" s="63"/>
      <c r="C25" s="149"/>
      <c r="D25" s="218"/>
      <c r="E25" s="230"/>
      <c r="F25" s="224"/>
      <c r="G25" s="170"/>
      <c r="H25" s="171"/>
      <c r="I25" s="172" t="s">
        <v>117</v>
      </c>
      <c r="J25" s="171"/>
      <c r="K25" s="171"/>
      <c r="L25" s="171"/>
      <c r="M25" s="233"/>
      <c r="N25" s="151"/>
      <c r="O25" s="151"/>
      <c r="P25" s="151"/>
      <c r="Q25" s="151"/>
      <c r="R25" s="151"/>
      <c r="S25" s="151"/>
      <c r="T25" s="151"/>
      <c r="U25" s="1227"/>
      <c r="V25" s="151"/>
      <c r="W25" s="151"/>
      <c r="X25" s="151"/>
      <c r="Y25" s="151"/>
      <c r="Z25" s="151"/>
      <c r="AA25" s="151"/>
      <c r="AB25" s="151"/>
      <c r="AC25" s="151"/>
      <c r="AD25" s="151"/>
      <c r="AE25" s="151"/>
      <c r="AF25" s="151"/>
      <c r="AG25" s="151"/>
      <c r="AH25" s="151"/>
      <c r="AI25" s="151"/>
      <c r="AJ25" s="151"/>
      <c r="AK25" s="151"/>
      <c r="AL25" s="151"/>
    </row>
    <row r="26" s="63" customFormat="1" ht="15" customHeight="1">
      <c r="U26" s="1223"/>
    </row>
    <row r="27" s="63" customFormat="1" ht="15" customHeight="1">
      <c r="A27" s="1220" t="s">
        <v>1943</v>
      </c>
      <c r="B27" s="1220"/>
      <c r="C27" s="1220"/>
      <c r="D27" s="1220"/>
      <c r="E27" s="1220"/>
      <c r="F27" s="1220"/>
      <c r="G27" s="1220"/>
      <c r="H27" s="1220"/>
      <c r="I27" s="1220"/>
      <c r="J27" s="1220"/>
      <c r="K27" s="1220"/>
      <c r="L27" s="1220"/>
      <c r="M27" s="1220"/>
      <c r="N27" s="1220"/>
      <c r="O27" s="1220"/>
      <c r="P27" s="1220"/>
      <c r="Q27" s="1220"/>
      <c r="R27" s="1220"/>
      <c r="S27" s="1220"/>
      <c r="T27" s="1220"/>
      <c r="U27" s="1222"/>
      <c r="V27" s="1220"/>
      <c r="W27" s="1220"/>
    </row>
    <row r="28" s="63" customFormat="1" ht="15" customHeight="1">
      <c r="U28" s="1223"/>
    </row>
    <row r="29" s="184" customFormat="1" ht="15" customHeight="1">
      <c r="A29" s="63"/>
      <c r="B29" s="63"/>
      <c r="C29" s="149"/>
      <c r="D29" s="274"/>
      <c r="E29" s="274"/>
      <c r="F29" s="274"/>
      <c r="G29" s="1230" t="s">
        <v>684</v>
      </c>
      <c r="H29" s="72">
        <v>1</v>
      </c>
      <c r="I29" s="116" t="str">
        <f>IF(U29="","",INDEX(TERRITORY_MR_LIST,MATCH(U29,TERRITORY_LIST_ID,0)))</f>
        <v/>
      </c>
      <c r="J29" s="224" t="s">
        <v>19</v>
      </c>
      <c r="K29" s="1226"/>
      <c r="L29" s="218" t="s">
        <v>106</v>
      </c>
      <c r="M29" s="226"/>
      <c r="N29" s="151"/>
      <c r="O29" s="151"/>
      <c r="P29" s="151"/>
      <c r="Q29" s="151"/>
      <c r="R29" s="151"/>
      <c r="S29" s="151"/>
      <c r="T29" s="151"/>
      <c r="U29" s="1227"/>
      <c r="V29" s="151"/>
      <c r="W29" s="151"/>
      <c r="X29" s="151"/>
      <c r="Y29" s="151" t="s">
        <v>115</v>
      </c>
      <c r="Z29" s="151">
        <v>1705000</v>
      </c>
      <c r="AA29" s="151"/>
      <c r="AB29" s="151"/>
      <c r="AC29" s="151"/>
      <c r="AD29" s="151"/>
      <c r="AE29" s="151"/>
      <c r="AF29" s="151"/>
      <c r="AG29" s="151"/>
      <c r="AH29" s="151"/>
      <c r="AI29" s="151"/>
      <c r="AJ29" s="151"/>
      <c r="AK29" s="151"/>
      <c r="AL29" s="151"/>
    </row>
    <row r="30" s="184" customFormat="1" ht="15" customHeight="1">
      <c r="A30" s="63"/>
      <c r="B30" s="63"/>
      <c r="C30" s="149"/>
      <c r="D30" s="274"/>
      <c r="E30" s="274"/>
      <c r="F30" s="274"/>
      <c r="G30" s="1230"/>
      <c r="H30" s="72"/>
      <c r="I30" s="116"/>
      <c r="J30" s="224"/>
      <c r="K30" s="170"/>
      <c r="L30" s="171"/>
      <c r="M30" s="229" t="s">
        <v>116</v>
      </c>
      <c r="N30" s="151"/>
      <c r="O30" s="151"/>
      <c r="P30" s="151"/>
      <c r="Q30" s="151"/>
      <c r="R30" s="151"/>
      <c r="S30" s="151"/>
      <c r="T30" s="151"/>
      <c r="U30" s="1227"/>
      <c r="V30" s="151"/>
      <c r="W30" s="151"/>
      <c r="X30" s="151"/>
      <c r="Y30" s="151"/>
      <c r="Z30" s="151"/>
      <c r="AA30" s="151"/>
      <c r="AB30" s="151"/>
      <c r="AC30" s="151"/>
      <c r="AD30" s="151"/>
      <c r="AE30" s="151"/>
      <c r="AF30" s="151"/>
      <c r="AG30" s="151"/>
      <c r="AH30" s="151"/>
      <c r="AI30" s="151"/>
      <c r="AJ30" s="151"/>
      <c r="AK30" s="151"/>
      <c r="AL30" s="151"/>
    </row>
    <row r="31" s="63" customFormat="1" ht="15" customHeight="1">
      <c r="U31" s="1223"/>
    </row>
    <row r="32" s="63" customFormat="1" ht="15" customHeight="1">
      <c r="A32" s="1220" t="s">
        <v>1944</v>
      </c>
      <c r="B32" s="1220"/>
      <c r="C32" s="1220"/>
      <c r="D32" s="1220"/>
      <c r="E32" s="1220"/>
      <c r="F32" s="1220"/>
      <c r="G32" s="1220"/>
      <c r="H32" s="1220"/>
      <c r="I32" s="1220"/>
      <c r="J32" s="1220"/>
      <c r="K32" s="1220"/>
      <c r="L32" s="1220"/>
      <c r="M32" s="1220"/>
      <c r="N32" s="1220"/>
      <c r="O32" s="1220"/>
      <c r="P32" s="1220"/>
      <c r="Q32" s="1220"/>
      <c r="R32" s="1220"/>
      <c r="S32" s="1220"/>
      <c r="T32" s="1220"/>
      <c r="U32" s="1222"/>
      <c r="V32" s="1220"/>
      <c r="W32" s="1220"/>
    </row>
    <row r="33" s="63" customFormat="1" ht="15" customHeight="1">
      <c r="U33" s="1223"/>
    </row>
    <row r="34" s="184" customFormat="1" ht="15" customHeight="1">
      <c r="A34" s="63"/>
      <c r="B34" s="63"/>
      <c r="C34" s="149"/>
      <c r="D34" s="274"/>
      <c r="E34" s="274"/>
      <c r="F34" s="274"/>
      <c r="G34" s="274"/>
      <c r="H34" s="274"/>
      <c r="I34" s="274"/>
      <c r="J34" s="274"/>
      <c r="K34" s="1230" t="s">
        <v>684</v>
      </c>
      <c r="L34" s="921" t="s">
        <v>106</v>
      </c>
      <c r="M34" s="1231"/>
      <c r="N34" s="205"/>
      <c r="O34" s="151"/>
      <c r="P34" s="151"/>
      <c r="Q34" s="151"/>
      <c r="R34" s="151"/>
      <c r="S34" s="151"/>
      <c r="T34" s="151"/>
      <c r="U34" s="1227"/>
      <c r="V34" s="151"/>
      <c r="W34" s="151"/>
      <c r="X34" s="151"/>
      <c r="Y34" s="151" t="s">
        <v>115</v>
      </c>
      <c r="Z34" s="151">
        <v>1705000</v>
      </c>
      <c r="AA34" s="151"/>
      <c r="AB34" s="151"/>
      <c r="AC34" s="151"/>
      <c r="AD34" s="151"/>
      <c r="AE34" s="151"/>
      <c r="AF34" s="151"/>
      <c r="AG34" s="151"/>
      <c r="AH34" s="151"/>
      <c r="AI34" s="151"/>
      <c r="AJ34" s="151"/>
      <c r="AK34" s="151"/>
      <c r="AL34" s="151"/>
    </row>
    <row r="35" s="63" customFormat="1" ht="15" customHeight="1">
      <c r="U35" s="1223"/>
    </row>
    <row r="36" s="63" customFormat="1" ht="15" customHeight="1">
      <c r="U36" s="1223"/>
    </row>
    <row r="37" s="1220" customFormat="1" ht="11.25" customHeight="1">
      <c r="A37" s="1220" t="s">
        <v>1945</v>
      </c>
    </row>
    <row r="38" ht="11.25" customHeight="1"/>
    <row r="39" s="335" customFormat="1" ht="22.5" customHeight="1">
      <c r="A39" s="359"/>
      <c r="B39" s="91"/>
      <c r="C39" s="1232"/>
      <c r="D39" s="362"/>
      <c r="E39" s="382"/>
      <c r="F39" s="390"/>
      <c r="G39" s="274"/>
      <c r="H39" s="352"/>
    </row>
    <row r="40" ht="11.25" customHeight="1"/>
    <row r="41" s="1220" customFormat="1" ht="11.25" customHeight="1">
      <c r="A41" s="1220" t="s">
        <v>1946</v>
      </c>
    </row>
    <row r="42" ht="11.25" customHeight="1"/>
    <row r="43" s="335" customFormat="1" ht="22.5" customHeight="1">
      <c r="A43" s="91"/>
      <c r="B43" s="91"/>
      <c r="C43" s="91"/>
      <c r="D43" s="362"/>
      <c r="E43" s="382"/>
      <c r="F43" s="383"/>
      <c r="G43" s="274"/>
      <c r="H43" s="352"/>
    </row>
    <row r="44" ht="11.25" customHeight="1"/>
    <row r="45" s="1220" customFormat="1" ht="11.25" customHeight="1">
      <c r="A45" s="1220" t="s">
        <v>1947</v>
      </c>
    </row>
    <row r="46" ht="11.25" customHeight="1"/>
    <row r="47" s="335" customFormat="1" ht="24" customHeight="1">
      <c r="A47" s="359" t="s">
        <v>308</v>
      </c>
      <c r="B47" s="342"/>
      <c r="C47" s="360"/>
      <c r="D47" s="353" t="str">
        <f>A47</f>
        <v>5.1</v>
      </c>
      <c r="E47" s="356" t="s">
        <v>309</v>
      </c>
      <c r="F47" s="246" t="s">
        <v>301</v>
      </c>
      <c r="G47" s="354" t="s">
        <v>310</v>
      </c>
      <c r="H47" s="352"/>
      <c r="I47" s="361"/>
    </row>
    <row r="48" s="335" customFormat="1" ht="22.5" customHeight="1">
      <c r="A48" s="359"/>
      <c r="B48" s="342"/>
      <c r="C48" s="360"/>
      <c r="D48" s="362" t="str">
        <f>D47&amp;".1"</f>
        <v>5.1.1</v>
      </c>
      <c r="E48" s="363" t="s">
        <v>311</v>
      </c>
      <c r="F48" s="357" t="s">
        <v>22</v>
      </c>
      <c r="G48" s="355"/>
      <c r="H48" s="352"/>
      <c r="I48" s="361"/>
    </row>
    <row r="49" s="335" customFormat="1" ht="22.5" customHeight="1">
      <c r="A49" s="359"/>
      <c r="B49" s="342"/>
      <c r="C49" s="360"/>
      <c r="D49" s="362" t="str">
        <f>D47&amp;".2"</f>
        <v>5.1.2</v>
      </c>
      <c r="E49" s="363" t="s">
        <v>312</v>
      </c>
      <c r="F49" s="89" t="s">
        <v>22</v>
      </c>
      <c r="G49" s="354" t="s">
        <v>313</v>
      </c>
      <c r="H49" s="352"/>
      <c r="I49" s="361"/>
    </row>
    <row r="50" s="335" customFormat="1" ht="22.5" customHeight="1">
      <c r="A50" s="359"/>
      <c r="B50" s="342"/>
      <c r="C50" s="360"/>
      <c r="D50" s="362" t="str">
        <f>D47&amp;".3"</f>
        <v>5.1.3</v>
      </c>
      <c r="E50" s="363" t="s">
        <v>314</v>
      </c>
      <c r="F50" s="357" t="s">
        <v>22</v>
      </c>
      <c r="G50" s="355"/>
      <c r="H50" s="352"/>
      <c r="I50" s="361"/>
    </row>
    <row r="51" s="335" customFormat="1" ht="22.5" customHeight="1">
      <c r="A51" s="359"/>
      <c r="B51" s="342"/>
      <c r="C51" s="360"/>
      <c r="D51" s="362" t="str">
        <f>D47&amp;".4"</f>
        <v>5.1.4</v>
      </c>
      <c r="E51" s="363" t="s">
        <v>315</v>
      </c>
      <c r="F51" s="357" t="s">
        <v>22</v>
      </c>
      <c r="G51" s="354" t="s">
        <v>316</v>
      </c>
      <c r="H51" s="352"/>
      <c r="I51" s="361"/>
    </row>
    <row r="54" s="1220" customFormat="1" ht="17.25" customHeight="1">
      <c r="A54" s="1220" t="s">
        <v>1948</v>
      </c>
    </row>
    <row r="56" s="65" customFormat="1" ht="18.75" customHeight="1">
      <c r="A56" s="63"/>
      <c r="B56" s="143"/>
      <c r="C56" s="143"/>
      <c r="D56" s="466"/>
      <c r="E56" s="825"/>
      <c r="F56" s="1233">
        <v>13</v>
      </c>
      <c r="G56" s="1234"/>
      <c r="H56" s="164"/>
      <c r="I56" s="165"/>
      <c r="J56" s="469" t="s">
        <v>65</v>
      </c>
      <c r="K56" s="1235" t="s">
        <v>22</v>
      </c>
      <c r="L56" s="63"/>
      <c r="M56" s="57"/>
      <c r="N56" s="57"/>
      <c r="O56" s="57"/>
      <c r="P56" s="464" t="s">
        <v>387</v>
      </c>
      <c r="Q56" s="464" t="s">
        <v>388</v>
      </c>
      <c r="R56" s="465" t="s">
        <v>389</v>
      </c>
      <c r="S56" s="57" t="s">
        <v>390</v>
      </c>
      <c r="T56" s="57"/>
      <c r="U56" s="57"/>
      <c r="V56" s="57"/>
    </row>
    <row r="58" s="1220" customFormat="1" ht="11.25" customHeight="1">
      <c r="A58" s="1220" t="s">
        <v>1949</v>
      </c>
    </row>
    <row r="60" s="50" customFormat="1" ht="14.25" customHeight="1">
      <c r="C60" s="381"/>
      <c r="D60" s="430"/>
      <c r="E60" s="376" t="s">
        <v>22</v>
      </c>
      <c r="F60" s="431"/>
      <c r="G60" s="432"/>
      <c r="H60" s="433"/>
      <c r="I60" s="433"/>
      <c r="J60" s="434"/>
      <c r="K60" s="435"/>
      <c r="L60" s="436"/>
      <c r="M60" s="435"/>
      <c r="N60" s="434"/>
      <c r="O60" s="435"/>
      <c r="P60" s="434"/>
      <c r="Q60" s="435"/>
      <c r="R60" s="434"/>
      <c r="S60" s="437"/>
      <c r="T60" s="433"/>
      <c r="U60" s="434"/>
      <c r="V60" s="434"/>
      <c r="W60" s="421"/>
      <c r="X60" s="433"/>
      <c r="Y60" s="434"/>
      <c r="Z60" s="434"/>
      <c r="AA60" s="421"/>
      <c r="AB60" s="433"/>
      <c r="AC60" s="434"/>
      <c r="AD60" s="421"/>
      <c r="AE60" s="63"/>
      <c r="AF60" s="63"/>
      <c r="AG60" s="63"/>
      <c r="AH60" s="63"/>
      <c r="AJ60" s="57"/>
      <c r="AK60" s="57"/>
      <c r="AL60" s="57"/>
      <c r="AM60" s="57"/>
      <c r="AN60" s="57"/>
      <c r="AO60" s="57"/>
      <c r="AP60" s="129" t="s">
        <v>376</v>
      </c>
      <c r="AQ60" s="129" t="s">
        <v>376</v>
      </c>
      <c r="AR60" s="57"/>
      <c r="AS60" s="57"/>
    </row>
    <row r="62" s="1220" customFormat="1" ht="11.25" customHeight="1">
      <c r="A62" s="1220" t="s">
        <v>1950</v>
      </c>
    </row>
    <row r="64" s="143" customFormat="1" ht="15" customHeight="1">
      <c r="A64" s="64" t="s">
        <v>90</v>
      </c>
      <c r="B64" s="143" t="s">
        <v>22</v>
      </c>
      <c r="C64" s="324"/>
      <c r="D64" s="218"/>
      <c r="E64" s="448"/>
      <c r="F64" s="448"/>
      <c r="G64" s="510"/>
      <c r="H64" s="1235"/>
      <c r="I64" s="513"/>
      <c r="K64" s="1206"/>
      <c r="L64" s="167"/>
    </row>
    <row r="66" s="1220" customFormat="1" ht="11.25" customHeight="1">
      <c r="A66" s="1220" t="s">
        <v>1951</v>
      </c>
    </row>
    <row r="68" s="50" customFormat="1" ht="14.25" customHeight="1">
      <c r="A68" s="143"/>
      <c r="B68" s="53"/>
      <c r="C68" s="539"/>
      <c r="D68" s="344"/>
      <c r="E68" s="1236"/>
      <c r="F68" s="1235"/>
      <c r="G68" s="63"/>
      <c r="I68" s="129"/>
      <c r="J68" s="129"/>
    </row>
    <row r="70" s="1220" customFormat="1" ht="11.25" customHeight="1">
      <c r="A70" s="1220" t="s">
        <v>1952</v>
      </c>
    </row>
    <row r="72" s="50" customFormat="1" ht="27" customHeight="1">
      <c r="A72" s="124"/>
      <c r="B72" s="124"/>
      <c r="C72" s="124"/>
      <c r="D72" s="53"/>
      <c r="E72" s="1237"/>
      <c r="F72" s="888"/>
      <c r="G72" s="889"/>
      <c r="H72" s="890" t="s">
        <v>65</v>
      </c>
      <c r="I72" s="891"/>
      <c r="J72" s="892"/>
      <c r="K72" s="893"/>
      <c r="L72" s="894"/>
      <c r="M72" s="894"/>
      <c r="N72" s="895"/>
      <c r="O72" s="895"/>
      <c r="P72" s="896" t="e">
        <f>DATEDIF(DATEVALUE(N72),DATEVALUE(O72),"y")&amp;"г. "&amp;DATEDIF(DATEVALUE(N72),DATEVALUE(O72),"ym")&amp;"мес. "&amp;DATEVALUE(O72)-DATE(YEAR(DATEVALUE(O72)),MONTH(DATEVALUE(O72)),1)&amp;"дн. "</f>
        <v>#VALUE!</v>
      </c>
      <c r="Q72" s="897"/>
      <c r="R72" s="897"/>
      <c r="S72" s="897"/>
      <c r="T72" s="892"/>
      <c r="U72" s="897"/>
      <c r="V72" s="897"/>
      <c r="W72" s="897"/>
      <c r="X72" s="892"/>
      <c r="Y72" s="898" t="s">
        <v>65</v>
      </c>
      <c r="Z72" s="306"/>
      <c r="AA72" s="157">
        <v>1</v>
      </c>
      <c r="AB72" s="1238"/>
      <c r="AD72" s="57" t="s">
        <v>1953</v>
      </c>
    </row>
    <row r="73" s="50" customFormat="1" ht="10.5" customHeight="1">
      <c r="A73" s="124"/>
      <c r="B73" s="124"/>
      <c r="C73" s="124"/>
      <c r="D73" s="53"/>
      <c r="E73" s="900"/>
      <c r="F73" s="888"/>
      <c r="G73" s="889"/>
      <c r="H73" s="901"/>
      <c r="I73" s="902"/>
      <c r="J73" s="903"/>
      <c r="K73" s="893"/>
      <c r="L73" s="894"/>
      <c r="M73" s="894"/>
      <c r="N73" s="895"/>
      <c r="O73" s="895"/>
      <c r="P73" s="896"/>
      <c r="Q73" s="897"/>
      <c r="R73" s="897"/>
      <c r="S73" s="897"/>
      <c r="T73" s="903"/>
      <c r="U73" s="897"/>
      <c r="V73" s="897"/>
      <c r="W73" s="897"/>
      <c r="X73" s="903"/>
      <c r="Y73" s="904"/>
      <c r="Z73" s="831"/>
      <c r="AA73" s="741"/>
      <c r="AB73" s="229" t="s">
        <v>990</v>
      </c>
    </row>
    <row r="75" s="1220" customFormat="1" ht="11.25" customHeight="1">
      <c r="A75" s="1220" t="s">
        <v>1954</v>
      </c>
    </row>
    <row r="77" s="50" customFormat="1" ht="27" customHeight="1">
      <c r="A77" s="124"/>
      <c r="B77" s="124"/>
      <c r="C77" s="124"/>
      <c r="D77" s="53"/>
      <c r="E77" s="1237"/>
      <c r="F77" s="1239"/>
      <c r="G77" s="1240"/>
      <c r="H77" s="1241"/>
      <c r="I77" s="1242"/>
      <c r="J77" s="1243"/>
      <c r="K77" s="1244"/>
      <c r="L77" s="1245"/>
      <c r="M77" s="1245"/>
      <c r="N77" s="1246"/>
      <c r="O77" s="1246"/>
      <c r="P77" s="1247"/>
      <c r="Q77" s="1248"/>
      <c r="R77" s="1248"/>
      <c r="S77" s="1248"/>
      <c r="T77" s="1243"/>
      <c r="U77" s="1248"/>
      <c r="V77" s="1248"/>
      <c r="W77" s="1248"/>
      <c r="X77" s="1243"/>
      <c r="Y77" s="1241"/>
      <c r="Z77" s="306"/>
      <c r="AA77" s="157">
        <v>1</v>
      </c>
      <c r="AB77" s="1238"/>
      <c r="AD77" s="57" t="s">
        <v>1953</v>
      </c>
    </row>
    <row r="79" s="1220" customFormat="1" ht="11.25" customHeight="1">
      <c r="A79" s="1220" t="s">
        <v>1955</v>
      </c>
    </row>
    <row r="80" ht="17.25" customHeight="1"/>
    <row r="81" s="50" customFormat="1" ht="21" customHeight="1">
      <c r="A81" s="531"/>
      <c r="B81" s="124"/>
      <c r="C81" s="124"/>
      <c r="D81" s="53"/>
      <c r="E81" s="91"/>
      <c r="F81" s="913" t="e">
        <f>INDEX(IP_MAIN_LIST_NAME_IP,MATCH(A81,IP_MAIN_LIST_IP_ID,0))&amp;" ("&amp;INDEX(IP_MAIN_START_DATE,MATCH(A81,IP_MAIN_LIST_IP_ID,0))&amp;"-"&amp;INDEX(IP_MAIN_END_DATE,MATCH(A81,IP_MAIN_LIST_IP_ID,0))&amp;")"</f>
        <v>#VALUE!</v>
      </c>
      <c r="G81" s="914"/>
      <c r="H81" s="914"/>
      <c r="I81" s="915"/>
      <c r="J81" s="915"/>
      <c r="K81" s="916"/>
      <c r="L81" s="916"/>
      <c r="M81" s="916"/>
      <c r="N81" s="917"/>
      <c r="O81" s="917"/>
      <c r="P81" s="917"/>
      <c r="Q81" s="917"/>
      <c r="R81" s="917"/>
      <c r="S81" s="917"/>
      <c r="T81" s="917"/>
      <c r="U81" s="917"/>
      <c r="V81" s="917"/>
      <c r="W81" s="917"/>
      <c r="X81" s="917"/>
      <c r="Y81" s="917"/>
      <c r="Z81" s="917"/>
      <c r="AA81" s="917"/>
      <c r="AB81" s="917"/>
      <c r="AC81" s="917"/>
      <c r="AD81" s="917"/>
      <c r="AE81" s="918"/>
      <c r="AF81" s="916"/>
      <c r="AG81" s="916"/>
      <c r="AH81" s="916"/>
      <c r="AI81" s="916"/>
      <c r="AJ81" s="916"/>
      <c r="AK81" s="916"/>
      <c r="AL81" s="919"/>
      <c r="AM81" s="143"/>
      <c r="AN81" s="143"/>
      <c r="AO81" s="143"/>
      <c r="AP81" s="143"/>
      <c r="AQ81" s="143"/>
      <c r="AR81" s="143"/>
      <c r="AS81" s="143"/>
      <c r="AT81" s="143"/>
      <c r="AU81" s="143"/>
      <c r="AV81" s="143"/>
      <c r="AW81" s="143"/>
      <c r="AX81" s="143"/>
      <c r="AY81" s="143"/>
      <c r="AZ81" s="143"/>
      <c r="BA81" s="143"/>
      <c r="BB81" s="143"/>
      <c r="BC81" s="143"/>
      <c r="BD81" s="143"/>
      <c r="BE81" s="143"/>
      <c r="BF81" s="143"/>
    </row>
    <row r="82" s="50" customFormat="1" ht="0.75" customHeight="1">
      <c r="A82" s="124"/>
      <c r="B82" s="124"/>
      <c r="C82" s="124"/>
      <c r="D82" s="53"/>
      <c r="E82" s="91"/>
      <c r="F82" s="920"/>
      <c r="G82" s="921"/>
      <c r="H82" s="922" t="s">
        <v>371</v>
      </c>
      <c r="I82" s="923"/>
      <c r="J82" s="160"/>
      <c r="K82" s="160"/>
      <c r="L82" s="924"/>
      <c r="M82" s="536"/>
      <c r="N82" s="925"/>
      <c r="O82" s="926"/>
      <c r="P82" s="925"/>
      <c r="Q82" s="925"/>
      <c r="R82" s="925"/>
      <c r="S82" s="925"/>
      <c r="T82" s="925"/>
      <c r="U82" s="925"/>
      <c r="V82" s="925"/>
      <c r="W82" s="925"/>
      <c r="X82" s="925"/>
      <c r="Y82" s="925"/>
      <c r="Z82" s="925"/>
      <c r="AA82" s="925"/>
      <c r="AB82" s="925"/>
      <c r="AC82" s="925"/>
      <c r="AD82" s="925"/>
      <c r="AE82" s="925"/>
      <c r="AF82" s="927"/>
      <c r="AG82" s="924"/>
      <c r="AH82" s="924"/>
      <c r="AI82" s="927"/>
      <c r="AJ82" s="924"/>
      <c r="AK82" s="924"/>
      <c r="AL82" s="919"/>
      <c r="AM82" s="143"/>
      <c r="AN82" s="143"/>
      <c r="AO82" s="143"/>
      <c r="AP82" s="143"/>
      <c r="AQ82" s="143"/>
      <c r="AR82" s="143"/>
      <c r="AS82" s="143"/>
      <c r="AT82" s="143"/>
      <c r="AU82" s="143"/>
      <c r="AV82" s="143"/>
      <c r="AW82" s="143"/>
      <c r="AX82" s="143"/>
      <c r="AY82" s="143"/>
      <c r="AZ82" s="143"/>
      <c r="BA82" s="143"/>
      <c r="BB82" s="143"/>
      <c r="BC82" s="143"/>
      <c r="BD82" s="143"/>
      <c r="BE82" s="143"/>
      <c r="BF82" s="143"/>
    </row>
    <row r="83" s="50" customFormat="1" ht="0.75" customHeight="1">
      <c r="A83" s="124"/>
      <c r="B83" s="124"/>
      <c r="C83" s="124"/>
      <c r="D83" s="53"/>
      <c r="E83" s="91"/>
      <c r="F83" s="920"/>
      <c r="G83" s="921"/>
      <c r="H83" s="922"/>
      <c r="I83" s="923"/>
      <c r="J83" s="160"/>
      <c r="K83" s="160"/>
      <c r="L83" s="924"/>
      <c r="M83" s="536"/>
      <c r="N83" s="928"/>
      <c r="O83" s="929"/>
      <c r="P83" s="930"/>
      <c r="Q83" s="160"/>
      <c r="R83" s="160"/>
      <c r="S83" s="160"/>
      <c r="T83" s="160"/>
      <c r="U83" s="160"/>
      <c r="V83" s="160"/>
      <c r="W83" s="160"/>
      <c r="X83" s="160"/>
      <c r="Y83" s="160"/>
      <c r="Z83" s="931"/>
      <c r="AA83" s="932"/>
      <c r="AB83" s="932"/>
      <c r="AC83" s="933"/>
      <c r="AD83" s="933"/>
      <c r="AE83" s="934"/>
      <c r="AF83" s="927"/>
      <c r="AG83" s="924"/>
      <c r="AH83" s="924"/>
      <c r="AI83" s="927"/>
      <c r="AJ83" s="924"/>
      <c r="AK83" s="924"/>
      <c r="AL83" s="919"/>
      <c r="AM83" s="143"/>
      <c r="AN83" s="143"/>
      <c r="AO83" s="143"/>
      <c r="AP83" s="143"/>
      <c r="AQ83" s="143"/>
      <c r="AR83" s="143"/>
      <c r="AS83" s="143"/>
      <c r="AT83" s="143"/>
      <c r="AU83" s="143"/>
      <c r="AV83" s="143"/>
      <c r="AW83" s="143"/>
      <c r="AX83" s="143"/>
      <c r="AY83" s="143"/>
      <c r="AZ83" s="143"/>
      <c r="BA83" s="143"/>
      <c r="BB83" s="143"/>
      <c r="BC83" s="143"/>
      <c r="BD83" s="143"/>
      <c r="BE83" s="143"/>
      <c r="BF83" s="143"/>
    </row>
    <row r="84" s="50" customFormat="1" ht="0.75" customHeight="1">
      <c r="A84" s="124"/>
      <c r="B84" s="124"/>
      <c r="C84" s="124"/>
      <c r="D84" s="53"/>
      <c r="E84" s="91"/>
      <c r="F84" s="920"/>
      <c r="G84" s="921"/>
      <c r="H84" s="922"/>
      <c r="I84" s="923"/>
      <c r="J84" s="160"/>
      <c r="K84" s="160"/>
      <c r="L84" s="924"/>
      <c r="M84" s="536"/>
      <c r="N84" s="928"/>
      <c r="O84" s="929"/>
      <c r="P84" s="935"/>
      <c r="Q84" s="160"/>
      <c r="R84" s="160"/>
      <c r="S84" s="160"/>
      <c r="T84" s="160"/>
      <c r="U84" s="160"/>
      <c r="V84" s="160"/>
      <c r="W84" s="160"/>
      <c r="X84" s="160"/>
      <c r="Y84" s="160"/>
      <c r="Z84" s="936"/>
      <c r="AA84" s="929"/>
      <c r="AB84" s="937"/>
      <c r="AC84" s="938"/>
      <c r="AD84" s="937"/>
      <c r="AE84" s="938"/>
      <c r="AF84" s="927"/>
      <c r="AG84" s="924"/>
      <c r="AH84" s="924"/>
      <c r="AI84" s="927"/>
      <c r="AJ84" s="924"/>
      <c r="AK84" s="924"/>
      <c r="AL84" s="919"/>
      <c r="AM84" s="143"/>
      <c r="AN84" s="143"/>
      <c r="AO84" s="143"/>
      <c r="AP84" s="143"/>
      <c r="AQ84" s="143"/>
      <c r="AR84" s="143"/>
      <c r="AS84" s="143"/>
      <c r="AT84" s="143"/>
      <c r="AU84" s="143"/>
      <c r="AV84" s="143"/>
      <c r="AW84" s="143"/>
      <c r="AX84" s="143"/>
      <c r="AY84" s="143"/>
      <c r="AZ84" s="143"/>
      <c r="BA84" s="143"/>
      <c r="BB84" s="143"/>
      <c r="BC84" s="143"/>
      <c r="BD84" s="143"/>
      <c r="BE84" s="143"/>
      <c r="BF84" s="143"/>
    </row>
    <row r="85" s="50" customFormat="1" ht="0.75" customHeight="1">
      <c r="A85" s="124"/>
      <c r="B85" s="124"/>
      <c r="C85" s="124"/>
      <c r="D85" s="53"/>
      <c r="E85" s="91"/>
      <c r="F85" s="920"/>
      <c r="G85" s="921"/>
      <c r="H85" s="922"/>
      <c r="I85" s="923"/>
      <c r="J85" s="160"/>
      <c r="K85" s="160"/>
      <c r="L85" s="924"/>
      <c r="M85" s="536"/>
      <c r="N85" s="928"/>
      <c r="O85" s="929"/>
      <c r="P85" s="939"/>
      <c r="Q85" s="160"/>
      <c r="R85" s="160"/>
      <c r="S85" s="160"/>
      <c r="T85" s="160"/>
      <c r="U85" s="160"/>
      <c r="V85" s="160"/>
      <c r="W85" s="160"/>
      <c r="X85" s="160"/>
      <c r="Y85" s="160"/>
      <c r="Z85" s="931"/>
      <c r="AA85" s="932"/>
      <c r="AB85" s="940"/>
      <c r="AC85" s="933"/>
      <c r="AD85" s="933"/>
      <c r="AE85" s="941"/>
      <c r="AF85" s="927"/>
      <c r="AG85" s="924"/>
      <c r="AH85" s="924"/>
      <c r="AI85" s="927"/>
      <c r="AJ85" s="924"/>
      <c r="AK85" s="924"/>
      <c r="AL85" s="919"/>
      <c r="AM85" s="143"/>
      <c r="AN85" s="143"/>
      <c r="AO85" s="143"/>
      <c r="AP85" s="143"/>
      <c r="AQ85" s="143"/>
      <c r="AR85" s="143"/>
      <c r="AS85" s="143"/>
      <c r="AT85" s="143"/>
      <c r="AU85" s="143"/>
      <c r="AV85" s="143"/>
      <c r="AW85" s="143"/>
      <c r="AX85" s="143"/>
      <c r="AY85" s="143"/>
      <c r="AZ85" s="143"/>
      <c r="BA85" s="143"/>
      <c r="BB85" s="143"/>
      <c r="BC85" s="143"/>
      <c r="BD85" s="143"/>
      <c r="BE85" s="143"/>
      <c r="BF85" s="143"/>
    </row>
    <row r="86" s="50" customFormat="1" ht="0.75" customHeight="1">
      <c r="A86" s="124"/>
      <c r="B86" s="124"/>
      <c r="C86" s="124"/>
      <c r="D86" s="53"/>
      <c r="E86" s="91"/>
      <c r="F86" s="920"/>
      <c r="G86" s="921"/>
      <c r="H86" s="922"/>
      <c r="I86" s="923"/>
      <c r="J86" s="160"/>
      <c r="K86" s="160"/>
      <c r="L86" s="924"/>
      <c r="M86" s="536"/>
      <c r="N86" s="932"/>
      <c r="O86" s="932"/>
      <c r="P86" s="940"/>
      <c r="Q86" s="932"/>
      <c r="R86" s="932"/>
      <c r="S86" s="932"/>
      <c r="T86" s="932"/>
      <c r="U86" s="932"/>
      <c r="V86" s="932"/>
      <c r="W86" s="932"/>
      <c r="X86" s="932"/>
      <c r="Y86" s="932"/>
      <c r="Z86" s="932"/>
      <c r="AA86" s="932"/>
      <c r="AB86" s="932"/>
      <c r="AC86" s="932"/>
      <c r="AD86" s="932"/>
      <c r="AE86" s="942"/>
      <c r="AF86" s="927"/>
      <c r="AG86" s="924"/>
      <c r="AH86" s="924"/>
      <c r="AI86" s="927"/>
      <c r="AJ86" s="924"/>
      <c r="AK86" s="924"/>
      <c r="AL86" s="919"/>
      <c r="AM86" s="143"/>
      <c r="AN86" s="143"/>
      <c r="AO86" s="143"/>
      <c r="AP86" s="143"/>
      <c r="AQ86" s="143"/>
      <c r="AR86" s="143"/>
      <c r="AS86" s="143"/>
      <c r="AT86" s="143"/>
      <c r="AU86" s="143"/>
      <c r="AV86" s="143"/>
      <c r="AW86" s="143"/>
      <c r="AX86" s="143"/>
      <c r="AY86" s="143"/>
      <c r="AZ86" s="143"/>
      <c r="BA86" s="143"/>
      <c r="BB86" s="143"/>
      <c r="BC86" s="143"/>
      <c r="BD86" s="143"/>
      <c r="BE86" s="143"/>
      <c r="BF86" s="143"/>
    </row>
    <row r="87" s="50" customFormat="1" ht="12" customHeight="1">
      <c r="A87" s="124"/>
      <c r="B87" s="124"/>
      <c r="C87" s="124"/>
      <c r="D87" s="53"/>
      <c r="E87" s="91"/>
      <c r="F87" s="971"/>
      <c r="G87" s="972"/>
      <c r="H87" s="972"/>
      <c r="I87" s="973" t="s">
        <v>1051</v>
      </c>
      <c r="J87" s="973"/>
      <c r="K87" s="973"/>
      <c r="L87" s="974"/>
      <c r="M87" s="974"/>
      <c r="N87" s="975"/>
      <c r="O87" s="975"/>
      <c r="P87" s="975"/>
      <c r="Q87" s="975"/>
      <c r="R87" s="975"/>
      <c r="S87" s="975"/>
      <c r="T87" s="975"/>
      <c r="U87" s="975"/>
      <c r="V87" s="975"/>
      <c r="W87" s="975"/>
      <c r="X87" s="975"/>
      <c r="Y87" s="975"/>
      <c r="Z87" s="975"/>
      <c r="AA87" s="975"/>
      <c r="AB87" s="975"/>
      <c r="AC87" s="975"/>
      <c r="AD87" s="975"/>
      <c r="AE87" s="975"/>
      <c r="AF87" s="975"/>
      <c r="AG87" s="974"/>
      <c r="AH87" s="974"/>
      <c r="AI87" s="975"/>
      <c r="AJ87" s="974"/>
      <c r="AK87" s="975"/>
      <c r="AL87" s="919"/>
      <c r="AM87" s="143"/>
      <c r="AN87" s="143"/>
      <c r="AO87" s="143"/>
      <c r="AP87" s="143"/>
      <c r="AQ87" s="143"/>
      <c r="AR87" s="143"/>
      <c r="AS87" s="143"/>
      <c r="AT87" s="143"/>
      <c r="AU87" s="143"/>
      <c r="AV87" s="143"/>
      <c r="AW87" s="143"/>
      <c r="AX87" s="143"/>
      <c r="AY87" s="143"/>
      <c r="AZ87" s="143"/>
      <c r="BA87" s="143"/>
      <c r="BB87" s="143"/>
      <c r="BC87" s="143"/>
      <c r="BD87" s="143"/>
      <c r="BE87" s="143"/>
      <c r="BF87" s="143"/>
    </row>
    <row r="89" s="1220" customFormat="1" ht="11.25" customHeight="1">
      <c r="A89" s="1220" t="s">
        <v>1956</v>
      </c>
    </row>
    <row r="91" s="50" customFormat="1" ht="11.25" customHeight="1">
      <c r="A91" s="124"/>
      <c r="B91" s="124"/>
      <c r="C91" s="124"/>
      <c r="D91" s="53"/>
      <c r="E91" s="91"/>
      <c r="F91" s="943"/>
      <c r="G91" s="951"/>
      <c r="H91" s="951"/>
      <c r="I91" s="1249"/>
      <c r="J91" s="1249"/>
      <c r="K91" s="968"/>
      <c r="L91" s="1249"/>
      <c r="M91" s="951"/>
      <c r="N91" s="952"/>
      <c r="O91" s="962">
        <v>1</v>
      </c>
      <c r="P91" s="954" t="s">
        <v>19</v>
      </c>
      <c r="Q91" s="458" t="s">
        <v>22</v>
      </c>
      <c r="R91" s="458" t="s">
        <v>22</v>
      </c>
      <c r="S91" s="458" t="s">
        <v>22</v>
      </c>
      <c r="T91" s="458" t="s">
        <v>22</v>
      </c>
      <c r="U91" s="458" t="s">
        <v>22</v>
      </c>
      <c r="V91" s="458" t="s">
        <v>22</v>
      </c>
      <c r="W91" s="458" t="s">
        <v>22</v>
      </c>
      <c r="X91" s="458" t="s">
        <v>22</v>
      </c>
      <c r="Y91" s="458"/>
      <c r="Z91" s="956"/>
      <c r="AA91" s="957"/>
      <c r="AB91" s="957"/>
      <c r="AC91" s="958"/>
      <c r="AD91" s="958"/>
      <c r="AE91" s="958"/>
      <c r="AF91" s="1250"/>
      <c r="AG91" s="969"/>
      <c r="AH91" s="969"/>
      <c r="AI91" s="1250"/>
      <c r="AJ91" s="969"/>
      <c r="AK91" s="970"/>
      <c r="AL91" s="919"/>
      <c r="AM91" s="143"/>
      <c r="AN91" s="143"/>
      <c r="AO91" s="143"/>
      <c r="AP91" s="143"/>
      <c r="AQ91" s="143"/>
      <c r="AR91" s="143"/>
      <c r="AS91" s="143"/>
      <c r="AT91" s="143"/>
      <c r="AU91" s="143"/>
      <c r="AV91" s="143"/>
      <c r="AW91" s="143"/>
      <c r="AX91" s="143"/>
      <c r="AY91" s="143"/>
      <c r="AZ91" s="143"/>
      <c r="BA91" s="143"/>
      <c r="BB91" s="143"/>
      <c r="BC91" s="143"/>
      <c r="BD91" s="143"/>
      <c r="BE91" s="143"/>
      <c r="BF91" s="143"/>
    </row>
    <row r="92" s="50" customFormat="1" ht="11.25" customHeight="1">
      <c r="A92" s="124"/>
      <c r="B92" s="124"/>
      <c r="C92" s="124"/>
      <c r="D92" s="53"/>
      <c r="E92" s="91"/>
      <c r="F92" s="943"/>
      <c r="G92" s="951"/>
      <c r="H92" s="951"/>
      <c r="I92" s="1251"/>
      <c r="J92" s="1251"/>
      <c r="K92" s="968"/>
      <c r="L92" s="1251"/>
      <c r="M92" s="951"/>
      <c r="N92" s="952"/>
      <c r="O92" s="962"/>
      <c r="P92" s="960"/>
      <c r="Q92" s="458"/>
      <c r="R92" s="458"/>
      <c r="S92" s="955"/>
      <c r="T92" s="458"/>
      <c r="U92" s="458"/>
      <c r="V92" s="458"/>
      <c r="W92" s="458"/>
      <c r="X92" s="458"/>
      <c r="Y92" s="458"/>
      <c r="Z92" s="961"/>
      <c r="AA92" s="962">
        <v>1</v>
      </c>
      <c r="AB92" s="963"/>
      <c r="AC92" s="856"/>
      <c r="AD92" s="963">
        <f>AB92</f>
        <v>0</v>
      </c>
      <c r="AE92" s="872"/>
      <c r="AF92" s="968"/>
      <c r="AG92" s="969"/>
      <c r="AH92" s="969"/>
      <c r="AI92" s="968"/>
      <c r="AJ92" s="969"/>
      <c r="AK92" s="970"/>
      <c r="AL92" s="919"/>
      <c r="AM92" s="143"/>
      <c r="AN92" s="143"/>
      <c r="AO92" s="143"/>
      <c r="AP92" s="143"/>
      <c r="AQ92" s="143"/>
      <c r="AR92" s="143"/>
      <c r="AS92" s="143"/>
      <c r="AT92" s="143"/>
      <c r="AU92" s="143"/>
      <c r="AV92" s="143"/>
      <c r="AW92" s="143"/>
      <c r="AX92" s="143"/>
      <c r="AY92" s="143"/>
      <c r="AZ92" s="143"/>
      <c r="BA92" s="143"/>
      <c r="BB92" s="143"/>
      <c r="BC92" s="143"/>
      <c r="BD92" s="143"/>
      <c r="BE92" s="143"/>
      <c r="BF92" s="143"/>
    </row>
    <row r="93" s="50" customFormat="1" ht="11.25" customHeight="1">
      <c r="A93" s="124"/>
      <c r="B93" s="124"/>
      <c r="C93" s="124"/>
      <c r="D93" s="53"/>
      <c r="E93" s="91"/>
      <c r="F93" s="943"/>
      <c r="G93" s="951"/>
      <c r="H93" s="951"/>
      <c r="I93" s="1252"/>
      <c r="J93" s="1252"/>
      <c r="K93" s="968"/>
      <c r="L93" s="1252"/>
      <c r="M93" s="951"/>
      <c r="N93" s="952"/>
      <c r="O93" s="962"/>
      <c r="P93" s="964"/>
      <c r="Q93" s="458"/>
      <c r="R93" s="458"/>
      <c r="S93" s="955"/>
      <c r="T93" s="458"/>
      <c r="U93" s="458"/>
      <c r="V93" s="458"/>
      <c r="W93" s="458"/>
      <c r="X93" s="458"/>
      <c r="Y93" s="458"/>
      <c r="Z93" s="956"/>
      <c r="AA93" s="957"/>
      <c r="AB93" s="172" t="s">
        <v>1034</v>
      </c>
      <c r="AC93" s="958"/>
      <c r="AD93" s="958"/>
      <c r="AE93" s="958"/>
      <c r="AF93" s="1253"/>
      <c r="AG93" s="969"/>
      <c r="AH93" s="969"/>
      <c r="AI93" s="1253"/>
      <c r="AJ93" s="969"/>
      <c r="AK93" s="970"/>
      <c r="AL93" s="919"/>
      <c r="AM93" s="143"/>
      <c r="AN93" s="143"/>
      <c r="AO93" s="143"/>
      <c r="AP93" s="143"/>
      <c r="AQ93" s="143"/>
      <c r="AR93" s="143"/>
      <c r="AS93" s="143"/>
      <c r="AT93" s="143"/>
      <c r="AU93" s="143"/>
      <c r="AV93" s="143"/>
      <c r="AW93" s="143"/>
      <c r="AX93" s="143"/>
      <c r="AY93" s="143"/>
      <c r="AZ93" s="143"/>
      <c r="BA93" s="143"/>
      <c r="BB93" s="143"/>
      <c r="BC93" s="143"/>
      <c r="BD93" s="143"/>
      <c r="BE93" s="143"/>
      <c r="BF93" s="143"/>
    </row>
    <row r="95" s="1220" customFormat="1" ht="11.25" customHeight="1">
      <c r="A95" s="1220" t="s">
        <v>1957</v>
      </c>
    </row>
    <row r="97" s="50" customFormat="1" ht="11.25" customHeight="1">
      <c r="A97" s="124"/>
      <c r="B97" s="124"/>
      <c r="C97" s="124"/>
      <c r="D97" s="53"/>
      <c r="E97" s="91"/>
      <c r="F97" s="951"/>
      <c r="G97" s="951"/>
      <c r="H97" s="951"/>
      <c r="I97" s="951"/>
      <c r="J97" s="951"/>
      <c r="K97" s="951"/>
      <c r="L97" s="951"/>
      <c r="M97" s="951"/>
      <c r="N97" s="951"/>
      <c r="O97" s="951"/>
      <c r="P97" s="951"/>
      <c r="Q97" s="951"/>
      <c r="R97" s="951"/>
      <c r="S97" s="951"/>
      <c r="T97" s="951"/>
      <c r="U97" s="951"/>
      <c r="V97" s="951"/>
      <c r="W97" s="951"/>
      <c r="X97" s="951"/>
      <c r="Y97" s="951"/>
      <c r="Z97" s="1254"/>
      <c r="AA97" s="953">
        <v>1</v>
      </c>
      <c r="AB97" s="963"/>
      <c r="AC97" s="856"/>
      <c r="AD97" s="963">
        <f>AB97</f>
        <v>0</v>
      </c>
      <c r="AE97" s="856"/>
      <c r="AF97" s="968"/>
      <c r="AG97" s="969"/>
      <c r="AH97" s="969"/>
      <c r="AI97" s="968"/>
      <c r="AJ97" s="969"/>
      <c r="AK97" s="970"/>
      <c r="AL97" s="919"/>
      <c r="AM97" s="143"/>
      <c r="AN97" s="143"/>
      <c r="AO97" s="143"/>
      <c r="AP97" s="143"/>
      <c r="AQ97" s="143"/>
      <c r="AR97" s="143"/>
      <c r="AS97" s="143"/>
      <c r="AT97" s="143"/>
      <c r="AU97" s="143"/>
      <c r="AV97" s="143"/>
      <c r="AW97" s="143"/>
      <c r="AX97" s="143"/>
      <c r="AY97" s="143"/>
      <c r="AZ97" s="143"/>
      <c r="BA97" s="143"/>
      <c r="BB97" s="143"/>
      <c r="BC97" s="143"/>
      <c r="BD97" s="143"/>
      <c r="BE97" s="143"/>
      <c r="BF97" s="143"/>
    </row>
    <row r="99" s="1220" customFormat="1" ht="11.25" customHeight="1">
      <c r="A99" s="1220" t="s">
        <v>1958</v>
      </c>
    </row>
    <row r="101" s="50" customFormat="1" ht="11.25" customHeight="1">
      <c r="A101" s="124"/>
      <c r="B101" s="124"/>
      <c r="C101" s="124"/>
      <c r="D101" s="53"/>
      <c r="E101" s="91"/>
      <c r="F101" s="943"/>
      <c r="G101" s="951"/>
      <c r="H101" s="921" t="s">
        <v>106</v>
      </c>
      <c r="I101" s="944"/>
      <c r="J101" s="388"/>
      <c r="K101" s="448"/>
      <c r="L101" s="224" t="s">
        <v>19</v>
      </c>
      <c r="M101" s="218"/>
      <c r="N101" s="946"/>
      <c r="O101" s="947" t="s">
        <v>371</v>
      </c>
      <c r="P101" s="948"/>
      <c r="Q101" s="948"/>
      <c r="R101" s="948"/>
      <c r="S101" s="948"/>
      <c r="T101" s="948"/>
      <c r="U101" s="948"/>
      <c r="V101" s="948"/>
      <c r="W101" s="948"/>
      <c r="X101" s="948"/>
      <c r="Y101" s="948"/>
      <c r="Z101" s="948"/>
      <c r="AA101" s="948"/>
      <c r="AB101" s="948"/>
      <c r="AC101" s="948"/>
      <c r="AD101" s="948"/>
      <c r="AE101" s="948"/>
      <c r="AF101" s="949"/>
      <c r="AG101" s="950"/>
      <c r="AH101" s="950"/>
      <c r="AI101" s="949"/>
      <c r="AJ101" s="950"/>
      <c r="AK101" s="950"/>
      <c r="AL101" s="919"/>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row>
    <row r="102" s="50" customFormat="1" ht="11.25" customHeight="1">
      <c r="A102" s="124"/>
      <c r="B102" s="124"/>
      <c r="C102" s="124"/>
      <c r="D102" s="53"/>
      <c r="E102" s="91"/>
      <c r="F102" s="943"/>
      <c r="G102" s="951"/>
      <c r="H102" s="921"/>
      <c r="I102" s="944"/>
      <c r="J102" s="388"/>
      <c r="K102" s="448"/>
      <c r="L102" s="224"/>
      <c r="M102" s="218"/>
      <c r="N102" s="952"/>
      <c r="O102" s="953">
        <v>1</v>
      </c>
      <c r="P102" s="954" t="s">
        <v>19</v>
      </c>
      <c r="Q102" s="458" t="s">
        <v>22</v>
      </c>
      <c r="R102" s="458" t="s">
        <v>22</v>
      </c>
      <c r="S102" s="458" t="s">
        <v>22</v>
      </c>
      <c r="T102" s="458" t="s">
        <v>22</v>
      </c>
      <c r="U102" s="458" t="s">
        <v>22</v>
      </c>
      <c r="V102" s="458" t="s">
        <v>22</v>
      </c>
      <c r="W102" s="458" t="s">
        <v>22</v>
      </c>
      <c r="X102" s="458" t="s">
        <v>22</v>
      </c>
      <c r="Y102" s="458"/>
      <c r="Z102" s="956"/>
      <c r="AA102" s="957"/>
      <c r="AB102" s="957"/>
      <c r="AC102" s="958"/>
      <c r="AD102" s="958"/>
      <c r="AE102" s="959"/>
      <c r="AF102" s="949"/>
      <c r="AG102" s="950"/>
      <c r="AH102" s="950"/>
      <c r="AI102" s="949"/>
      <c r="AJ102" s="950"/>
      <c r="AK102" s="950"/>
      <c r="AL102" s="919"/>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row>
    <row r="103" s="50" customFormat="1" ht="11.25" customHeight="1">
      <c r="A103" s="124"/>
      <c r="B103" s="124"/>
      <c r="C103" s="124"/>
      <c r="D103" s="53"/>
      <c r="E103" s="91"/>
      <c r="F103" s="943"/>
      <c r="G103" s="951"/>
      <c r="H103" s="921"/>
      <c r="I103" s="944"/>
      <c r="J103" s="388"/>
      <c r="K103" s="448"/>
      <c r="L103" s="224"/>
      <c r="M103" s="218"/>
      <c r="N103" s="952"/>
      <c r="O103" s="953"/>
      <c r="P103" s="960"/>
      <c r="Q103" s="458"/>
      <c r="R103" s="458"/>
      <c r="S103" s="955"/>
      <c r="T103" s="458"/>
      <c r="U103" s="458"/>
      <c r="V103" s="458"/>
      <c r="W103" s="458"/>
      <c r="X103" s="458"/>
      <c r="Y103" s="458"/>
      <c r="Z103" s="961"/>
      <c r="AA103" s="962">
        <v>1</v>
      </c>
      <c r="AB103" s="963"/>
      <c r="AC103" s="856"/>
      <c r="AD103" s="963">
        <f>AB103</f>
        <v>0</v>
      </c>
      <c r="AE103" s="856"/>
      <c r="AF103" s="949"/>
      <c r="AG103" s="950"/>
      <c r="AH103" s="950"/>
      <c r="AI103" s="949"/>
      <c r="AJ103" s="950"/>
      <c r="AK103" s="950"/>
      <c r="AL103" s="919"/>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row>
    <row r="104" s="50" customFormat="1" ht="11.25" customHeight="1">
      <c r="A104" s="124"/>
      <c r="B104" s="124"/>
      <c r="C104" s="124"/>
      <c r="D104" s="53"/>
      <c r="E104" s="91"/>
      <c r="F104" s="943"/>
      <c r="G104" s="951"/>
      <c r="H104" s="921"/>
      <c r="I104" s="944"/>
      <c r="J104" s="388"/>
      <c r="K104" s="448"/>
      <c r="L104" s="224"/>
      <c r="M104" s="218"/>
      <c r="N104" s="952"/>
      <c r="O104" s="953"/>
      <c r="P104" s="964"/>
      <c r="Q104" s="458"/>
      <c r="R104" s="458"/>
      <c r="S104" s="955"/>
      <c r="T104" s="458"/>
      <c r="U104" s="458"/>
      <c r="V104" s="458"/>
      <c r="W104" s="458"/>
      <c r="X104" s="458"/>
      <c r="Y104" s="458"/>
      <c r="Z104" s="956"/>
      <c r="AA104" s="957"/>
      <c r="AB104" s="172" t="s">
        <v>1034</v>
      </c>
      <c r="AC104" s="958"/>
      <c r="AD104" s="958"/>
      <c r="AE104" s="965"/>
      <c r="AF104" s="949"/>
      <c r="AG104" s="950"/>
      <c r="AH104" s="950"/>
      <c r="AI104" s="949"/>
      <c r="AJ104" s="950"/>
      <c r="AK104" s="950"/>
      <c r="AL104" s="919"/>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row>
    <row r="105" s="50" customFormat="1" ht="11.25" customHeight="1">
      <c r="A105" s="124"/>
      <c r="B105" s="124"/>
      <c r="C105" s="124"/>
      <c r="D105" s="53"/>
      <c r="E105" s="91"/>
      <c r="F105" s="943"/>
      <c r="G105" s="951"/>
      <c r="H105" s="921"/>
      <c r="I105" s="944"/>
      <c r="J105" s="388"/>
      <c r="K105" s="448"/>
      <c r="L105" s="224"/>
      <c r="M105" s="218"/>
      <c r="N105" s="956"/>
      <c r="O105" s="957"/>
      <c r="P105" s="172" t="s">
        <v>1035</v>
      </c>
      <c r="Q105" s="957"/>
      <c r="R105" s="957"/>
      <c r="S105" s="957"/>
      <c r="T105" s="957"/>
      <c r="U105" s="957"/>
      <c r="V105" s="957"/>
      <c r="W105" s="957"/>
      <c r="X105" s="957"/>
      <c r="Y105" s="957"/>
      <c r="Z105" s="957"/>
      <c r="AA105" s="957"/>
      <c r="AB105" s="957"/>
      <c r="AC105" s="957"/>
      <c r="AD105" s="957"/>
      <c r="AE105" s="966"/>
      <c r="AF105" s="949"/>
      <c r="AG105" s="950"/>
      <c r="AH105" s="950"/>
      <c r="AI105" s="949"/>
      <c r="AJ105" s="950"/>
      <c r="AK105" s="950"/>
      <c r="AL105" s="919"/>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row>
    <row r="107" s="1220" customFormat="1" ht="11.25" customHeight="1">
      <c r="A107" s="1220" t="s">
        <v>1959</v>
      </c>
    </row>
    <row r="108" ht="17.25" customHeight="1"/>
    <row r="109" s="992" customFormat="1" ht="21" customHeight="1">
      <c r="A109" s="531"/>
      <c r="B109" s="993"/>
      <c r="D109" s="992"/>
      <c r="E109" s="1022" t="s">
        <v>22</v>
      </c>
      <c r="F109" s="1032" t="e">
        <f>INDEX(IP_MAIN_LIST_NAME_IP,MATCH(A109,IP_MAIN_LIST_IP_ID,0))&amp;" ("&amp;INDEX(IP_MAIN_START_DATE,MATCH(A109,IP_MAIN_LIST_IP_ID,0))&amp;"-"&amp;INDEX(IP_MAIN_END_DATE,MATCH(A109,IP_MAIN_LIST_IP_ID,0))&amp;")"</f>
        <v>#VALUE!</v>
      </c>
      <c r="G109" s="1033"/>
      <c r="H109" s="1034"/>
      <c r="I109" s="1034"/>
      <c r="J109" s="1034"/>
      <c r="K109" s="1034"/>
      <c r="L109" s="1034"/>
      <c r="M109" s="1034"/>
      <c r="N109" s="1034"/>
      <c r="O109" s="1033"/>
      <c r="P109" s="1033"/>
      <c r="Q109" s="1033"/>
      <c r="R109" s="1033"/>
      <c r="S109" s="1033"/>
      <c r="T109" s="1033"/>
      <c r="U109" s="1035"/>
      <c r="V109" s="1035"/>
      <c r="W109" s="1035"/>
      <c r="X109" s="1035"/>
      <c r="Y109" s="1035"/>
      <c r="Z109" s="1035"/>
      <c r="AA109" s="1035"/>
      <c r="AB109" s="1033"/>
      <c r="AC109" s="1034"/>
      <c r="AD109" s="1034"/>
      <c r="AE109" s="1034"/>
      <c r="AF109" s="1034"/>
      <c r="AG109" s="1034"/>
      <c r="AH109" s="1034"/>
      <c r="AI109" s="1034"/>
      <c r="AJ109" s="1034"/>
      <c r="AK109" s="1034"/>
      <c r="AL109" s="1034"/>
      <c r="AM109" s="1034"/>
      <c r="AN109" s="1034"/>
      <c r="AO109" s="1034"/>
      <c r="AP109" s="1034"/>
      <c r="AQ109" s="1034"/>
      <c r="AR109" s="1034"/>
      <c r="AS109" s="1034"/>
      <c r="AT109" s="1034"/>
      <c r="AU109" s="1034"/>
      <c r="AV109" s="1034"/>
      <c r="AW109" s="1034"/>
      <c r="AX109" s="1034"/>
      <c r="AY109" s="1034"/>
      <c r="AZ109" s="1034"/>
      <c r="BA109" s="1034"/>
      <c r="BB109" s="1034"/>
      <c r="BC109" s="1034"/>
      <c r="BD109" s="1034"/>
      <c r="BE109" s="1034"/>
      <c r="BF109" s="1034"/>
      <c r="BG109" s="1034"/>
      <c r="BH109" s="1034"/>
      <c r="BI109" s="1034"/>
      <c r="BJ109" s="1034"/>
      <c r="BK109" s="1034"/>
      <c r="BL109" s="1034"/>
      <c r="BM109" s="1034"/>
      <c r="BN109" s="1034"/>
      <c r="BO109" s="1034"/>
      <c r="BP109" s="1034"/>
      <c r="BQ109" s="1034"/>
      <c r="BR109" s="1034"/>
      <c r="BS109" s="1034"/>
      <c r="BT109" s="1034"/>
      <c r="BU109" s="1034"/>
      <c r="BV109" s="1034"/>
      <c r="BW109" s="1034"/>
      <c r="BX109" s="1034"/>
      <c r="BY109" s="1034"/>
      <c r="BZ109" s="1034"/>
      <c r="CA109" s="1034"/>
      <c r="CB109" s="1034"/>
      <c r="CC109" s="1034"/>
      <c r="CD109" s="1034"/>
      <c r="CE109" s="1034"/>
      <c r="CF109" s="1034"/>
      <c r="CG109" s="1034"/>
      <c r="CH109" s="1034"/>
      <c r="CI109" s="1034"/>
      <c r="CJ109" s="1034"/>
      <c r="CK109" s="1034"/>
      <c r="CL109" s="1036"/>
      <c r="CM109" s="1036"/>
      <c r="CN109" s="1036"/>
      <c r="CO109" s="1036"/>
      <c r="CP109" s="1036"/>
      <c r="CQ109" s="1036"/>
      <c r="CR109" s="1036"/>
      <c r="CS109" s="1036"/>
      <c r="CT109" s="1036"/>
      <c r="CU109" s="1036"/>
      <c r="CV109" s="1036"/>
      <c r="CW109" s="1036"/>
      <c r="CX109" s="1036"/>
      <c r="CY109" s="1036"/>
      <c r="CZ109" s="1036"/>
      <c r="DA109" s="1036"/>
      <c r="DB109" s="1036"/>
      <c r="DC109" s="1036"/>
      <c r="DD109" s="1036"/>
      <c r="DE109" s="1036"/>
      <c r="DF109" s="1036"/>
      <c r="DG109" s="1036"/>
      <c r="DH109" s="1036"/>
      <c r="DI109" s="1036"/>
      <c r="DJ109" s="1036"/>
      <c r="DK109" s="1036"/>
      <c r="DL109" s="1036"/>
      <c r="DM109" s="1036"/>
      <c r="DN109" s="1036"/>
      <c r="DO109" s="1036"/>
      <c r="DP109" s="1036"/>
      <c r="DQ109" s="1036"/>
      <c r="DR109" s="1036"/>
      <c r="DS109" s="1036"/>
      <c r="DT109" s="1036"/>
      <c r="DU109" s="1036"/>
      <c r="DV109" s="1036"/>
      <c r="DW109" s="1036"/>
      <c r="DX109" s="1036"/>
      <c r="DY109" s="1036"/>
      <c r="DZ109" s="1036"/>
      <c r="EA109" s="1036"/>
      <c r="EB109" s="1036"/>
      <c r="EC109" s="1036"/>
      <c r="ED109" s="1036"/>
      <c r="EE109" s="1036"/>
      <c r="EF109" s="1036"/>
      <c r="EG109" s="1036"/>
      <c r="EH109" s="1036"/>
      <c r="EI109" s="1036"/>
      <c r="EJ109" s="1036"/>
      <c r="EK109" s="1036"/>
      <c r="EL109" s="1036"/>
      <c r="EM109" s="1036"/>
      <c r="EN109" s="1036"/>
      <c r="EO109" s="1036"/>
      <c r="EP109" s="1036"/>
      <c r="EQ109" s="1036"/>
      <c r="ER109" s="1036"/>
      <c r="ES109" s="1036"/>
      <c r="ET109" s="1036"/>
      <c r="EU109" s="1036"/>
      <c r="EV109" s="1036"/>
      <c r="EW109" s="1036"/>
      <c r="EX109" s="1036"/>
      <c r="EY109" s="1036"/>
      <c r="EZ109" s="1036"/>
      <c r="FA109" s="1036"/>
      <c r="FB109" s="1036"/>
      <c r="FC109" s="1036"/>
      <c r="FD109" s="1036"/>
      <c r="FE109" s="1036"/>
      <c r="FF109" s="1036"/>
      <c r="FG109" s="1036"/>
      <c r="FH109" s="1036"/>
      <c r="FI109" s="1036"/>
      <c r="FJ109" s="1036"/>
      <c r="FK109" s="1036"/>
      <c r="FL109" s="1036"/>
      <c r="FM109" s="1036"/>
      <c r="FN109" s="1036"/>
      <c r="FO109" s="1036"/>
      <c r="FP109" s="1036"/>
      <c r="FQ109" s="1036"/>
      <c r="FR109" s="1036"/>
      <c r="FS109" s="1036"/>
      <c r="FT109" s="1036"/>
      <c r="FU109" s="1036"/>
      <c r="FV109" s="1037"/>
      <c r="FW109" s="1031"/>
      <c r="FX109" s="1027"/>
    </row>
    <row r="110" s="992" customFormat="1" ht="24.75" customHeight="1">
      <c r="B110" s="993"/>
      <c r="C110" s="992"/>
      <c r="D110" s="992"/>
      <c r="E110" s="63"/>
      <c r="F110" s="828">
        <v>1</v>
      </c>
      <c r="G110" s="116"/>
      <c r="H110" s="109"/>
      <c r="I110" s="1038"/>
      <c r="J110" s="1039"/>
      <c r="K110" s="1039"/>
      <c r="L110" s="1039"/>
      <c r="M110" s="1039"/>
      <c r="N110" s="1039"/>
      <c r="O110" s="1040"/>
      <c r="P110" s="1040"/>
      <c r="Q110" s="1040"/>
      <c r="R110" s="1040"/>
      <c r="S110" s="1040"/>
      <c r="T110" s="1040"/>
      <c r="U110" s="1040"/>
      <c r="V110" s="1040"/>
      <c r="W110" s="1040"/>
      <c r="X110" s="1040"/>
      <c r="Y110" s="1040"/>
      <c r="Z110" s="1040"/>
      <c r="AA110" s="1040"/>
      <c r="AB110" s="1040"/>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39"/>
      <c r="AZ110" s="1039"/>
      <c r="BA110" s="1039"/>
      <c r="BB110" s="1039"/>
      <c r="BC110" s="1039"/>
      <c r="BD110" s="1039"/>
      <c r="BE110" s="1039"/>
      <c r="BF110" s="1039"/>
      <c r="BG110" s="1039"/>
      <c r="BH110" s="1039"/>
      <c r="BI110" s="1039"/>
      <c r="BJ110" s="1039"/>
      <c r="BK110" s="1039"/>
      <c r="BL110" s="1039"/>
      <c r="BM110" s="1039"/>
      <c r="BN110" s="1039"/>
      <c r="BO110" s="1039"/>
      <c r="BP110" s="1039"/>
      <c r="BQ110" s="1039"/>
      <c r="BR110" s="1039"/>
      <c r="BS110" s="1039"/>
      <c r="BT110" s="1040"/>
      <c r="BU110" s="1040"/>
      <c r="BV110" s="1040"/>
      <c r="BW110" s="1040"/>
      <c r="BX110" s="1040"/>
      <c r="BY110" s="1040"/>
      <c r="BZ110" s="1040"/>
      <c r="CA110" s="1040"/>
      <c r="CB110" s="1040"/>
      <c r="CC110" s="1040"/>
      <c r="CD110" s="1040"/>
      <c r="CE110" s="1040"/>
      <c r="CF110" s="1040"/>
      <c r="CG110" s="1040"/>
      <c r="CH110" s="1040"/>
      <c r="CI110" s="1040"/>
      <c r="CJ110" s="1040"/>
      <c r="CK110" s="1040"/>
      <c r="CL110" s="1039"/>
      <c r="CM110" s="1039"/>
      <c r="CN110" s="1039"/>
      <c r="CO110" s="1039"/>
      <c r="CP110" s="1039"/>
      <c r="CQ110" s="1039"/>
      <c r="CR110" s="1039"/>
      <c r="CS110" s="1039"/>
      <c r="CT110" s="1039"/>
      <c r="CU110" s="1039"/>
      <c r="CV110" s="1039"/>
      <c r="CW110" s="1039"/>
      <c r="CX110" s="1039"/>
      <c r="CY110" s="1040"/>
      <c r="CZ110" s="1040"/>
      <c r="DA110" s="1040"/>
      <c r="DB110" s="1040"/>
      <c r="DC110" s="1040"/>
      <c r="DD110" s="1040"/>
      <c r="DE110" s="1040"/>
      <c r="DF110" s="1040"/>
      <c r="DG110" s="1040"/>
      <c r="DH110" s="1040"/>
      <c r="DI110" s="1040"/>
      <c r="DJ110" s="1040"/>
      <c r="DK110" s="1039"/>
      <c r="DL110" s="1039"/>
      <c r="DM110" s="1039"/>
      <c r="DN110" s="1039"/>
      <c r="DO110" s="1039"/>
      <c r="DP110" s="1039"/>
      <c r="DQ110" s="1039"/>
      <c r="DR110" s="1039"/>
      <c r="DS110" s="1039"/>
      <c r="DT110" s="1039"/>
      <c r="DU110" s="1039"/>
      <c r="DV110" s="1039"/>
      <c r="DW110" s="1039"/>
      <c r="DX110" s="1039"/>
      <c r="DY110" s="1039"/>
      <c r="DZ110" s="1039"/>
      <c r="EA110" s="1039"/>
      <c r="EB110" s="1039"/>
      <c r="EC110" s="1039"/>
      <c r="ED110" s="1039"/>
      <c r="EE110" s="1039"/>
      <c r="EF110" s="1039"/>
      <c r="EG110" s="1039"/>
      <c r="EH110" s="1039"/>
      <c r="EI110" s="1039"/>
      <c r="EJ110" s="1039"/>
      <c r="EK110" s="1039"/>
      <c r="EL110" s="1039"/>
      <c r="EM110" s="1039"/>
      <c r="EN110" s="1039"/>
      <c r="EO110" s="1039"/>
      <c r="EP110" s="1039"/>
      <c r="EQ110" s="1039"/>
      <c r="ER110" s="1039"/>
      <c r="ES110" s="1039"/>
      <c r="ET110" s="1039"/>
      <c r="EU110" s="1039"/>
      <c r="EV110" s="1039"/>
      <c r="EW110" s="1039"/>
      <c r="EX110" s="1039"/>
      <c r="EY110" s="1039"/>
      <c r="EZ110" s="1039"/>
      <c r="FA110" s="1039"/>
      <c r="FB110" s="1039"/>
      <c r="FC110" s="1039"/>
      <c r="FD110" s="1039"/>
      <c r="FE110" s="1039"/>
      <c r="FF110" s="1039"/>
      <c r="FG110" s="1039"/>
      <c r="FH110" s="1039"/>
      <c r="FI110" s="1039"/>
      <c r="FJ110" s="1039"/>
      <c r="FK110" s="1039"/>
      <c r="FL110" s="1039"/>
      <c r="FM110" s="1039"/>
      <c r="FN110" s="1039"/>
      <c r="FO110" s="1039"/>
      <c r="FP110" s="1039"/>
      <c r="FQ110" s="1039"/>
      <c r="FR110" s="1039"/>
      <c r="FS110" s="1039"/>
      <c r="FT110" s="1039"/>
      <c r="FU110" s="1039"/>
      <c r="FV110" s="1039"/>
      <c r="FW110" s="1039"/>
      <c r="FX110" s="1027"/>
    </row>
    <row r="111" s="992" customFormat="1" ht="12" customHeight="1">
      <c r="A111" s="992"/>
      <c r="B111" s="993"/>
      <c r="C111" s="992"/>
      <c r="D111" s="992"/>
      <c r="E111" s="992"/>
      <c r="F111" s="1041"/>
      <c r="G111" s="973" t="s">
        <v>1160</v>
      </c>
      <c r="H111" s="973"/>
      <c r="I111" s="973"/>
      <c r="J111" s="973"/>
      <c r="K111" s="973"/>
      <c r="L111" s="973"/>
      <c r="M111" s="973"/>
      <c r="N111" s="973"/>
      <c r="O111" s="973"/>
      <c r="P111" s="973"/>
      <c r="Q111" s="973"/>
      <c r="R111" s="973"/>
      <c r="S111" s="973"/>
      <c r="T111" s="973"/>
      <c r="U111" s="973"/>
      <c r="V111" s="973"/>
      <c r="W111" s="973"/>
      <c r="X111" s="973"/>
      <c r="Y111" s="973"/>
      <c r="Z111" s="973"/>
      <c r="AA111" s="973"/>
      <c r="AB111" s="973"/>
      <c r="AC111" s="973"/>
      <c r="AD111" s="973"/>
      <c r="AE111" s="973"/>
      <c r="AF111" s="973"/>
      <c r="AG111" s="973"/>
      <c r="AH111" s="973"/>
      <c r="AI111" s="973"/>
      <c r="AJ111" s="973"/>
      <c r="AK111" s="973"/>
      <c r="AL111" s="973"/>
      <c r="AM111" s="973"/>
      <c r="AN111" s="973"/>
      <c r="AO111" s="973"/>
      <c r="AP111" s="973"/>
      <c r="AQ111" s="973"/>
      <c r="AR111" s="973"/>
      <c r="AS111" s="973"/>
      <c r="AT111" s="973"/>
      <c r="AU111" s="973"/>
      <c r="AV111" s="973"/>
      <c r="AW111" s="973"/>
      <c r="AX111" s="973"/>
      <c r="AY111" s="973"/>
      <c r="AZ111" s="973"/>
      <c r="BA111" s="973"/>
      <c r="BB111" s="973"/>
      <c r="BC111" s="973"/>
      <c r="BD111" s="973"/>
      <c r="BE111" s="973"/>
      <c r="BF111" s="973"/>
      <c r="BG111" s="973"/>
      <c r="BH111" s="973"/>
      <c r="BI111" s="973"/>
      <c r="BJ111" s="973"/>
      <c r="BK111" s="973"/>
      <c r="BL111" s="973"/>
      <c r="BM111" s="973"/>
      <c r="BN111" s="973"/>
      <c r="BO111" s="973"/>
      <c r="BP111" s="973"/>
      <c r="BQ111" s="973"/>
      <c r="BR111" s="973"/>
      <c r="BS111" s="973"/>
      <c r="BT111" s="973"/>
      <c r="BU111" s="973"/>
      <c r="BV111" s="973"/>
      <c r="BW111" s="973"/>
      <c r="BX111" s="973"/>
      <c r="BY111" s="973"/>
      <c r="BZ111" s="973"/>
      <c r="CA111" s="973"/>
      <c r="CB111" s="973"/>
      <c r="CC111" s="973"/>
      <c r="CD111" s="973"/>
      <c r="CE111" s="973"/>
      <c r="CF111" s="973"/>
      <c r="CG111" s="973"/>
      <c r="CH111" s="973"/>
      <c r="CI111" s="973"/>
      <c r="CJ111" s="973"/>
      <c r="CK111" s="973"/>
      <c r="CL111" s="973"/>
      <c r="CM111" s="973"/>
      <c r="CN111" s="973"/>
      <c r="CO111" s="973"/>
      <c r="CP111" s="973"/>
      <c r="CQ111" s="973"/>
      <c r="CR111" s="973"/>
      <c r="CS111" s="973"/>
      <c r="CT111" s="973"/>
      <c r="CU111" s="973"/>
      <c r="CV111" s="973"/>
      <c r="CW111" s="973"/>
      <c r="CX111" s="973"/>
      <c r="CY111" s="973"/>
      <c r="CZ111" s="973"/>
      <c r="DA111" s="973"/>
      <c r="DB111" s="973"/>
      <c r="DC111" s="973"/>
      <c r="DD111" s="973"/>
      <c r="DE111" s="973"/>
      <c r="DF111" s="973"/>
      <c r="DG111" s="973"/>
      <c r="DH111" s="973"/>
      <c r="DI111" s="973"/>
      <c r="DJ111" s="973"/>
      <c r="DK111" s="973"/>
      <c r="DL111" s="973"/>
      <c r="DM111" s="973"/>
      <c r="DN111" s="973"/>
      <c r="DO111" s="973"/>
      <c r="DP111" s="973"/>
      <c r="DQ111" s="973"/>
      <c r="DR111" s="973"/>
      <c r="DS111" s="973"/>
      <c r="DT111" s="973"/>
      <c r="DU111" s="973"/>
      <c r="DV111" s="973"/>
      <c r="DW111" s="973"/>
      <c r="DX111" s="973"/>
      <c r="DY111" s="973"/>
      <c r="DZ111" s="973"/>
      <c r="EA111" s="973"/>
      <c r="EB111" s="973"/>
      <c r="EC111" s="973"/>
      <c r="ED111" s="973"/>
      <c r="EE111" s="973"/>
      <c r="EF111" s="973"/>
      <c r="EG111" s="973"/>
      <c r="EH111" s="973"/>
      <c r="EI111" s="973"/>
      <c r="EJ111" s="973"/>
      <c r="EK111" s="973"/>
      <c r="EL111" s="973"/>
      <c r="EM111" s="973"/>
      <c r="EN111" s="973"/>
      <c r="EO111" s="973"/>
      <c r="EP111" s="973"/>
      <c r="EQ111" s="973"/>
      <c r="ER111" s="973"/>
      <c r="ES111" s="973"/>
      <c r="ET111" s="973"/>
      <c r="EU111" s="973"/>
      <c r="EV111" s="973"/>
      <c r="EW111" s="973"/>
      <c r="EX111" s="973"/>
      <c r="EY111" s="973"/>
      <c r="EZ111" s="973"/>
      <c r="FA111" s="973"/>
      <c r="FB111" s="973"/>
      <c r="FC111" s="973"/>
      <c r="FD111" s="973"/>
      <c r="FE111" s="973"/>
      <c r="FF111" s="973"/>
      <c r="FG111" s="973"/>
      <c r="FH111" s="973"/>
      <c r="FI111" s="973"/>
      <c r="FJ111" s="973"/>
      <c r="FK111" s="973"/>
      <c r="FL111" s="973"/>
      <c r="FM111" s="973"/>
      <c r="FN111" s="973"/>
      <c r="FO111" s="973"/>
      <c r="FP111" s="973"/>
      <c r="FQ111" s="973"/>
      <c r="FR111" s="973"/>
      <c r="FS111" s="973"/>
      <c r="FT111" s="973"/>
      <c r="FU111" s="973"/>
      <c r="FV111" s="973"/>
      <c r="FW111" s="1042"/>
      <c r="FX111" s="143"/>
      <c r="FY111" s="994"/>
      <c r="FZ111" s="994"/>
      <c r="GA111" s="994"/>
      <c r="GB111" s="994"/>
    </row>
    <row r="113" s="1220" customFormat="1" ht="11.25" customHeight="1">
      <c r="A113" s="1220" t="s">
        <v>1960</v>
      </c>
    </row>
    <row r="115" s="63" customFormat="1" ht="15" customHeight="1">
      <c r="A115" s="783"/>
      <c r="B115" s="63"/>
      <c r="C115" s="63"/>
      <c r="D115" s="225" t="s">
        <v>106</v>
      </c>
      <c r="E115" s="785" t="s">
        <v>102</v>
      </c>
      <c r="F115" s="786"/>
      <c r="G115" s="787"/>
      <c r="H115" s="79" t="str">
        <f>IF(A115="","",INDEX(DIFFERENTIATION_UNMERGE_VD,MATCH(A115,DIFFERENTIATION_ID_DIFF,0)))</f>
        <v/>
      </c>
      <c r="I115" s="79"/>
      <c r="J115" s="79"/>
      <c r="K115" s="79"/>
      <c r="L115" s="79"/>
      <c r="M115" s="79"/>
      <c r="N115" s="79"/>
      <c r="O115" s="79"/>
      <c r="P115" s="79"/>
      <c r="Q115" s="79"/>
      <c r="R115" s="79"/>
      <c r="S115" s="788"/>
      <c r="T115" s="789"/>
      <c r="U115" s="167"/>
      <c r="V115" s="167"/>
      <c r="W115" s="64"/>
      <c r="X115" s="64"/>
      <c r="Y115" s="64"/>
      <c r="Z115" s="64"/>
      <c r="AA115" s="167"/>
      <c r="AB115" s="64"/>
      <c r="AC115" s="790"/>
      <c r="AD115" s="64"/>
      <c r="AE115" s="791" t="s">
        <v>22</v>
      </c>
      <c r="AF115" s="791"/>
      <c r="AG115" s="792" t="s">
        <v>604</v>
      </c>
      <c r="AH115" s="793">
        <v>3</v>
      </c>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64"/>
      <c r="BW115" s="64"/>
      <c r="BX115" s="64"/>
      <c r="BY115" s="64"/>
      <c r="BZ115" s="64"/>
      <c r="CA115" s="64"/>
      <c r="CB115" s="64"/>
      <c r="CC115" s="64"/>
      <c r="CD115" s="64"/>
      <c r="CE115" s="64"/>
    </row>
    <row r="116" s="63" customFormat="1" ht="15" customHeight="1">
      <c r="A116" s="783"/>
      <c r="B116" s="63"/>
      <c r="C116" s="63"/>
      <c r="D116" s="1255"/>
      <c r="E116" s="785" t="s">
        <v>559</v>
      </c>
      <c r="F116" s="786"/>
      <c r="G116" s="787"/>
      <c r="H116" s="79" t="str">
        <f>IF(A115="","",INDEX(DIFFERENTIATION_UNMERGE_AREA,MATCH(A115,DIFFERENTIATION_ID_DIFF,0)))</f>
        <v/>
      </c>
      <c r="I116" s="79"/>
      <c r="J116" s="79"/>
      <c r="K116" s="79"/>
      <c r="L116" s="79"/>
      <c r="M116" s="79"/>
      <c r="N116" s="79"/>
      <c r="O116" s="79"/>
      <c r="P116" s="79"/>
      <c r="Q116" s="79"/>
      <c r="R116" s="79"/>
      <c r="S116" s="788"/>
      <c r="T116" s="789"/>
      <c r="U116" s="167"/>
      <c r="V116" s="167"/>
      <c r="W116" s="64"/>
      <c r="X116" s="64"/>
      <c r="Y116" s="64"/>
      <c r="Z116" s="64"/>
      <c r="AA116" s="167"/>
      <c r="AB116" s="64"/>
      <c r="AC116" s="790"/>
      <c r="AD116" s="64"/>
      <c r="AE116" s="791"/>
      <c r="AF116" s="791"/>
      <c r="AG116" s="792"/>
      <c r="AH116" s="793"/>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64"/>
      <c r="BW116" s="64"/>
      <c r="BX116" s="64"/>
      <c r="BY116" s="64"/>
      <c r="BZ116" s="64"/>
      <c r="CA116" s="64"/>
      <c r="CB116" s="64"/>
      <c r="CC116" s="64"/>
      <c r="CD116" s="64"/>
      <c r="CE116" s="64"/>
    </row>
    <row r="117" s="63" customFormat="1" ht="15" customHeight="1">
      <c r="A117" s="783"/>
      <c r="B117" s="63"/>
      <c r="C117" s="63"/>
      <c r="D117" s="1255"/>
      <c r="E117" s="785" t="s">
        <v>560</v>
      </c>
      <c r="F117" s="786"/>
      <c r="G117" s="787"/>
      <c r="H117" s="79" t="str">
        <f>IF(A115="","",INDEX(DIFFERENTIATION_UNMERGE_SYSTEM,MATCH(A115,DIFFERENTIATION_ID_DIFF,0)))</f>
        <v/>
      </c>
      <c r="I117" s="79"/>
      <c r="J117" s="79"/>
      <c r="K117" s="79"/>
      <c r="L117" s="79"/>
      <c r="M117" s="79"/>
      <c r="N117" s="79"/>
      <c r="O117" s="79"/>
      <c r="P117" s="79"/>
      <c r="Q117" s="79"/>
      <c r="R117" s="79"/>
      <c r="S117" s="788"/>
      <c r="T117" s="789"/>
      <c r="U117" s="167"/>
      <c r="V117" s="167"/>
      <c r="W117" s="64"/>
      <c r="X117" s="64"/>
      <c r="Y117" s="64"/>
      <c r="Z117" s="64"/>
      <c r="AA117" s="167"/>
      <c r="AB117" s="64"/>
      <c r="AC117" s="790"/>
      <c r="AD117" s="64"/>
      <c r="AE117" s="791"/>
      <c r="AF117" s="791"/>
      <c r="AG117" s="792"/>
      <c r="AH117" s="793"/>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64"/>
      <c r="BW117" s="64"/>
      <c r="BX117" s="64"/>
      <c r="BY117" s="64"/>
      <c r="BZ117" s="64"/>
      <c r="CA117" s="64"/>
      <c r="CB117" s="64"/>
      <c r="CC117" s="64"/>
      <c r="CD117" s="64"/>
      <c r="CE117" s="64"/>
    </row>
    <row r="118" s="63" customFormat="1" ht="24.75" customHeight="1">
      <c r="A118" s="114"/>
      <c r="B118" s="53"/>
      <c r="C118" s="168"/>
      <c r="D118" s="1255"/>
      <c r="E118" s="795" t="s">
        <v>605</v>
      </c>
      <c r="F118" s="795"/>
      <c r="G118" s="795"/>
      <c r="H118" s="795"/>
      <c r="I118" s="795"/>
      <c r="J118" s="795"/>
      <c r="K118" s="795"/>
      <c r="L118" s="795"/>
      <c r="M118" s="795"/>
      <c r="N118" s="795"/>
      <c r="O118" s="795"/>
      <c r="P118" s="795"/>
      <c r="Q118" s="728">
        <f>SUMIF(T119:T120,"i",Q119:Q120)</f>
        <v>0</v>
      </c>
      <c r="R118" s="796"/>
      <c r="S118" s="313" t="s">
        <v>606</v>
      </c>
      <c r="T118" s="789" t="s">
        <v>607</v>
      </c>
      <c r="U118" s="132">
        <v>1</v>
      </c>
      <c r="V118" s="132" t="s">
        <v>570</v>
      </c>
      <c r="W118" s="53"/>
      <c r="X118" s="53"/>
      <c r="Y118" s="53"/>
      <c r="Z118" s="53"/>
      <c r="AA118" s="57"/>
      <c r="AB118" s="53"/>
      <c r="AC118" s="790"/>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2"/>
      <c r="B119" s="57"/>
      <c r="C119" s="57"/>
      <c r="D119" s="1255"/>
      <c r="E119" s="351"/>
      <c r="F119" s="351">
        <v>0</v>
      </c>
      <c r="G119" s="351"/>
      <c r="H119" s="351"/>
      <c r="I119" s="351"/>
      <c r="J119" s="351"/>
      <c r="K119" s="351"/>
      <c r="L119" s="351"/>
      <c r="M119" s="351"/>
      <c r="N119" s="351"/>
      <c r="O119" s="351"/>
      <c r="P119" s="351"/>
      <c r="Q119" s="351"/>
      <c r="R119" s="351"/>
      <c r="S119" s="350"/>
      <c r="T119" s="797"/>
      <c r="U119" s="132"/>
      <c r="V119" s="132"/>
      <c r="W119" s="57"/>
      <c r="X119" s="57"/>
      <c r="Y119" s="57"/>
      <c r="Z119" s="57"/>
      <c r="AA119" s="57"/>
      <c r="AB119" s="53"/>
      <c r="AC119" s="790"/>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8"/>
      <c r="D120" s="1255"/>
      <c r="E120" s="638" t="s">
        <v>22</v>
      </c>
      <c r="F120" s="172" t="s">
        <v>22</v>
      </c>
      <c r="G120" s="172" t="s">
        <v>1961</v>
      </c>
      <c r="H120" s="177" t="s">
        <v>22</v>
      </c>
      <c r="I120" s="177"/>
      <c r="J120" s="177"/>
      <c r="K120" s="177"/>
      <c r="L120" s="177"/>
      <c r="M120" s="177"/>
      <c r="N120" s="177"/>
      <c r="O120" s="177"/>
      <c r="P120" s="177"/>
      <c r="Q120" s="177"/>
      <c r="R120" s="229"/>
      <c r="S120" s="1256"/>
      <c r="T120" s="797"/>
      <c r="U120" s="132"/>
      <c r="V120" s="132"/>
      <c r="W120" s="53"/>
      <c r="X120" s="53"/>
      <c r="Y120" s="53"/>
      <c r="Z120" s="53"/>
      <c r="AA120" s="57"/>
      <c r="AB120" s="53"/>
      <c r="AC120" s="790"/>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8"/>
      <c r="D121" s="1255"/>
      <c r="E121" s="795" t="s">
        <v>608</v>
      </c>
      <c r="F121" s="795"/>
      <c r="G121" s="795"/>
      <c r="H121" s="795"/>
      <c r="I121" s="795"/>
      <c r="J121" s="795"/>
      <c r="K121" s="795"/>
      <c r="L121" s="795"/>
      <c r="M121" s="795"/>
      <c r="N121" s="795"/>
      <c r="O121" s="795"/>
      <c r="P121" s="795"/>
      <c r="Q121" s="728">
        <f>SUMIF(T122:T123,"i",Q122:Q123)</f>
        <v>0</v>
      </c>
      <c r="R121" s="796"/>
      <c r="S121" s="313" t="s">
        <v>609</v>
      </c>
      <c r="T121" s="789" t="s">
        <v>607</v>
      </c>
      <c r="U121" s="132">
        <v>1</v>
      </c>
      <c r="V121" s="132" t="s">
        <v>570</v>
      </c>
      <c r="W121" s="53"/>
      <c r="X121" s="53"/>
      <c r="Y121" s="53"/>
      <c r="Z121" s="53"/>
      <c r="AA121" s="57"/>
      <c r="AB121" s="53"/>
      <c r="AC121" s="790"/>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2"/>
      <c r="B122" s="57"/>
      <c r="C122" s="57"/>
      <c r="D122" s="1255"/>
      <c r="E122" s="351"/>
      <c r="F122" s="351">
        <v>0</v>
      </c>
      <c r="G122" s="351"/>
      <c r="H122" s="351"/>
      <c r="I122" s="351"/>
      <c r="J122" s="351"/>
      <c r="K122" s="351"/>
      <c r="L122" s="351"/>
      <c r="M122" s="351"/>
      <c r="N122" s="351"/>
      <c r="O122" s="351"/>
      <c r="P122" s="351"/>
      <c r="Q122" s="351"/>
      <c r="R122" s="351"/>
      <c r="S122" s="350"/>
      <c r="T122" s="797"/>
      <c r="U122" s="132"/>
      <c r="V122" s="132"/>
      <c r="W122" s="57"/>
      <c r="X122" s="57"/>
      <c r="Y122" s="57"/>
      <c r="Z122" s="57"/>
      <c r="AA122" s="57"/>
      <c r="AB122" s="53"/>
      <c r="AC122" s="790"/>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8"/>
      <c r="D123" s="1257"/>
      <c r="E123" s="638" t="s">
        <v>22</v>
      </c>
      <c r="F123" s="172" t="s">
        <v>22</v>
      </c>
      <c r="G123" s="172" t="s">
        <v>1961</v>
      </c>
      <c r="H123" s="177" t="s">
        <v>22</v>
      </c>
      <c r="I123" s="177"/>
      <c r="J123" s="177"/>
      <c r="K123" s="177"/>
      <c r="L123" s="177"/>
      <c r="M123" s="177"/>
      <c r="N123" s="177"/>
      <c r="O123" s="177"/>
      <c r="P123" s="177"/>
      <c r="Q123" s="177"/>
      <c r="R123" s="229"/>
      <c r="S123" s="1256"/>
      <c r="T123" s="797"/>
      <c r="U123" s="132"/>
      <c r="V123" s="132"/>
      <c r="W123" s="53"/>
      <c r="X123" s="53"/>
      <c r="Y123" s="53"/>
      <c r="Z123" s="53"/>
      <c r="AA123" s="57"/>
      <c r="AB123" s="53"/>
      <c r="AC123" s="790"/>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220" customFormat="1" ht="11.25" customHeight="1">
      <c r="A125" s="1220" t="s">
        <v>1962</v>
      </c>
    </row>
    <row r="127" s="63" customFormat="1" ht="15" customHeight="1">
      <c r="A127" s="783"/>
      <c r="B127" s="63"/>
      <c r="C127" s="63"/>
      <c r="D127" s="225" t="s">
        <v>106</v>
      </c>
      <c r="E127" s="785" t="s">
        <v>102</v>
      </c>
      <c r="F127" s="786"/>
      <c r="G127" s="787"/>
      <c r="H127" s="79" t="str">
        <f>IF(A127="","",INDEX(DIFFERENTIATION_UNMERGE_VD,MATCH(A127,DIFFERENTIATION_ID_DIFF,0)))</f>
        <v/>
      </c>
      <c r="I127" s="79"/>
      <c r="J127" s="79"/>
      <c r="K127" s="79"/>
      <c r="L127" s="79"/>
      <c r="M127" s="79"/>
      <c r="N127" s="79"/>
      <c r="O127" s="79"/>
      <c r="P127" s="79"/>
      <c r="Q127" s="79"/>
      <c r="R127" s="79"/>
      <c r="S127" s="788"/>
      <c r="T127" s="789"/>
      <c r="U127" s="167"/>
      <c r="V127" s="167"/>
      <c r="W127" s="64"/>
      <c r="X127" s="64"/>
      <c r="Y127" s="64"/>
      <c r="Z127" s="64"/>
      <c r="AA127" s="167"/>
      <c r="AB127" s="64"/>
      <c r="AC127" s="790"/>
      <c r="AD127" s="64"/>
      <c r="AE127" s="791" t="s">
        <v>22</v>
      </c>
      <c r="AF127" s="791"/>
      <c r="AG127" s="792" t="s">
        <v>604</v>
      </c>
      <c r="AH127" s="793">
        <v>3</v>
      </c>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167"/>
      <c r="BG127" s="167"/>
      <c r="BH127" s="167"/>
      <c r="BI127" s="167"/>
      <c r="BJ127" s="167"/>
      <c r="BK127" s="167"/>
      <c r="BL127" s="167"/>
      <c r="BM127" s="167"/>
      <c r="BN127" s="167"/>
      <c r="BO127" s="167"/>
      <c r="BP127" s="167"/>
      <c r="BQ127" s="167"/>
      <c r="BR127" s="167"/>
      <c r="BS127" s="167"/>
      <c r="BT127" s="167"/>
      <c r="BU127" s="167"/>
      <c r="BV127" s="64"/>
      <c r="BW127" s="64"/>
      <c r="BX127" s="64"/>
      <c r="BY127" s="64"/>
      <c r="BZ127" s="64"/>
      <c r="CA127" s="64"/>
      <c r="CB127" s="64"/>
      <c r="CC127" s="64"/>
      <c r="CD127" s="64"/>
      <c r="CE127" s="64"/>
    </row>
    <row r="128" s="63" customFormat="1" ht="15" customHeight="1">
      <c r="A128" s="783"/>
      <c r="B128" s="63"/>
      <c r="C128" s="63"/>
      <c r="D128" s="1255"/>
      <c r="E128" s="785" t="s">
        <v>559</v>
      </c>
      <c r="F128" s="786"/>
      <c r="G128" s="787"/>
      <c r="H128" s="79" t="str">
        <f>IF(A127="","",INDEX(DIFFERENTIATION_UNMERGE_AREA,MATCH(A127,DIFFERENTIATION_ID_DIFF,0)))</f>
        <v/>
      </c>
      <c r="I128" s="79"/>
      <c r="J128" s="79"/>
      <c r="K128" s="79"/>
      <c r="L128" s="79"/>
      <c r="M128" s="79"/>
      <c r="N128" s="79"/>
      <c r="O128" s="79"/>
      <c r="P128" s="79"/>
      <c r="Q128" s="79"/>
      <c r="R128" s="79"/>
      <c r="S128" s="788"/>
      <c r="T128" s="789"/>
      <c r="U128" s="167"/>
      <c r="V128" s="167"/>
      <c r="W128" s="64"/>
      <c r="X128" s="64"/>
      <c r="Y128" s="64"/>
      <c r="Z128" s="64"/>
      <c r="AA128" s="167"/>
      <c r="AB128" s="64"/>
      <c r="AC128" s="790"/>
      <c r="AD128" s="64"/>
      <c r="AE128" s="791"/>
      <c r="AF128" s="791"/>
      <c r="AG128" s="792"/>
      <c r="AH128" s="793"/>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167"/>
      <c r="BG128" s="167"/>
      <c r="BH128" s="167"/>
      <c r="BI128" s="167"/>
      <c r="BJ128" s="167"/>
      <c r="BK128" s="167"/>
      <c r="BL128" s="167"/>
      <c r="BM128" s="167"/>
      <c r="BN128" s="167"/>
      <c r="BO128" s="167"/>
      <c r="BP128" s="167"/>
      <c r="BQ128" s="167"/>
      <c r="BR128" s="167"/>
      <c r="BS128" s="167"/>
      <c r="BT128" s="167"/>
      <c r="BU128" s="167"/>
      <c r="BV128" s="64"/>
      <c r="BW128" s="64"/>
      <c r="BX128" s="64"/>
      <c r="BY128" s="64"/>
      <c r="BZ128" s="64"/>
      <c r="CA128" s="64"/>
      <c r="CB128" s="64"/>
      <c r="CC128" s="64"/>
      <c r="CD128" s="64"/>
      <c r="CE128" s="64"/>
    </row>
    <row r="129" s="63" customFormat="1" ht="15" customHeight="1">
      <c r="A129" s="783"/>
      <c r="B129" s="63"/>
      <c r="C129" s="63"/>
      <c r="D129" s="1255"/>
      <c r="E129" s="785" t="s">
        <v>560</v>
      </c>
      <c r="F129" s="786"/>
      <c r="G129" s="787"/>
      <c r="H129" s="79" t="str">
        <f>IF(A127="","",INDEX(DIFFERENTIATION_UNMERGE_SYSTEM,MATCH(A127,DIFFERENTIATION_ID_DIFF,0)))</f>
        <v/>
      </c>
      <c r="I129" s="79"/>
      <c r="J129" s="79"/>
      <c r="K129" s="79"/>
      <c r="L129" s="79"/>
      <c r="M129" s="79"/>
      <c r="N129" s="79"/>
      <c r="O129" s="79"/>
      <c r="P129" s="79"/>
      <c r="Q129" s="79"/>
      <c r="R129" s="79"/>
      <c r="S129" s="788"/>
      <c r="T129" s="789"/>
      <c r="U129" s="167"/>
      <c r="V129" s="167"/>
      <c r="W129" s="64"/>
      <c r="X129" s="64"/>
      <c r="Y129" s="64"/>
      <c r="Z129" s="64"/>
      <c r="AA129" s="167"/>
      <c r="AB129" s="64"/>
      <c r="AC129" s="790"/>
      <c r="AD129" s="64"/>
      <c r="AE129" s="791"/>
      <c r="AF129" s="791"/>
      <c r="AG129" s="792"/>
      <c r="AH129" s="793"/>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64"/>
      <c r="BW129" s="64"/>
      <c r="BX129" s="64"/>
      <c r="BY129" s="64"/>
      <c r="BZ129" s="64"/>
      <c r="CA129" s="64"/>
      <c r="CB129" s="64"/>
      <c r="CC129" s="64"/>
      <c r="CD129" s="64"/>
      <c r="CE129" s="64"/>
    </row>
    <row r="130" s="63" customFormat="1" ht="24.75" customHeight="1">
      <c r="A130" s="114"/>
      <c r="B130" s="53"/>
      <c r="C130" s="168"/>
      <c r="D130" s="1255"/>
      <c r="E130" s="795" t="s">
        <v>605</v>
      </c>
      <c r="F130" s="795"/>
      <c r="G130" s="795"/>
      <c r="H130" s="795"/>
      <c r="I130" s="795"/>
      <c r="J130" s="795"/>
      <c r="K130" s="795"/>
      <c r="L130" s="795"/>
      <c r="M130" s="795"/>
      <c r="N130" s="795"/>
      <c r="O130" s="795"/>
      <c r="P130" s="795"/>
      <c r="Q130" s="728">
        <f>SUMIF(T131:T132,"i",Q131:Q132)</f>
        <v>0</v>
      </c>
      <c r="R130" s="796"/>
      <c r="S130" s="313" t="s">
        <v>606</v>
      </c>
      <c r="T130" s="789" t="s">
        <v>607</v>
      </c>
      <c r="U130" s="132">
        <v>1</v>
      </c>
      <c r="V130" s="132" t="s">
        <v>570</v>
      </c>
      <c r="W130" s="53"/>
      <c r="X130" s="53"/>
      <c r="Y130" s="53"/>
      <c r="Z130" s="53"/>
      <c r="AA130" s="57"/>
      <c r="AB130" s="53"/>
      <c r="AC130" s="790"/>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2"/>
      <c r="B131" s="57"/>
      <c r="C131" s="57"/>
      <c r="D131" s="1255"/>
      <c r="E131" s="351"/>
      <c r="F131" s="351">
        <v>0</v>
      </c>
      <c r="G131" s="351"/>
      <c r="H131" s="351"/>
      <c r="I131" s="351"/>
      <c r="J131" s="351"/>
      <c r="K131" s="351"/>
      <c r="L131" s="351"/>
      <c r="M131" s="351"/>
      <c r="N131" s="351"/>
      <c r="O131" s="351"/>
      <c r="P131" s="351"/>
      <c r="Q131" s="351"/>
      <c r="R131" s="351"/>
      <c r="S131" s="350"/>
      <c r="T131" s="797"/>
      <c r="U131" s="132"/>
      <c r="V131" s="132"/>
      <c r="W131" s="57"/>
      <c r="X131" s="57"/>
      <c r="Y131" s="57"/>
      <c r="Z131" s="57"/>
      <c r="AA131" s="57"/>
      <c r="AB131" s="53"/>
      <c r="AC131" s="790"/>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8"/>
      <c r="D132" s="1255"/>
      <c r="E132" s="638" t="s">
        <v>22</v>
      </c>
      <c r="F132" s="172" t="s">
        <v>22</v>
      </c>
      <c r="G132" s="172" t="s">
        <v>1961</v>
      </c>
      <c r="H132" s="177" t="s">
        <v>22</v>
      </c>
      <c r="I132" s="177"/>
      <c r="J132" s="177"/>
      <c r="K132" s="177"/>
      <c r="L132" s="177"/>
      <c r="M132" s="177"/>
      <c r="N132" s="177"/>
      <c r="O132" s="177"/>
      <c r="P132" s="177"/>
      <c r="Q132" s="177"/>
      <c r="R132" s="229"/>
      <c r="S132" s="1256"/>
      <c r="T132" s="797"/>
      <c r="U132" s="132"/>
      <c r="V132" s="132"/>
      <c r="W132" s="53"/>
      <c r="X132" s="53"/>
      <c r="Y132" s="53"/>
      <c r="Z132" s="53"/>
      <c r="AA132" s="57"/>
      <c r="AB132" s="53"/>
      <c r="AC132" s="790"/>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7" customFormat="1" ht="5.25" hidden="1" customHeight="1">
      <c r="A133" s="132"/>
      <c r="B133" s="57"/>
      <c r="C133" s="57"/>
      <c r="D133" s="1255"/>
      <c r="E133" s="1258"/>
      <c r="F133" s="1258"/>
      <c r="G133" s="1258"/>
      <c r="H133" s="1258"/>
      <c r="I133" s="1258"/>
      <c r="J133" s="1258"/>
      <c r="K133" s="1258"/>
      <c r="L133" s="1258"/>
      <c r="M133" s="1258"/>
      <c r="N133" s="1258"/>
      <c r="O133" s="1258"/>
      <c r="P133" s="1258"/>
      <c r="Q133" s="651"/>
      <c r="R133" s="1259"/>
      <c r="S133" s="351"/>
      <c r="T133" s="789" t="s">
        <v>607</v>
      </c>
      <c r="U133" s="132">
        <v>1</v>
      </c>
      <c r="V133" s="132" t="s">
        <v>570</v>
      </c>
      <c r="W133" s="57"/>
      <c r="X133" s="57"/>
      <c r="Y133" s="57"/>
      <c r="Z133" s="57"/>
      <c r="AA133" s="57"/>
      <c r="AB133" s="57"/>
      <c r="AC133" s="1260"/>
      <c r="AD133" s="16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7" customFormat="1" ht="5.25" hidden="1" customHeight="1">
      <c r="A134" s="132"/>
      <c r="B134" s="57"/>
      <c r="C134" s="57"/>
      <c r="D134" s="1255"/>
      <c r="E134" s="351"/>
      <c r="F134" s="351"/>
      <c r="G134" s="351"/>
      <c r="H134" s="351"/>
      <c r="I134" s="351"/>
      <c r="J134" s="351"/>
      <c r="K134" s="351"/>
      <c r="L134" s="351"/>
      <c r="M134" s="351"/>
      <c r="N134" s="351"/>
      <c r="O134" s="351"/>
      <c r="P134" s="351"/>
      <c r="Q134" s="351"/>
      <c r="R134" s="351"/>
      <c r="S134" s="350"/>
      <c r="T134" s="797"/>
      <c r="U134" s="132"/>
      <c r="V134" s="132"/>
      <c r="W134" s="57"/>
      <c r="X134" s="57"/>
      <c r="Y134" s="57"/>
      <c r="Z134" s="57"/>
      <c r="AA134" s="57"/>
      <c r="AB134" s="57"/>
      <c r="AC134" s="1260"/>
      <c r="AD134" s="16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7" customFormat="1" ht="5.25" hidden="1" customHeight="1">
      <c r="A135" s="132"/>
      <c r="B135" s="57"/>
      <c r="C135" s="57"/>
      <c r="D135" s="1257"/>
      <c r="E135" s="1261"/>
      <c r="F135" s="1262"/>
      <c r="G135" s="1262"/>
      <c r="H135" s="1263"/>
      <c r="I135" s="1263"/>
      <c r="J135" s="1263"/>
      <c r="K135" s="1263"/>
      <c r="L135" s="1263"/>
      <c r="M135" s="1263"/>
      <c r="N135" s="1263"/>
      <c r="O135" s="1263"/>
      <c r="P135" s="1263"/>
      <c r="Q135" s="1263"/>
      <c r="R135" s="1264"/>
      <c r="S135" s="1265"/>
      <c r="T135" s="797"/>
      <c r="U135" s="132"/>
      <c r="V135" s="132"/>
      <c r="W135" s="57"/>
      <c r="X135" s="57"/>
      <c r="Y135" s="57"/>
      <c r="Z135" s="57"/>
      <c r="AA135" s="57"/>
      <c r="AB135" s="57"/>
      <c r="AC135" s="1260"/>
      <c r="AD135" s="16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66"/>
    </row>
    <row r="137" s="1220" customFormat="1" ht="11.25" customHeight="1">
      <c r="A137" s="1220" t="s">
        <v>1963</v>
      </c>
    </row>
    <row r="139" s="63" customFormat="1" ht="45" customHeight="1">
      <c r="A139" s="114"/>
      <c r="B139" s="53"/>
      <c r="C139" s="168"/>
      <c r="D139" s="63"/>
      <c r="E139" s="1267"/>
      <c r="F139" s="218" t="s">
        <v>106</v>
      </c>
      <c r="G139" s="1268" t="s">
        <v>22</v>
      </c>
      <c r="H139" s="485"/>
      <c r="I139" s="1269" t="s">
        <v>106</v>
      </c>
      <c r="J139" s="830" t="s">
        <v>1964</v>
      </c>
      <c r="K139" s="251" t="s">
        <v>541</v>
      </c>
      <c r="L139" s="418" t="s">
        <v>541</v>
      </c>
      <c r="M139" s="246"/>
      <c r="N139" s="251" t="s">
        <v>541</v>
      </c>
      <c r="O139" s="251" t="s">
        <v>541</v>
      </c>
      <c r="P139" s="251" t="s">
        <v>541</v>
      </c>
      <c r="Q139" s="987">
        <f>SUM(Q140:Q142)</f>
        <v>0</v>
      </c>
      <c r="R139" s="987">
        <f>IF(R136=0,0,(Q136/R136)*100)</f>
        <v>0</v>
      </c>
      <c r="S139" s="313"/>
      <c r="T139" s="789" t="s">
        <v>607</v>
      </c>
      <c r="U139" s="63"/>
      <c r="V139" s="63"/>
      <c r="AC139" s="63"/>
    </row>
    <row r="140" s="63" customFormat="1" ht="11.25" customHeight="1">
      <c r="A140" s="114"/>
      <c r="B140" s="53"/>
      <c r="C140" s="168"/>
      <c r="D140" s="63"/>
      <c r="E140" s="1239"/>
      <c r="F140" s="218"/>
      <c r="G140" s="1268"/>
      <c r="H140" s="157"/>
      <c r="I140" s="921" t="s">
        <v>1065</v>
      </c>
      <c r="J140" s="1056"/>
      <c r="K140" s="1270"/>
      <c r="L140" s="1049"/>
      <c r="M140" s="1271" t="s">
        <v>106</v>
      </c>
      <c r="N140" s="357"/>
      <c r="O140" s="433"/>
      <c r="P140" s="513"/>
      <c r="Q140" s="433"/>
      <c r="R140" s="533">
        <v>0</v>
      </c>
      <c r="S140" s="313"/>
      <c r="T140" s="789"/>
      <c r="U140" s="63"/>
      <c r="V140" s="63"/>
      <c r="AC140" s="63"/>
    </row>
    <row r="141" s="63" customFormat="1" ht="11.25" customHeight="1">
      <c r="A141" s="114"/>
      <c r="B141" s="53"/>
      <c r="C141" s="168"/>
      <c r="D141" s="63"/>
      <c r="E141" s="1239"/>
      <c r="F141" s="218"/>
      <c r="G141" s="1268"/>
      <c r="H141" s="157"/>
      <c r="I141" s="921"/>
      <c r="J141" s="1056"/>
      <c r="K141" s="357"/>
      <c r="L141" s="1272"/>
      <c r="M141" s="1273"/>
      <c r="N141" s="177" t="s">
        <v>1965</v>
      </c>
      <c r="O141" s="177"/>
      <c r="P141" s="177"/>
      <c r="Q141" s="177"/>
      <c r="R141" s="229"/>
      <c r="S141" s="313"/>
      <c r="T141" s="789"/>
      <c r="U141" s="63"/>
      <c r="V141" s="63"/>
      <c r="AC141" s="63"/>
    </row>
    <row r="142" s="63" customFormat="1" ht="11.25" customHeight="1">
      <c r="A142" s="114"/>
      <c r="B142" s="53"/>
      <c r="C142" s="168"/>
      <c r="D142" s="63"/>
      <c r="E142" s="1274"/>
      <c r="F142" s="218"/>
      <c r="G142" s="95"/>
      <c r="H142" s="1272" t="s">
        <v>22</v>
      </c>
      <c r="I142" s="1273"/>
      <c r="J142" s="177" t="s">
        <v>1966</v>
      </c>
      <c r="K142" s="177"/>
      <c r="L142" s="177"/>
      <c r="M142" s="177"/>
      <c r="N142" s="177"/>
      <c r="O142" s="177"/>
      <c r="P142" s="177"/>
      <c r="Q142" s="177"/>
      <c r="R142" s="229"/>
      <c r="S142" s="313"/>
      <c r="T142" s="789"/>
      <c r="U142" s="63"/>
      <c r="V142" s="63"/>
      <c r="AC142" s="63"/>
    </row>
    <row r="147" s="63" customFormat="1" ht="11.25" customHeight="1">
      <c r="A147" s="114"/>
      <c r="B147" s="53"/>
      <c r="C147" s="168"/>
      <c r="D147" s="63"/>
      <c r="E147" s="951"/>
      <c r="F147" s="951"/>
      <c r="G147" s="951"/>
      <c r="H147" s="157"/>
      <c r="I147" s="921" t="s">
        <v>1065</v>
      </c>
      <c r="J147" s="1056"/>
      <c r="K147" s="1270"/>
      <c r="L147" s="1049"/>
      <c r="M147" s="1271" t="s">
        <v>106</v>
      </c>
      <c r="N147" s="357"/>
      <c r="O147" s="433"/>
      <c r="P147" s="513"/>
      <c r="Q147" s="433"/>
      <c r="R147" s="533">
        <v>0</v>
      </c>
      <c r="S147" s="63"/>
      <c r="T147" s="789"/>
      <c r="U147" s="63"/>
      <c r="V147" s="63"/>
      <c r="AC147" s="63"/>
    </row>
    <row r="148" s="63" customFormat="1" ht="11.25" customHeight="1">
      <c r="A148" s="114"/>
      <c r="B148" s="53"/>
      <c r="C148" s="168"/>
      <c r="D148" s="63"/>
      <c r="E148" s="951"/>
      <c r="F148" s="951"/>
      <c r="G148" s="951"/>
      <c r="H148" s="157"/>
      <c r="I148" s="921"/>
      <c r="J148" s="1056"/>
      <c r="K148" s="357"/>
      <c r="L148" s="1272"/>
      <c r="M148" s="1273"/>
      <c r="N148" s="177" t="s">
        <v>1965</v>
      </c>
      <c r="O148" s="177"/>
      <c r="P148" s="177"/>
      <c r="Q148" s="177"/>
      <c r="R148" s="229"/>
      <c r="S148" s="63"/>
      <c r="T148" s="789"/>
      <c r="U148" s="63"/>
      <c r="V148" s="63"/>
      <c r="AC148" s="63"/>
    </row>
    <row r="150" s="63" customFormat="1" ht="11.25" customHeight="1">
      <c r="A150" s="114"/>
      <c r="B150" s="53"/>
      <c r="C150" s="168"/>
      <c r="D150" s="63"/>
      <c r="E150" s="1275"/>
      <c r="F150" s="63"/>
      <c r="G150" s="63"/>
      <c r="H150" s="1276"/>
      <c r="I150" s="951"/>
      <c r="J150" s="968"/>
      <c r="K150" s="968"/>
      <c r="L150" s="1049"/>
      <c r="M150" s="1271" t="s">
        <v>106</v>
      </c>
      <c r="N150" s="357"/>
      <c r="O150" s="433"/>
      <c r="P150" s="513"/>
      <c r="Q150" s="433"/>
      <c r="R150" s="533">
        <v>0</v>
      </c>
      <c r="S150" s="63"/>
      <c r="T150" s="789"/>
      <c r="U150" s="63"/>
      <c r="V150" s="63"/>
      <c r="AC150" s="63"/>
    </row>
    <row r="152" s="1220" customFormat="1" ht="17.25" customHeight="1">
      <c r="A152" s="1220" t="s">
        <v>1967</v>
      </c>
    </row>
    <row r="153" ht="17.25" customHeight="1">
      <c r="G153" s="273"/>
      <c r="H153" s="273"/>
      <c r="I153" s="273"/>
      <c r="M153" s="63"/>
    </row>
    <row r="154" s="184" customFormat="1" ht="17.25" customHeight="1">
      <c r="A154" s="253"/>
      <c r="C154" s="128"/>
      <c r="D154" s="250"/>
      <c r="E154" s="255"/>
      <c r="F154" s="256"/>
      <c r="G154" s="1277"/>
      <c r="H154" s="250"/>
      <c r="I154" s="250">
        <v>1</v>
      </c>
      <c r="J154" s="387"/>
      <c r="K154" s="314" t="s">
        <v>65</v>
      </c>
      <c r="L154" s="218"/>
      <c r="M154" s="218" t="s">
        <v>106</v>
      </c>
      <c r="N154" s="1278" t="str">
        <f>IF(Z154="","",INDEX(TERRITORY_MR_LIST,MATCH(Z154,TERRITORY_LIST_ID,0)))</f>
        <v/>
      </c>
      <c r="O154" s="314" t="s">
        <v>65</v>
      </c>
      <c r="P154" s="218"/>
      <c r="Q154" s="218" t="s">
        <v>106</v>
      </c>
      <c r="R154" s="357" t="s">
        <v>22</v>
      </c>
      <c r="S154" s="224" t="s">
        <v>65</v>
      </c>
      <c r="T154" s="218"/>
      <c r="U154" s="218" t="s">
        <v>106</v>
      </c>
      <c r="V154" s="357" t="s">
        <v>22</v>
      </c>
      <c r="W154" s="387"/>
      <c r="Y154" s="264"/>
      <c r="Z154" s="264"/>
      <c r="AA154" s="264"/>
      <c r="AB154" s="264"/>
      <c r="AC154" s="264"/>
      <c r="AD154" s="264"/>
      <c r="AE154" s="264"/>
      <c r="AF154" s="264"/>
      <c r="AG154" s="264"/>
      <c r="AH154" s="264"/>
      <c r="AI154" s="264"/>
      <c r="AJ154" s="264"/>
      <c r="AK154" s="264"/>
      <c r="AL154" s="62"/>
      <c r="AM154" s="62"/>
      <c r="AN154" s="264"/>
      <c r="AO154" s="264"/>
      <c r="AP154" s="264"/>
      <c r="AQ154" s="264"/>
    </row>
    <row r="155" s="184" customFormat="1" ht="17.25" customHeight="1">
      <c r="A155" s="253"/>
      <c r="C155" s="184"/>
      <c r="D155" s="250"/>
      <c r="E155" s="255"/>
      <c r="F155" s="265"/>
      <c r="G155" s="1277"/>
      <c r="H155" s="250"/>
      <c r="I155" s="250"/>
      <c r="J155" s="387"/>
      <c r="K155" s="320"/>
      <c r="L155" s="218"/>
      <c r="M155" s="218"/>
      <c r="N155" s="1278"/>
      <c r="O155" s="320"/>
      <c r="P155" s="218"/>
      <c r="Q155" s="218"/>
      <c r="R155" s="357"/>
      <c r="S155" s="224"/>
      <c r="T155" s="1279"/>
      <c r="U155" s="1280"/>
      <c r="V155" s="1280" t="s">
        <v>409</v>
      </c>
      <c r="W155" s="1281"/>
      <c r="Y155" s="107"/>
      <c r="Z155" s="107"/>
      <c r="AA155" s="107"/>
      <c r="AB155" s="107"/>
      <c r="AC155" s="107"/>
      <c r="AD155" s="107"/>
      <c r="AE155" s="107"/>
      <c r="AF155" s="107"/>
      <c r="AG155" s="107"/>
      <c r="AH155" s="107"/>
      <c r="AI155" s="107"/>
      <c r="AJ155" s="107"/>
      <c r="AK155" s="107"/>
    </row>
    <row r="156" s="184" customFormat="1" ht="17.25" customHeight="1">
      <c r="A156" s="253"/>
      <c r="C156" s="184"/>
      <c r="D156" s="274"/>
      <c r="E156" s="275"/>
      <c r="F156" s="265"/>
      <c r="G156" s="1282"/>
      <c r="H156" s="274"/>
      <c r="I156" s="274"/>
      <c r="J156" s="1283"/>
      <c r="K156" s="320"/>
      <c r="L156" s="274"/>
      <c r="M156" s="274"/>
      <c r="N156" s="1284"/>
      <c r="O156" s="220"/>
      <c r="P156" s="1279"/>
      <c r="Q156" s="1280"/>
      <c r="R156" s="1280" t="s">
        <v>410</v>
      </c>
      <c r="S156" s="1285"/>
      <c r="T156" s="1285"/>
      <c r="U156" s="1285"/>
      <c r="V156" s="1285"/>
      <c r="W156" s="1281"/>
      <c r="Y156" s="107"/>
      <c r="Z156" s="107"/>
      <c r="AA156" s="107"/>
      <c r="AB156" s="107"/>
      <c r="AC156" s="107"/>
      <c r="AD156" s="107"/>
      <c r="AE156" s="107"/>
      <c r="AF156" s="107"/>
      <c r="AG156" s="107"/>
      <c r="AH156" s="107"/>
      <c r="AI156" s="107"/>
      <c r="AJ156" s="107"/>
      <c r="AK156" s="107"/>
    </row>
    <row r="157" s="184" customFormat="1" ht="17.25" customHeight="1">
      <c r="A157" s="253"/>
      <c r="C157" s="184"/>
      <c r="D157" s="274"/>
      <c r="E157" s="275"/>
      <c r="F157" s="265"/>
      <c r="G157" s="1282"/>
      <c r="H157" s="274"/>
      <c r="I157" s="274"/>
      <c r="J157" s="1283"/>
      <c r="K157" s="220"/>
      <c r="L157" s="1279"/>
      <c r="M157" s="1280"/>
      <c r="N157" s="1280" t="s">
        <v>411</v>
      </c>
      <c r="O157" s="1280"/>
      <c r="P157" s="1280"/>
      <c r="Q157" s="1280"/>
      <c r="R157" s="1280"/>
      <c r="S157" s="1285"/>
      <c r="T157" s="1285"/>
      <c r="U157" s="1285"/>
      <c r="V157" s="1285"/>
      <c r="W157" s="1281"/>
      <c r="Y157" s="107"/>
      <c r="Z157" s="107"/>
      <c r="AA157" s="107"/>
      <c r="AB157" s="107"/>
      <c r="AC157" s="107"/>
      <c r="AD157" s="107"/>
      <c r="AE157" s="107"/>
      <c r="AF157" s="107"/>
      <c r="AG157" s="107"/>
      <c r="AH157" s="107"/>
      <c r="AI157" s="107"/>
      <c r="AJ157" s="107"/>
      <c r="AK157" s="107"/>
    </row>
    <row r="158" s="184" customFormat="1" ht="17.25" customHeight="1">
      <c r="A158" s="253"/>
      <c r="C158" s="184"/>
      <c r="D158" s="274"/>
      <c r="E158" s="275"/>
      <c r="F158" s="276"/>
      <c r="G158" s="1282"/>
      <c r="H158" s="1279"/>
      <c r="I158" s="1280"/>
      <c r="J158" s="1280" t="s">
        <v>443</v>
      </c>
      <c r="K158" s="1280"/>
      <c r="L158" s="1280"/>
      <c r="M158" s="1280"/>
      <c r="N158" s="1280"/>
      <c r="O158" s="1280"/>
      <c r="P158" s="1280"/>
      <c r="Q158" s="1280"/>
      <c r="R158" s="1280"/>
      <c r="S158" s="1285"/>
      <c r="T158" s="1285"/>
      <c r="U158" s="1285"/>
      <c r="V158" s="1285"/>
      <c r="W158" s="1281"/>
      <c r="Y158" s="107"/>
      <c r="Z158" s="107"/>
      <c r="AA158" s="107"/>
      <c r="AB158" s="107"/>
      <c r="AC158" s="107"/>
      <c r="AD158" s="107"/>
      <c r="AE158" s="107"/>
      <c r="AF158" s="107"/>
      <c r="AG158" s="107"/>
      <c r="AH158" s="107"/>
      <c r="AI158" s="107"/>
      <c r="AJ158" s="107"/>
      <c r="AK158" s="107"/>
    </row>
    <row r="159" ht="17.25" customHeight="1">
      <c r="G159" s="273"/>
      <c r="H159" s="273"/>
      <c r="I159" s="273"/>
      <c r="M159" s="63"/>
    </row>
    <row r="160" s="184" customFormat="1" ht="17.25" customHeight="1">
      <c r="A160" s="253"/>
      <c r="C160" s="128"/>
      <c r="D160" s="951"/>
      <c r="E160" s="1286"/>
      <c r="F160" s="265"/>
      <c r="G160" s="1287"/>
      <c r="H160" s="250"/>
      <c r="I160" s="250">
        <v>1</v>
      </c>
      <c r="J160" s="387"/>
      <c r="K160" s="314" t="s">
        <v>65</v>
      </c>
      <c r="L160" s="218"/>
      <c r="M160" s="218" t="s">
        <v>106</v>
      </c>
      <c r="N160" s="1278" t="str">
        <f>IF(Z160="","",INDEX(TERRITORY_MR_LIST,MATCH(Z160,TERRITORY_LIST_ID,0)))</f>
        <v/>
      </c>
      <c r="O160" s="314" t="s">
        <v>65</v>
      </c>
      <c r="P160" s="218"/>
      <c r="Q160" s="218" t="s">
        <v>106</v>
      </c>
      <c r="R160" s="357" t="s">
        <v>22</v>
      </c>
      <c r="S160" s="224" t="s">
        <v>65</v>
      </c>
      <c r="T160" s="218"/>
      <c r="U160" s="218" t="s">
        <v>106</v>
      </c>
      <c r="V160" s="357" t="s">
        <v>22</v>
      </c>
      <c r="W160" s="387"/>
      <c r="Y160" s="264"/>
      <c r="Z160" s="264"/>
      <c r="AA160" s="264"/>
      <c r="AB160" s="264"/>
      <c r="AC160" s="264"/>
      <c r="AD160" s="264"/>
      <c r="AE160" s="264"/>
      <c r="AF160" s="264"/>
      <c r="AG160" s="264"/>
      <c r="AH160" s="264"/>
      <c r="AI160" s="264"/>
      <c r="AJ160" s="264"/>
      <c r="AK160" s="264"/>
      <c r="AL160" s="62"/>
      <c r="AM160" s="62"/>
      <c r="AN160" s="264"/>
      <c r="AO160" s="264"/>
      <c r="AP160" s="264"/>
      <c r="AQ160" s="264"/>
    </row>
    <row r="161" s="184" customFormat="1" ht="17.25" customHeight="1">
      <c r="A161" s="253"/>
      <c r="C161" s="184"/>
      <c r="D161" s="951"/>
      <c r="E161" s="1286"/>
      <c r="F161" s="265"/>
      <c r="G161" s="1287"/>
      <c r="H161" s="250"/>
      <c r="I161" s="250"/>
      <c r="J161" s="387"/>
      <c r="K161" s="320"/>
      <c r="L161" s="218"/>
      <c r="M161" s="218"/>
      <c r="N161" s="1278"/>
      <c r="O161" s="320"/>
      <c r="P161" s="218"/>
      <c r="Q161" s="218"/>
      <c r="R161" s="357"/>
      <c r="S161" s="224"/>
      <c r="T161" s="1279"/>
      <c r="U161" s="1280"/>
      <c r="V161" s="1280" t="s">
        <v>409</v>
      </c>
      <c r="W161" s="1281"/>
      <c r="Y161" s="107"/>
      <c r="Z161" s="107"/>
      <c r="AA161" s="107"/>
      <c r="AB161" s="107"/>
      <c r="AC161" s="107"/>
      <c r="AD161" s="107"/>
      <c r="AE161" s="107"/>
      <c r="AF161" s="107"/>
      <c r="AG161" s="107"/>
      <c r="AH161" s="107"/>
      <c r="AI161" s="107"/>
      <c r="AJ161" s="107"/>
      <c r="AK161" s="107"/>
    </row>
    <row r="162" s="184" customFormat="1" ht="17.25" customHeight="1">
      <c r="A162" s="253"/>
      <c r="C162" s="184"/>
      <c r="D162" s="951"/>
      <c r="E162" s="1286"/>
      <c r="F162" s="265"/>
      <c r="G162" s="1287"/>
      <c r="H162" s="274"/>
      <c r="I162" s="274"/>
      <c r="J162" s="1283"/>
      <c r="K162" s="320"/>
      <c r="L162" s="274"/>
      <c r="M162" s="274"/>
      <c r="N162" s="1284"/>
      <c r="O162" s="220"/>
      <c r="P162" s="1279"/>
      <c r="Q162" s="1280"/>
      <c r="R162" s="1280" t="s">
        <v>410</v>
      </c>
      <c r="S162" s="1285"/>
      <c r="T162" s="1285"/>
      <c r="U162" s="1285"/>
      <c r="V162" s="1285"/>
      <c r="W162" s="1281"/>
      <c r="Y162" s="107"/>
      <c r="Z162" s="107"/>
      <c r="AA162" s="107"/>
      <c r="AB162" s="107"/>
      <c r="AC162" s="107"/>
      <c r="AD162" s="107"/>
      <c r="AE162" s="107"/>
      <c r="AF162" s="107"/>
      <c r="AG162" s="107"/>
      <c r="AH162" s="107"/>
      <c r="AI162" s="107"/>
      <c r="AJ162" s="107"/>
      <c r="AK162" s="107"/>
    </row>
    <row r="163" s="184" customFormat="1" ht="17.25" customHeight="1">
      <c r="A163" s="253"/>
      <c r="C163" s="184"/>
      <c r="D163" s="951"/>
      <c r="E163" s="1286"/>
      <c r="F163" s="265"/>
      <c r="G163" s="1287"/>
      <c r="H163" s="274"/>
      <c r="I163" s="274"/>
      <c r="J163" s="1283"/>
      <c r="K163" s="220"/>
      <c r="L163" s="1279"/>
      <c r="M163" s="1280"/>
      <c r="N163" s="1280" t="s">
        <v>411</v>
      </c>
      <c r="O163" s="1280"/>
      <c r="P163" s="1280"/>
      <c r="Q163" s="1280"/>
      <c r="R163" s="1280"/>
      <c r="S163" s="1285"/>
      <c r="T163" s="1285"/>
      <c r="U163" s="1285"/>
      <c r="V163" s="1285"/>
      <c r="W163" s="1281"/>
      <c r="Y163" s="107"/>
      <c r="Z163" s="107"/>
      <c r="AA163" s="107"/>
      <c r="AB163" s="107"/>
      <c r="AC163" s="107"/>
      <c r="AD163" s="107"/>
      <c r="AE163" s="107"/>
      <c r="AF163" s="107"/>
      <c r="AG163" s="107"/>
      <c r="AH163" s="107"/>
      <c r="AI163" s="107"/>
      <c r="AJ163" s="107"/>
      <c r="AK163" s="107"/>
    </row>
    <row r="164" ht="17.25" customHeight="1">
      <c r="G164" s="273"/>
      <c r="H164" s="273"/>
      <c r="I164" s="273"/>
      <c r="M164" s="63"/>
    </row>
    <row r="165" s="184" customFormat="1" ht="17.25" customHeight="1">
      <c r="A165" s="253"/>
      <c r="C165" s="128"/>
      <c r="D165" s="951"/>
      <c r="E165" s="1286"/>
      <c r="F165" s="265"/>
      <c r="G165" s="1287"/>
      <c r="H165" s="951"/>
      <c r="I165" s="951"/>
      <c r="J165" s="1288"/>
      <c r="K165" s="1289"/>
      <c r="L165" s="218"/>
      <c r="M165" s="218" t="s">
        <v>106</v>
      </c>
      <c r="N165" s="1278" t="str">
        <f>IF(Z165="","",INDEX(TERRITORY_MR_LIST,MATCH(Z165,TERRITORY_LIST_ID,0)))</f>
        <v/>
      </c>
      <c r="O165" s="314" t="s">
        <v>65</v>
      </c>
      <c r="P165" s="218"/>
      <c r="Q165" s="218" t="s">
        <v>106</v>
      </c>
      <c r="R165" s="357" t="s">
        <v>22</v>
      </c>
      <c r="S165" s="224" t="s">
        <v>65</v>
      </c>
      <c r="T165" s="218"/>
      <c r="U165" s="218" t="s">
        <v>106</v>
      </c>
      <c r="V165" s="357" t="s">
        <v>22</v>
      </c>
      <c r="W165" s="387"/>
      <c r="Y165" s="264"/>
      <c r="Z165" s="264"/>
      <c r="AA165" s="264"/>
      <c r="AB165" s="264"/>
      <c r="AC165" s="264"/>
      <c r="AD165" s="264"/>
      <c r="AE165" s="264"/>
      <c r="AF165" s="264"/>
      <c r="AG165" s="264"/>
      <c r="AH165" s="264"/>
      <c r="AI165" s="264"/>
      <c r="AJ165" s="264"/>
      <c r="AK165" s="264"/>
      <c r="AL165" s="62"/>
      <c r="AM165" s="62"/>
      <c r="AN165" s="264"/>
      <c r="AO165" s="264"/>
      <c r="AP165" s="264"/>
      <c r="AQ165" s="264"/>
    </row>
    <row r="166" s="184" customFormat="1" ht="17.25" customHeight="1">
      <c r="A166" s="253"/>
      <c r="C166" s="184"/>
      <c r="D166" s="951"/>
      <c r="E166" s="1286"/>
      <c r="F166" s="265"/>
      <c r="G166" s="1287"/>
      <c r="H166" s="951"/>
      <c r="I166" s="951"/>
      <c r="J166" s="1288"/>
      <c r="K166" s="1289"/>
      <c r="L166" s="218"/>
      <c r="M166" s="218"/>
      <c r="N166" s="1278"/>
      <c r="O166" s="320"/>
      <c r="P166" s="218"/>
      <c r="Q166" s="218"/>
      <c r="R166" s="357"/>
      <c r="S166" s="224"/>
      <c r="T166" s="1279"/>
      <c r="U166" s="1280"/>
      <c r="V166" s="1280" t="s">
        <v>409</v>
      </c>
      <c r="W166" s="1281"/>
      <c r="Y166" s="107"/>
      <c r="Z166" s="107"/>
      <c r="AA166" s="107"/>
      <c r="AB166" s="107"/>
      <c r="AC166" s="107"/>
      <c r="AD166" s="107"/>
      <c r="AE166" s="107"/>
      <c r="AF166" s="107"/>
      <c r="AG166" s="107"/>
      <c r="AH166" s="107"/>
      <c r="AI166" s="107"/>
      <c r="AJ166" s="107"/>
      <c r="AK166" s="107"/>
    </row>
    <row r="167" s="184" customFormat="1" ht="17.25" customHeight="1">
      <c r="A167" s="253"/>
      <c r="C167" s="184"/>
      <c r="D167" s="951"/>
      <c r="E167" s="1286"/>
      <c r="F167" s="265"/>
      <c r="G167" s="1287"/>
      <c r="H167" s="951"/>
      <c r="I167" s="951"/>
      <c r="J167" s="1288"/>
      <c r="K167" s="1289"/>
      <c r="L167" s="274"/>
      <c r="M167" s="274"/>
      <c r="N167" s="1284"/>
      <c r="O167" s="220"/>
      <c r="P167" s="1279"/>
      <c r="Q167" s="1280"/>
      <c r="R167" s="1280" t="s">
        <v>410</v>
      </c>
      <c r="S167" s="1285"/>
      <c r="T167" s="1285"/>
      <c r="U167" s="1285"/>
      <c r="V167" s="1285"/>
      <c r="W167" s="1281"/>
      <c r="Y167" s="107"/>
      <c r="Z167" s="107"/>
      <c r="AA167" s="107"/>
      <c r="AB167" s="107"/>
      <c r="AC167" s="107"/>
      <c r="AD167" s="107"/>
      <c r="AE167" s="107"/>
      <c r="AF167" s="107"/>
      <c r="AG167" s="107"/>
      <c r="AH167" s="107"/>
      <c r="AI167" s="107"/>
      <c r="AJ167" s="107"/>
      <c r="AK167" s="107"/>
    </row>
    <row r="168" ht="17.25" customHeight="1">
      <c r="G168" s="273"/>
      <c r="H168" s="273"/>
      <c r="I168" s="273"/>
      <c r="M168" s="63"/>
    </row>
    <row r="169" s="184" customFormat="1" ht="17.25" customHeight="1">
      <c r="A169" s="253"/>
      <c r="C169" s="128"/>
      <c r="D169" s="951"/>
      <c r="E169" s="1286"/>
      <c r="F169" s="265"/>
      <c r="G169" s="1287"/>
      <c r="H169" s="951"/>
      <c r="I169" s="951"/>
      <c r="J169" s="1288"/>
      <c r="K169" s="1289"/>
      <c r="L169" s="1290"/>
      <c r="M169" s="1290"/>
      <c r="N169" s="1291"/>
      <c r="O169" s="320"/>
      <c r="P169" s="218"/>
      <c r="Q169" s="218" t="s">
        <v>106</v>
      </c>
      <c r="R169" s="357" t="s">
        <v>22</v>
      </c>
      <c r="S169" s="224" t="s">
        <v>65</v>
      </c>
      <c r="T169" s="218"/>
      <c r="U169" s="218" t="s">
        <v>106</v>
      </c>
      <c r="V169" s="357" t="s">
        <v>22</v>
      </c>
      <c r="W169" s="387"/>
      <c r="Y169" s="264"/>
      <c r="Z169" s="264"/>
      <c r="AA169" s="264"/>
      <c r="AB169" s="264"/>
      <c r="AC169" s="264"/>
      <c r="AD169" s="264"/>
      <c r="AE169" s="264"/>
      <c r="AF169" s="264"/>
      <c r="AG169" s="264"/>
      <c r="AH169" s="264"/>
      <c r="AI169" s="264"/>
      <c r="AJ169" s="264"/>
      <c r="AK169" s="264"/>
      <c r="AL169" s="62"/>
      <c r="AM169" s="62"/>
      <c r="AN169" s="264"/>
      <c r="AO169" s="264"/>
      <c r="AP169" s="264"/>
      <c r="AQ169" s="264"/>
    </row>
    <row r="170" s="184" customFormat="1" ht="17.25" customHeight="1">
      <c r="A170" s="253"/>
      <c r="C170" s="184"/>
      <c r="D170" s="951"/>
      <c r="E170" s="1286"/>
      <c r="F170" s="265"/>
      <c r="G170" s="1287"/>
      <c r="H170" s="951"/>
      <c r="I170" s="951"/>
      <c r="J170" s="1288"/>
      <c r="K170" s="1289"/>
      <c r="L170" s="1290"/>
      <c r="M170" s="1290"/>
      <c r="N170" s="1291"/>
      <c r="O170" s="320"/>
      <c r="P170" s="218"/>
      <c r="Q170" s="218"/>
      <c r="R170" s="357"/>
      <c r="S170" s="224"/>
      <c r="T170" s="1279"/>
      <c r="U170" s="1280"/>
      <c r="V170" s="1280" t="s">
        <v>409</v>
      </c>
      <c r="W170" s="1281"/>
      <c r="Y170" s="107"/>
      <c r="Z170" s="107"/>
      <c r="AA170" s="107"/>
      <c r="AB170" s="107"/>
      <c r="AC170" s="107"/>
      <c r="AD170" s="107"/>
      <c r="AE170" s="107"/>
      <c r="AF170" s="107"/>
      <c r="AG170" s="107"/>
      <c r="AH170" s="107"/>
      <c r="AI170" s="107"/>
      <c r="AJ170" s="107"/>
      <c r="AK170" s="107"/>
    </row>
    <row r="171" ht="17.25" customHeight="1">
      <c r="G171" s="273"/>
      <c r="H171" s="273"/>
      <c r="I171" s="273"/>
      <c r="M171" s="63"/>
    </row>
    <row r="172" s="184" customFormat="1" ht="17.25" customHeight="1">
      <c r="A172" s="253"/>
      <c r="C172" s="128"/>
      <c r="D172" s="951"/>
      <c r="E172" s="1286"/>
      <c r="F172" s="265"/>
      <c r="G172" s="1287"/>
      <c r="H172" s="1290"/>
      <c r="I172" s="1290"/>
      <c r="J172" s="1292"/>
      <c r="K172" s="1287"/>
      <c r="L172" s="1290"/>
      <c r="M172" s="1290"/>
      <c r="N172" s="1287"/>
      <c r="O172" s="1287"/>
      <c r="P172" s="1290"/>
      <c r="Q172" s="1290"/>
      <c r="R172" s="1293"/>
      <c r="S172" s="1287"/>
      <c r="T172" s="218"/>
      <c r="U172" s="218" t="s">
        <v>106</v>
      </c>
      <c r="V172" s="357" t="s">
        <v>22</v>
      </c>
      <c r="W172" s="387"/>
      <c r="Y172" s="264"/>
      <c r="Z172" s="264"/>
      <c r="AA172" s="264"/>
      <c r="AB172" s="264"/>
      <c r="AC172" s="264"/>
      <c r="AD172" s="264"/>
      <c r="AE172" s="264"/>
      <c r="AF172" s="264"/>
      <c r="AG172" s="264"/>
      <c r="AH172" s="264"/>
      <c r="AI172" s="264"/>
      <c r="AJ172" s="264"/>
      <c r="AK172" s="264"/>
      <c r="AL172" s="62"/>
      <c r="AM172" s="62"/>
      <c r="AN172" s="264"/>
      <c r="AO172" s="264"/>
      <c r="AP172" s="264"/>
      <c r="AQ172" s="264"/>
    </row>
    <row r="174" s="1220" customFormat="1" ht="17.25" customHeight="1">
      <c r="A174" s="1220" t="s">
        <v>1968</v>
      </c>
    </row>
    <row r="175" ht="17.25" customHeight="1">
      <c r="G175" s="273"/>
      <c r="H175" s="273"/>
      <c r="I175" s="273"/>
      <c r="M175" s="63"/>
    </row>
    <row r="176" s="184" customFormat="1" ht="17.25" customHeight="1">
      <c r="A176" s="253"/>
      <c r="C176" s="128"/>
      <c r="D176" s="250"/>
      <c r="E176" s="255"/>
      <c r="F176" s="256"/>
      <c r="G176" s="1277"/>
      <c r="H176" s="250"/>
      <c r="I176" s="250">
        <v>1</v>
      </c>
      <c r="J176" s="387"/>
      <c r="K176" s="314" t="s">
        <v>65</v>
      </c>
      <c r="L176" s="218"/>
      <c r="M176" s="218" t="s">
        <v>106</v>
      </c>
      <c r="N176" s="1278" t="str">
        <f>IF(Z176="","",INDEX(TERRITORY_MR_LIST,MATCH(Z176,TERRITORY_LIST_ID,0)))</f>
        <v/>
      </c>
      <c r="O176" s="314" t="s">
        <v>65</v>
      </c>
      <c r="P176" s="218"/>
      <c r="Q176" s="218" t="s">
        <v>106</v>
      </c>
      <c r="R176" s="357" t="s">
        <v>22</v>
      </c>
      <c r="S176" s="654" t="s">
        <v>19</v>
      </c>
      <c r="T176" s="654"/>
      <c r="U176" s="654" t="s">
        <v>106</v>
      </c>
      <c r="V176" s="1294"/>
      <c r="W176" s="387"/>
      <c r="Y176" s="264"/>
      <c r="Z176" s="264"/>
      <c r="AA176" s="264"/>
      <c r="AB176" s="264"/>
      <c r="AC176" s="264"/>
      <c r="AD176" s="264"/>
      <c r="AE176" s="264"/>
      <c r="AF176" s="264"/>
      <c r="AG176" s="264"/>
      <c r="AH176" s="264"/>
      <c r="AI176" s="264"/>
      <c r="AJ176" s="264"/>
      <c r="AK176" s="264"/>
      <c r="AL176" s="62"/>
      <c r="AM176" s="62"/>
      <c r="AN176" s="264"/>
      <c r="AO176" s="264"/>
      <c r="AP176" s="264"/>
      <c r="AQ176" s="264"/>
    </row>
    <row r="177" s="184" customFormat="1" ht="17.25" customHeight="1">
      <c r="A177" s="253"/>
      <c r="C177" s="184"/>
      <c r="D177" s="250"/>
      <c r="E177" s="255"/>
      <c r="F177" s="265"/>
      <c r="G177" s="1277"/>
      <c r="H177" s="250"/>
      <c r="I177" s="250"/>
      <c r="J177" s="387"/>
      <c r="K177" s="320"/>
      <c r="L177" s="218"/>
      <c r="M177" s="218"/>
      <c r="N177" s="1278"/>
      <c r="O177" s="320"/>
      <c r="P177" s="218"/>
      <c r="Q177" s="218"/>
      <c r="R177" s="357"/>
      <c r="S177" s="654"/>
      <c r="T177" s="1295"/>
      <c r="U177" s="1296"/>
      <c r="V177" s="1296"/>
      <c r="W177" s="387"/>
      <c r="Y177" s="107"/>
      <c r="Z177" s="107"/>
      <c r="AA177" s="107"/>
      <c r="AB177" s="107"/>
      <c r="AC177" s="107"/>
      <c r="AD177" s="107"/>
      <c r="AE177" s="107"/>
      <c r="AF177" s="107"/>
      <c r="AG177" s="107"/>
      <c r="AH177" s="107"/>
      <c r="AI177" s="107"/>
      <c r="AJ177" s="107"/>
      <c r="AK177" s="107"/>
    </row>
    <row r="178" s="184" customFormat="1" ht="17.25" customHeight="1">
      <c r="A178" s="253"/>
      <c r="C178" s="184"/>
      <c r="D178" s="274"/>
      <c r="E178" s="275"/>
      <c r="F178" s="265"/>
      <c r="G178" s="1282"/>
      <c r="H178" s="274"/>
      <c r="I178" s="274"/>
      <c r="J178" s="1283"/>
      <c r="K178" s="320"/>
      <c r="L178" s="274"/>
      <c r="M178" s="274"/>
      <c r="N178" s="1284"/>
      <c r="O178" s="220"/>
      <c r="P178" s="1279"/>
      <c r="Q178" s="1280"/>
      <c r="R178" s="1280" t="s">
        <v>410</v>
      </c>
      <c r="S178" s="1285"/>
      <c r="T178" s="1285"/>
      <c r="U178" s="1285"/>
      <c r="V178" s="1285"/>
      <c r="W178" s="1297"/>
      <c r="Y178" s="107"/>
      <c r="Z178" s="107"/>
      <c r="AA178" s="107"/>
      <c r="AB178" s="107"/>
      <c r="AC178" s="107"/>
      <c r="AD178" s="107"/>
      <c r="AE178" s="107"/>
      <c r="AF178" s="107"/>
      <c r="AG178" s="107"/>
      <c r="AH178" s="107"/>
      <c r="AI178" s="107"/>
      <c r="AJ178" s="107"/>
      <c r="AK178" s="107"/>
    </row>
    <row r="179" s="184" customFormat="1" ht="17.25" customHeight="1">
      <c r="A179" s="253"/>
      <c r="C179" s="184"/>
      <c r="D179" s="274"/>
      <c r="E179" s="275"/>
      <c r="F179" s="265"/>
      <c r="G179" s="1282"/>
      <c r="H179" s="274"/>
      <c r="I179" s="274"/>
      <c r="J179" s="1283"/>
      <c r="K179" s="220"/>
      <c r="L179" s="1279"/>
      <c r="M179" s="1280"/>
      <c r="N179" s="1280" t="s">
        <v>411</v>
      </c>
      <c r="O179" s="1280"/>
      <c r="P179" s="1280"/>
      <c r="Q179" s="1280"/>
      <c r="R179" s="1280"/>
      <c r="S179" s="1285"/>
      <c r="T179" s="1285"/>
      <c r="U179" s="1285"/>
      <c r="V179" s="1285"/>
      <c r="W179" s="1281"/>
      <c r="Y179" s="107"/>
      <c r="Z179" s="107"/>
      <c r="AA179" s="107"/>
      <c r="AB179" s="107"/>
      <c r="AC179" s="107"/>
      <c r="AD179" s="107"/>
      <c r="AE179" s="107"/>
      <c r="AF179" s="107"/>
      <c r="AG179" s="107"/>
      <c r="AH179" s="107"/>
      <c r="AI179" s="107"/>
      <c r="AJ179" s="107"/>
      <c r="AK179" s="107"/>
    </row>
    <row r="180" s="184" customFormat="1" ht="17.25" customHeight="1">
      <c r="A180" s="253"/>
      <c r="C180" s="184"/>
      <c r="D180" s="274"/>
      <c r="E180" s="275"/>
      <c r="F180" s="276"/>
      <c r="G180" s="1282"/>
      <c r="H180" s="1279"/>
      <c r="I180" s="1280"/>
      <c r="J180" s="1280" t="s">
        <v>443</v>
      </c>
      <c r="K180" s="1280"/>
      <c r="L180" s="1280"/>
      <c r="M180" s="1280"/>
      <c r="N180" s="1280"/>
      <c r="O180" s="1280"/>
      <c r="P180" s="1280"/>
      <c r="Q180" s="1280"/>
      <c r="R180" s="1280"/>
      <c r="S180" s="1285"/>
      <c r="T180" s="1285"/>
      <c r="U180" s="1285"/>
      <c r="V180" s="1285"/>
      <c r="W180" s="1281"/>
      <c r="Y180" s="107"/>
      <c r="Z180" s="107"/>
      <c r="AA180" s="107"/>
      <c r="AB180" s="107"/>
      <c r="AC180" s="107"/>
      <c r="AD180" s="107"/>
      <c r="AE180" s="107"/>
      <c r="AF180" s="107"/>
      <c r="AG180" s="107"/>
      <c r="AH180" s="107"/>
      <c r="AI180" s="107"/>
      <c r="AJ180" s="107"/>
      <c r="AK180" s="107"/>
    </row>
    <row r="181" ht="17.25" customHeight="1">
      <c r="A181" s="63"/>
    </row>
    <row r="182" s="184" customFormat="1" ht="17.25" customHeight="1">
      <c r="A182" s="253"/>
      <c r="C182" s="128"/>
      <c r="D182" s="951"/>
      <c r="E182" s="1286"/>
      <c r="F182" s="265"/>
      <c r="G182" s="1287"/>
      <c r="H182" s="250"/>
      <c r="I182" s="250">
        <v>1</v>
      </c>
      <c r="J182" s="387"/>
      <c r="K182" s="314" t="s">
        <v>65</v>
      </c>
      <c r="L182" s="218"/>
      <c r="M182" s="218" t="s">
        <v>106</v>
      </c>
      <c r="N182" s="1278" t="str">
        <f>IF(Z182="","",INDEX(TERRITORY_MR_LIST,MATCH(Z182,TERRITORY_LIST_ID,0)))</f>
        <v/>
      </c>
      <c r="O182" s="314" t="s">
        <v>65</v>
      </c>
      <c r="P182" s="218"/>
      <c r="Q182" s="218" t="s">
        <v>106</v>
      </c>
      <c r="R182" s="357" t="s">
        <v>22</v>
      </c>
      <c r="S182" s="654" t="s">
        <v>19</v>
      </c>
      <c r="T182" s="654"/>
      <c r="U182" s="654" t="s">
        <v>106</v>
      </c>
      <c r="V182" s="1294"/>
      <c r="W182" s="387"/>
      <c r="Y182" s="264"/>
      <c r="Z182" s="264"/>
      <c r="AA182" s="264"/>
      <c r="AB182" s="264"/>
      <c r="AC182" s="264"/>
      <c r="AD182" s="264"/>
      <c r="AE182" s="264"/>
      <c r="AF182" s="264"/>
      <c r="AG182" s="264"/>
      <c r="AH182" s="264"/>
      <c r="AI182" s="264"/>
      <c r="AJ182" s="264"/>
      <c r="AK182" s="264"/>
      <c r="AL182" s="62"/>
      <c r="AM182" s="62"/>
      <c r="AN182" s="264"/>
      <c r="AO182" s="264"/>
      <c r="AP182" s="264"/>
      <c r="AQ182" s="264"/>
    </row>
    <row r="183" s="184" customFormat="1" ht="17.25" customHeight="1">
      <c r="A183" s="253"/>
      <c r="C183" s="184"/>
      <c r="D183" s="951"/>
      <c r="E183" s="1286"/>
      <c r="F183" s="265"/>
      <c r="G183" s="1287"/>
      <c r="H183" s="250"/>
      <c r="I183" s="250"/>
      <c r="J183" s="387"/>
      <c r="K183" s="320"/>
      <c r="L183" s="218"/>
      <c r="M183" s="218"/>
      <c r="N183" s="1278"/>
      <c r="O183" s="320"/>
      <c r="P183" s="218"/>
      <c r="Q183" s="218"/>
      <c r="R183" s="357"/>
      <c r="S183" s="654"/>
      <c r="T183" s="1295"/>
      <c r="U183" s="1296"/>
      <c r="V183" s="1296"/>
      <c r="W183" s="387"/>
      <c r="Y183" s="107"/>
      <c r="Z183" s="107"/>
      <c r="AA183" s="107"/>
      <c r="AB183" s="107"/>
      <c r="AC183" s="107"/>
      <c r="AD183" s="107"/>
      <c r="AE183" s="107"/>
      <c r="AF183" s="107"/>
      <c r="AG183" s="107"/>
      <c r="AH183" s="107"/>
      <c r="AI183" s="107"/>
      <c r="AJ183" s="107"/>
      <c r="AK183" s="107"/>
    </row>
    <row r="184" s="184" customFormat="1" ht="17.25" customHeight="1">
      <c r="A184" s="253"/>
      <c r="C184" s="184"/>
      <c r="D184" s="951"/>
      <c r="E184" s="1286"/>
      <c r="F184" s="265"/>
      <c r="G184" s="1287"/>
      <c r="H184" s="274"/>
      <c r="I184" s="274"/>
      <c r="J184" s="1283"/>
      <c r="K184" s="320"/>
      <c r="L184" s="274"/>
      <c r="M184" s="274"/>
      <c r="N184" s="1284"/>
      <c r="O184" s="220"/>
      <c r="P184" s="1279"/>
      <c r="Q184" s="1280"/>
      <c r="R184" s="1280" t="s">
        <v>410</v>
      </c>
      <c r="S184" s="1285"/>
      <c r="T184" s="1285"/>
      <c r="U184" s="1285"/>
      <c r="V184" s="1285"/>
      <c r="W184" s="1297"/>
      <c r="Y184" s="107"/>
      <c r="Z184" s="107"/>
      <c r="AA184" s="107"/>
      <c r="AB184" s="107"/>
      <c r="AC184" s="107"/>
      <c r="AD184" s="107"/>
      <c r="AE184" s="107"/>
      <c r="AF184" s="107"/>
      <c r="AG184" s="107"/>
      <c r="AH184" s="107"/>
      <c r="AI184" s="107"/>
      <c r="AJ184" s="107"/>
      <c r="AK184" s="107"/>
    </row>
    <row r="185" s="184" customFormat="1" ht="17.25" customHeight="1">
      <c r="A185" s="253"/>
      <c r="C185" s="184"/>
      <c r="D185" s="951"/>
      <c r="E185" s="1286"/>
      <c r="F185" s="265"/>
      <c r="G185" s="1287"/>
      <c r="H185" s="274"/>
      <c r="I185" s="274"/>
      <c r="J185" s="1283"/>
      <c r="K185" s="220"/>
      <c r="L185" s="1279"/>
      <c r="M185" s="1280"/>
      <c r="N185" s="1280" t="s">
        <v>411</v>
      </c>
      <c r="O185" s="1280"/>
      <c r="P185" s="1280"/>
      <c r="Q185" s="1280"/>
      <c r="R185" s="1280"/>
      <c r="S185" s="1285"/>
      <c r="T185" s="1285"/>
      <c r="U185" s="1285"/>
      <c r="V185" s="1285"/>
      <c r="W185" s="1281"/>
      <c r="Y185" s="107"/>
      <c r="Z185" s="107"/>
      <c r="AA185" s="107"/>
      <c r="AB185" s="107"/>
      <c r="AC185" s="107"/>
      <c r="AD185" s="107"/>
      <c r="AE185" s="107"/>
      <c r="AF185" s="107"/>
      <c r="AG185" s="107"/>
      <c r="AH185" s="107"/>
      <c r="AI185" s="107"/>
      <c r="AJ185" s="107"/>
      <c r="AK185" s="107"/>
    </row>
    <row r="186" ht="17.25" customHeight="1">
      <c r="A186" s="63"/>
    </row>
    <row r="187" s="184" customFormat="1" ht="17.25" customHeight="1">
      <c r="A187" s="253"/>
      <c r="C187" s="128"/>
      <c r="D187" s="951"/>
      <c r="E187" s="1286"/>
      <c r="F187" s="265"/>
      <c r="G187" s="1287"/>
      <c r="H187" s="951"/>
      <c r="I187" s="951"/>
      <c r="J187" s="1298"/>
      <c r="K187" s="1287"/>
      <c r="L187" s="218"/>
      <c r="M187" s="218" t="s">
        <v>106</v>
      </c>
      <c r="N187" s="1278" t="str">
        <f>IF(Z187="","",INDEX(TERRITORY_MR_LIST,MATCH(Z187,TERRITORY_LIST_ID,0)))</f>
        <v/>
      </c>
      <c r="O187" s="314" t="s">
        <v>65</v>
      </c>
      <c r="P187" s="218"/>
      <c r="Q187" s="218" t="s">
        <v>106</v>
      </c>
      <c r="R187" s="357" t="s">
        <v>22</v>
      </c>
      <c r="S187" s="654" t="s">
        <v>19</v>
      </c>
      <c r="T187" s="654"/>
      <c r="U187" s="654" t="s">
        <v>106</v>
      </c>
      <c r="V187" s="1294"/>
      <c r="W187" s="387"/>
      <c r="Y187" s="264"/>
      <c r="Z187" s="264"/>
      <c r="AA187" s="264"/>
      <c r="AB187" s="264"/>
      <c r="AC187" s="264"/>
      <c r="AD187" s="264"/>
      <c r="AE187" s="264"/>
      <c r="AF187" s="264"/>
      <c r="AG187" s="264"/>
      <c r="AH187" s="264"/>
      <c r="AI187" s="264"/>
      <c r="AJ187" s="264"/>
      <c r="AK187" s="264"/>
      <c r="AL187" s="62"/>
      <c r="AM187" s="62"/>
      <c r="AN187" s="264"/>
      <c r="AO187" s="264"/>
      <c r="AP187" s="264"/>
      <c r="AQ187" s="264"/>
    </row>
    <row r="188" s="184" customFormat="1" ht="17.25" customHeight="1">
      <c r="A188" s="253"/>
      <c r="C188" s="184"/>
      <c r="D188" s="951"/>
      <c r="E188" s="1286"/>
      <c r="F188" s="265"/>
      <c r="G188" s="1287"/>
      <c r="H188" s="951"/>
      <c r="I188" s="951"/>
      <c r="J188" s="1298"/>
      <c r="K188" s="1287"/>
      <c r="L188" s="218"/>
      <c r="M188" s="218"/>
      <c r="N188" s="1278"/>
      <c r="O188" s="320"/>
      <c r="P188" s="218"/>
      <c r="Q188" s="218"/>
      <c r="R188" s="357"/>
      <c r="S188" s="654"/>
      <c r="T188" s="1295"/>
      <c r="U188" s="1296"/>
      <c r="V188" s="1296"/>
      <c r="W188" s="387"/>
      <c r="Y188" s="107"/>
      <c r="Z188" s="107"/>
      <c r="AA188" s="107"/>
      <c r="AB188" s="107"/>
      <c r="AC188" s="107"/>
      <c r="AD188" s="107"/>
      <c r="AE188" s="107"/>
      <c r="AF188" s="107"/>
      <c r="AG188" s="107"/>
      <c r="AH188" s="107"/>
      <c r="AI188" s="107"/>
      <c r="AJ188" s="107"/>
      <c r="AK188" s="107"/>
    </row>
    <row r="189" s="184" customFormat="1" ht="17.25" customHeight="1">
      <c r="A189" s="253"/>
      <c r="C189" s="184"/>
      <c r="D189" s="951"/>
      <c r="E189" s="1286"/>
      <c r="F189" s="265"/>
      <c r="G189" s="1287"/>
      <c r="H189" s="951"/>
      <c r="I189" s="951"/>
      <c r="J189" s="1298"/>
      <c r="K189" s="1287"/>
      <c r="L189" s="274"/>
      <c r="M189" s="274"/>
      <c r="N189" s="1284"/>
      <c r="O189" s="220"/>
      <c r="P189" s="1279"/>
      <c r="Q189" s="1280"/>
      <c r="R189" s="1280" t="s">
        <v>410</v>
      </c>
      <c r="S189" s="1285"/>
      <c r="T189" s="1285"/>
      <c r="U189" s="1285"/>
      <c r="V189" s="1285"/>
      <c r="W189" s="1297"/>
      <c r="Y189" s="107"/>
      <c r="Z189" s="107"/>
      <c r="AA189" s="107"/>
      <c r="AB189" s="107"/>
      <c r="AC189" s="107"/>
      <c r="AD189" s="107"/>
      <c r="AE189" s="107"/>
      <c r="AF189" s="107"/>
      <c r="AG189" s="107"/>
      <c r="AH189" s="107"/>
      <c r="AI189" s="107"/>
      <c r="AJ189" s="107"/>
      <c r="AK189" s="107"/>
    </row>
    <row r="190" ht="17.25" customHeight="1">
      <c r="A190" s="63"/>
    </row>
    <row r="191" s="184" customFormat="1" ht="17.25" customHeight="1">
      <c r="A191" s="253"/>
      <c r="C191" s="128"/>
      <c r="D191" s="951"/>
      <c r="E191" s="1286"/>
      <c r="F191" s="265"/>
      <c r="G191" s="1287"/>
      <c r="H191" s="951"/>
      <c r="I191" s="951"/>
      <c r="J191" s="1298"/>
      <c r="K191" s="1287"/>
      <c r="L191" s="951"/>
      <c r="M191" s="951"/>
      <c r="N191" s="1291"/>
      <c r="O191" s="320"/>
      <c r="P191" s="218"/>
      <c r="Q191" s="218" t="s">
        <v>106</v>
      </c>
      <c r="R191" s="357" t="s">
        <v>22</v>
      </c>
      <c r="S191" s="654" t="s">
        <v>19</v>
      </c>
      <c r="T191" s="654"/>
      <c r="U191" s="654" t="s">
        <v>106</v>
      </c>
      <c r="V191" s="1294"/>
      <c r="W191" s="387"/>
      <c r="Y191" s="264"/>
      <c r="Z191" s="264"/>
      <c r="AA191" s="264"/>
      <c r="AB191" s="264"/>
      <c r="AC191" s="264"/>
      <c r="AD191" s="264"/>
      <c r="AE191" s="264"/>
      <c r="AF191" s="264"/>
      <c r="AG191" s="264"/>
      <c r="AH191" s="264"/>
      <c r="AI191" s="264"/>
      <c r="AJ191" s="264"/>
      <c r="AK191" s="264"/>
      <c r="AL191" s="62"/>
      <c r="AM191" s="62"/>
      <c r="AN191" s="264"/>
      <c r="AO191" s="264"/>
      <c r="AP191" s="264"/>
      <c r="AQ191" s="264"/>
    </row>
    <row r="192" s="184" customFormat="1" ht="17.25" customHeight="1">
      <c r="A192" s="253"/>
      <c r="C192" s="184"/>
      <c r="D192" s="951"/>
      <c r="E192" s="1286"/>
      <c r="F192" s="265"/>
      <c r="G192" s="1287"/>
      <c r="H192" s="951"/>
      <c r="I192" s="951"/>
      <c r="J192" s="1298"/>
      <c r="K192" s="1287"/>
      <c r="L192" s="951"/>
      <c r="M192" s="951"/>
      <c r="N192" s="1291"/>
      <c r="O192" s="320"/>
      <c r="P192" s="218"/>
      <c r="Q192" s="218"/>
      <c r="R192" s="357"/>
      <c r="S192" s="654"/>
      <c r="T192" s="1295"/>
      <c r="U192" s="1296"/>
      <c r="V192" s="1296"/>
      <c r="W192" s="387"/>
      <c r="Y192" s="107"/>
      <c r="Z192" s="107"/>
      <c r="AA192" s="107"/>
      <c r="AB192" s="107"/>
      <c r="AC192" s="107"/>
      <c r="AD192" s="107"/>
      <c r="AE192" s="107"/>
      <c r="AF192" s="107"/>
      <c r="AG192" s="107"/>
      <c r="AH192" s="107"/>
      <c r="AI192" s="107"/>
      <c r="AJ192" s="107"/>
      <c r="AK192" s="107"/>
    </row>
    <row r="193" ht="17.25" customHeight="1">
      <c r="A193" s="63"/>
    </row>
    <row r="194" ht="16.5" customHeight="1">
      <c r="A194" s="253"/>
      <c r="B194" s="184"/>
      <c r="C194" s="184"/>
      <c r="D194" s="250"/>
      <c r="E194" s="313"/>
      <c r="F194" s="313"/>
      <c r="G194" s="157"/>
      <c r="H194" s="257"/>
      <c r="I194" s="258"/>
      <c r="J194" s="259"/>
      <c r="K194" s="260"/>
      <c r="L194" s="260"/>
      <c r="M194" s="260"/>
      <c r="N194" s="261"/>
      <c r="O194" s="260"/>
      <c r="P194" s="260"/>
      <c r="Q194" s="260"/>
      <c r="R194" s="262"/>
      <c r="S194" s="260"/>
      <c r="T194" s="260"/>
      <c r="U194" s="260"/>
      <c r="V194" s="262"/>
      <c r="W194" s="263"/>
    </row>
    <row r="195" ht="16.5" customHeight="1">
      <c r="A195" s="253"/>
      <c r="B195" s="184"/>
      <c r="C195" s="184"/>
      <c r="D195" s="250"/>
      <c r="E195" s="313"/>
      <c r="F195" s="313"/>
      <c r="G195" s="157"/>
      <c r="H195" s="266"/>
      <c r="I195" s="267"/>
      <c r="J195" s="268"/>
      <c r="K195" s="125"/>
      <c r="L195" s="125"/>
      <c r="M195" s="125"/>
      <c r="N195" s="269"/>
      <c r="O195" s="125"/>
      <c r="P195" s="125"/>
      <c r="Q195" s="125"/>
      <c r="R195" s="270"/>
      <c r="S195" s="125"/>
      <c r="T195" s="271"/>
      <c r="U195" s="271"/>
      <c r="V195" s="271"/>
      <c r="W195" s="272"/>
    </row>
    <row r="196" ht="17.25" customHeight="1">
      <c r="A196" s="253"/>
      <c r="B196" s="184"/>
      <c r="C196" s="184"/>
      <c r="D196" s="250"/>
      <c r="E196" s="313"/>
      <c r="F196" s="313"/>
      <c r="G196" s="157"/>
      <c r="H196" s="266"/>
      <c r="I196" s="267"/>
      <c r="J196" s="273"/>
      <c r="K196" s="125"/>
      <c r="L196" s="125"/>
      <c r="M196" s="125"/>
      <c r="N196" s="270"/>
      <c r="O196" s="125"/>
      <c r="P196" s="125"/>
      <c r="Q196" s="271"/>
      <c r="R196" s="271"/>
      <c r="S196" s="184"/>
      <c r="T196" s="184"/>
      <c r="U196" s="184"/>
      <c r="V196" s="184"/>
      <c r="W196" s="272"/>
    </row>
    <row r="197" ht="17.25" customHeight="1">
      <c r="A197" s="253"/>
      <c r="B197" s="184"/>
      <c r="C197" s="184"/>
      <c r="D197" s="250"/>
      <c r="E197" s="313"/>
      <c r="F197" s="313"/>
      <c r="G197" s="157"/>
      <c r="H197" s="266"/>
      <c r="I197" s="267"/>
      <c r="J197" s="273"/>
      <c r="K197" s="125"/>
      <c r="L197" s="271"/>
      <c r="M197" s="271"/>
      <c r="N197" s="271"/>
      <c r="O197" s="271"/>
      <c r="P197" s="271"/>
      <c r="Q197" s="271"/>
      <c r="R197" s="271"/>
      <c r="S197" s="184"/>
      <c r="T197" s="184"/>
      <c r="U197" s="184"/>
      <c r="V197" s="184"/>
      <c r="W197" s="272"/>
    </row>
    <row r="198" ht="17.25" customHeight="1">
      <c r="A198" s="253"/>
      <c r="B198" s="184"/>
      <c r="C198" s="184"/>
      <c r="D198" s="250"/>
      <c r="E198" s="313"/>
      <c r="F198" s="313"/>
      <c r="G198" s="157"/>
      <c r="H198" s="277"/>
      <c r="I198" s="278"/>
      <c r="J198" s="278"/>
      <c r="K198" s="278"/>
      <c r="L198" s="278"/>
      <c r="M198" s="278"/>
      <c r="N198" s="278"/>
      <c r="O198" s="278"/>
      <c r="P198" s="278"/>
      <c r="Q198" s="278"/>
      <c r="R198" s="278"/>
      <c r="S198" s="279"/>
      <c r="T198" s="279"/>
      <c r="U198" s="279"/>
      <c r="V198" s="279"/>
      <c r="W198" s="280"/>
    </row>
    <row r="200" s="1220" customFormat="1" ht="17.25" customHeight="1">
      <c r="A200" s="1220" t="s">
        <v>1969</v>
      </c>
    </row>
    <row r="201" ht="17.25" customHeight="1">
      <c r="G201" s="273"/>
      <c r="H201" s="273"/>
      <c r="I201" s="273"/>
      <c r="M201" s="63"/>
    </row>
    <row r="202" s="63" customFormat="1" ht="15" customHeight="1">
      <c r="D202" s="1299"/>
      <c r="E202" s="306"/>
      <c r="F202" s="306"/>
      <c r="G202" s="314"/>
      <c r="H202" s="1300"/>
      <c r="I202" s="1301">
        <v>1</v>
      </c>
      <c r="J202" s="387"/>
      <c r="K202" s="1213"/>
      <c r="L202" s="314" t="s">
        <v>65</v>
      </c>
      <c r="M202" s="314" t="s">
        <v>65</v>
      </c>
      <c r="N202" s="1300"/>
      <c r="O202" s="218" t="s">
        <v>106</v>
      </c>
      <c r="P202" s="448"/>
      <c r="Q202" s="1213"/>
      <c r="R202" s="314" t="s">
        <v>65</v>
      </c>
      <c r="S202" s="314" t="s">
        <v>65</v>
      </c>
      <c r="T202" s="1302"/>
      <c r="U202" s="218" t="s">
        <v>106</v>
      </c>
      <c r="V202" s="1303" t="str">
        <f>IF(AK202="","",INDEX(TERRITORY_MR_LIST,MATCH(AK202,TERRITORY_LIST_ID,0)))</f>
        <v/>
      </c>
      <c r="W202" s="225"/>
      <c r="X202" s="314" t="s">
        <v>65</v>
      </c>
      <c r="Y202" s="314" t="s">
        <v>19</v>
      </c>
      <c r="Z202" s="1300"/>
      <c r="AA202" s="218" t="s">
        <v>106</v>
      </c>
      <c r="AB202" s="1304"/>
      <c r="AC202" s="328"/>
      <c r="AD202" s="314" t="s">
        <v>65</v>
      </c>
      <c r="AE202" s="314" t="s">
        <v>19</v>
      </c>
      <c r="AF202" s="225"/>
      <c r="AG202" s="218" t="s">
        <v>106</v>
      </c>
      <c r="AH202" s="1249"/>
      <c r="AI202" s="387"/>
    </row>
    <row r="203" s="63" customFormat="1" ht="15" customHeight="1">
      <c r="D203" s="1299"/>
      <c r="E203" s="306"/>
      <c r="F203" s="306"/>
      <c r="G203" s="320"/>
      <c r="H203" s="1300"/>
      <c r="I203" s="1301"/>
      <c r="J203" s="387"/>
      <c r="K203" s="1305"/>
      <c r="L203" s="320"/>
      <c r="M203" s="320"/>
      <c r="N203" s="1300"/>
      <c r="O203" s="218"/>
      <c r="P203" s="448"/>
      <c r="Q203" s="1306"/>
      <c r="R203" s="320"/>
      <c r="S203" s="320"/>
      <c r="T203" s="1302"/>
      <c r="U203" s="218"/>
      <c r="V203" s="1307"/>
      <c r="W203" s="1255"/>
      <c r="X203" s="320"/>
      <c r="Y203" s="320"/>
      <c r="Z203" s="1300"/>
      <c r="AA203" s="218"/>
      <c r="AB203" s="1201"/>
      <c r="AC203" s="795"/>
      <c r="AD203" s="220"/>
      <c r="AE203" s="220"/>
      <c r="AF203" s="1308"/>
      <c r="AG203" s="1279"/>
      <c r="AH203" s="1280" t="s">
        <v>1970</v>
      </c>
      <c r="AI203" s="1281"/>
    </row>
    <row r="204" s="63" customFormat="1" ht="15" customHeight="1">
      <c r="D204" s="1299"/>
      <c r="E204" s="306"/>
      <c r="F204" s="306"/>
      <c r="G204" s="320"/>
      <c r="H204" s="1300"/>
      <c r="I204" s="1301"/>
      <c r="J204" s="387"/>
      <c r="K204" s="1305"/>
      <c r="L204" s="320"/>
      <c r="M204" s="320"/>
      <c r="N204" s="1300"/>
      <c r="O204" s="218"/>
      <c r="P204" s="448"/>
      <c r="Q204" s="1306"/>
      <c r="R204" s="320"/>
      <c r="S204" s="320"/>
      <c r="T204" s="1302"/>
      <c r="U204" s="218"/>
      <c r="V204" s="1307"/>
      <c r="W204" s="1255"/>
      <c r="X204" s="320"/>
      <c r="Y204" s="320"/>
      <c r="Z204" s="1255"/>
      <c r="AA204" s="1309"/>
      <c r="AB204" s="1310" t="s">
        <v>1971</v>
      </c>
      <c r="AC204" s="1310"/>
      <c r="AD204" s="1310"/>
      <c r="AE204" s="1310"/>
      <c r="AF204" s="1310"/>
      <c r="AG204" s="1310"/>
      <c r="AH204" s="1310"/>
      <c r="AI204" s="1311"/>
    </row>
    <row r="205" s="63" customFormat="1" ht="15" customHeight="1">
      <c r="D205" s="1299"/>
      <c r="E205" s="306"/>
      <c r="F205" s="306"/>
      <c r="G205" s="320"/>
      <c r="H205" s="1300"/>
      <c r="I205" s="1301"/>
      <c r="J205" s="387"/>
      <c r="K205" s="1305"/>
      <c r="L205" s="320"/>
      <c r="M205" s="320"/>
      <c r="N205" s="1300"/>
      <c r="O205" s="218"/>
      <c r="P205" s="1312"/>
      <c r="Q205" s="1306"/>
      <c r="R205" s="320"/>
      <c r="S205" s="320"/>
      <c r="T205" s="1313"/>
      <c r="U205" s="1314"/>
      <c r="V205" s="1280" t="s">
        <v>100</v>
      </c>
      <c r="W205" s="1280"/>
      <c r="X205" s="1280"/>
      <c r="Y205" s="1280"/>
      <c r="Z205" s="1280"/>
      <c r="AA205" s="1280"/>
      <c r="AB205" s="1280"/>
      <c r="AC205" s="1280"/>
      <c r="AD205" s="1280"/>
      <c r="AE205" s="1280"/>
      <c r="AF205" s="1280"/>
      <c r="AG205" s="1280"/>
      <c r="AH205" s="1280"/>
      <c r="AI205" s="1281"/>
    </row>
    <row r="206" s="63" customFormat="1" ht="11.25" customHeight="1">
      <c r="D206" s="1299"/>
      <c r="E206" s="306"/>
      <c r="F206" s="306"/>
      <c r="G206" s="320"/>
      <c r="H206" s="1290"/>
      <c r="I206" s="1301"/>
      <c r="J206" s="1315"/>
      <c r="K206" s="1305"/>
      <c r="L206" s="320"/>
      <c r="M206" s="320"/>
      <c r="N206" s="1290"/>
      <c r="O206" s="1309"/>
      <c r="P206" s="1280" t="s">
        <v>1972</v>
      </c>
      <c r="Q206" s="1280"/>
      <c r="R206" s="1280"/>
      <c r="S206" s="1280"/>
      <c r="T206" s="1280"/>
      <c r="U206" s="1280"/>
      <c r="V206" s="1280"/>
      <c r="W206" s="1280"/>
      <c r="X206" s="1280"/>
      <c r="Y206" s="1280"/>
      <c r="Z206" s="1280"/>
      <c r="AA206" s="1280"/>
      <c r="AB206" s="1280"/>
      <c r="AC206" s="1280"/>
      <c r="AD206" s="1280"/>
      <c r="AE206" s="1280"/>
      <c r="AF206" s="1280"/>
      <c r="AG206" s="1280"/>
      <c r="AH206" s="1280"/>
      <c r="AI206" s="1281"/>
    </row>
    <row r="207" s="297" customFormat="1" ht="11.25" customHeight="1">
      <c r="D207" s="1299"/>
      <c r="E207" s="306"/>
      <c r="F207" s="306"/>
      <c r="G207" s="220"/>
      <c r="H207" s="1316"/>
      <c r="I207" s="1317"/>
      <c r="J207" s="1280" t="s">
        <v>443</v>
      </c>
      <c r="K207" s="1280"/>
      <c r="L207" s="1280"/>
      <c r="M207" s="1280"/>
      <c r="N207" s="1280"/>
      <c r="O207" s="1280"/>
      <c r="P207" s="1280"/>
      <c r="Q207" s="1280"/>
      <c r="R207" s="1280"/>
      <c r="S207" s="1280"/>
      <c r="T207" s="1280"/>
      <c r="U207" s="1280"/>
      <c r="V207" s="1280"/>
      <c r="W207" s="1280"/>
      <c r="X207" s="1280"/>
      <c r="Y207" s="1280"/>
      <c r="Z207" s="1280"/>
      <c r="AA207" s="1280"/>
      <c r="AB207" s="1280"/>
      <c r="AC207" s="1280"/>
      <c r="AD207" s="1280"/>
      <c r="AE207" s="1280"/>
      <c r="AF207" s="1280"/>
      <c r="AG207" s="1280"/>
      <c r="AH207" s="1280"/>
      <c r="AI207" s="1281"/>
      <c r="BK207" s="63"/>
    </row>
    <row r="208" ht="17.25" customHeight="1">
      <c r="G208" s="273"/>
      <c r="I208" s="273"/>
      <c r="J208" s="273"/>
      <c r="N208" s="63"/>
    </row>
    <row r="209" s="63" customFormat="1" ht="15" customHeight="1">
      <c r="D209" s="1299"/>
      <c r="E209" s="306"/>
      <c r="F209" s="306"/>
      <c r="G209" s="313"/>
      <c r="H209" s="315"/>
      <c r="I209" s="316"/>
      <c r="J209" s="259"/>
      <c r="K209" s="259"/>
      <c r="L209" s="260"/>
      <c r="M209" s="260"/>
      <c r="N209" s="317"/>
      <c r="O209" s="260"/>
      <c r="P209" s="259"/>
      <c r="Q209" s="259"/>
      <c r="R209" s="260"/>
      <c r="S209" s="260"/>
      <c r="T209" s="318"/>
      <c r="U209" s="260"/>
      <c r="V209" s="259"/>
      <c r="W209" s="260"/>
      <c r="X209" s="260"/>
      <c r="Y209" s="260"/>
      <c r="Z209" s="317"/>
      <c r="AA209" s="260"/>
      <c r="AB209" s="259"/>
      <c r="AC209" s="319"/>
      <c r="AD209" s="260"/>
      <c r="AE209" s="260"/>
      <c r="AF209" s="260"/>
      <c r="AG209" s="260"/>
      <c r="AH209" s="317"/>
      <c r="AI209" s="263"/>
    </row>
    <row r="210" s="63" customFormat="1" ht="15" customHeight="1">
      <c r="D210" s="1299"/>
      <c r="E210" s="306"/>
      <c r="F210" s="306"/>
      <c r="G210" s="313"/>
      <c r="H210" s="321"/>
      <c r="I210" s="322"/>
      <c r="J210" s="268"/>
      <c r="K210" s="86"/>
      <c r="L210" s="125"/>
      <c r="M210" s="125"/>
      <c r="N210" s="60"/>
      <c r="O210" s="125"/>
      <c r="P210" s="268"/>
      <c r="Q210" s="268"/>
      <c r="R210" s="125"/>
      <c r="S210" s="125"/>
      <c r="T210" s="323"/>
      <c r="U210" s="125"/>
      <c r="V210" s="268"/>
      <c r="W210" s="125"/>
      <c r="X210" s="125"/>
      <c r="Y210" s="125"/>
      <c r="Z210" s="60"/>
      <c r="AA210" s="125"/>
      <c r="AB210" s="268"/>
      <c r="AC210" s="86"/>
      <c r="AD210" s="125"/>
      <c r="AE210" s="125"/>
      <c r="AF210" s="271"/>
      <c r="AG210" s="271"/>
      <c r="AH210" s="271"/>
      <c r="AI210" s="272"/>
    </row>
    <row r="211" s="63" customFormat="1" ht="15" customHeight="1">
      <c r="D211" s="1299"/>
      <c r="E211" s="306"/>
      <c r="F211" s="306"/>
      <c r="G211" s="313"/>
      <c r="H211" s="321"/>
      <c r="I211" s="322"/>
      <c r="J211" s="268"/>
      <c r="K211" s="86"/>
      <c r="L211" s="125"/>
      <c r="M211" s="125"/>
      <c r="N211" s="60"/>
      <c r="O211" s="125"/>
      <c r="P211" s="268"/>
      <c r="Q211" s="268"/>
      <c r="R211" s="125"/>
      <c r="S211" s="125"/>
      <c r="T211" s="323"/>
      <c r="U211" s="125"/>
      <c r="V211" s="268"/>
      <c r="W211" s="125"/>
      <c r="X211" s="125"/>
      <c r="Y211" s="125"/>
      <c r="Z211" s="125"/>
      <c r="AA211" s="271"/>
      <c r="AB211" s="271"/>
      <c r="AC211" s="271"/>
      <c r="AD211" s="271"/>
      <c r="AE211" s="271"/>
      <c r="AF211" s="271"/>
      <c r="AG211" s="271"/>
      <c r="AH211" s="271"/>
      <c r="AI211" s="272"/>
    </row>
    <row r="212" s="63" customFormat="1" ht="15" customHeight="1">
      <c r="D212" s="1299"/>
      <c r="E212" s="306"/>
      <c r="F212" s="306"/>
      <c r="G212" s="313"/>
      <c r="H212" s="321"/>
      <c r="I212" s="322"/>
      <c r="J212" s="268"/>
      <c r="K212" s="86"/>
      <c r="L212" s="125"/>
      <c r="M212" s="125"/>
      <c r="N212" s="60"/>
      <c r="O212" s="125"/>
      <c r="P212" s="268"/>
      <c r="Q212" s="268"/>
      <c r="R212" s="125"/>
      <c r="S212" s="125"/>
      <c r="T212" s="324"/>
      <c r="U212" s="325"/>
      <c r="V212" s="271"/>
      <c r="W212" s="271"/>
      <c r="X212" s="271"/>
      <c r="Y212" s="271"/>
      <c r="Z212" s="271"/>
      <c r="AA212" s="271"/>
      <c r="AB212" s="271"/>
      <c r="AC212" s="271"/>
      <c r="AD212" s="271"/>
      <c r="AE212" s="271"/>
      <c r="AF212" s="271"/>
      <c r="AG212" s="271"/>
      <c r="AH212" s="271"/>
      <c r="AI212" s="272"/>
    </row>
    <row r="213" s="63" customFormat="1" ht="11.25" customHeight="1">
      <c r="D213" s="1299"/>
      <c r="E213" s="306"/>
      <c r="F213" s="306"/>
      <c r="G213" s="313"/>
      <c r="H213" s="326"/>
      <c r="I213" s="322"/>
      <c r="J213" s="268"/>
      <c r="K213" s="86"/>
      <c r="L213" s="125"/>
      <c r="M213" s="125"/>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2"/>
    </row>
    <row r="214" s="297" customFormat="1" ht="11.25" customHeight="1">
      <c r="D214" s="1299"/>
      <c r="E214" s="306"/>
      <c r="F214" s="306"/>
      <c r="G214" s="332"/>
      <c r="H214" s="330"/>
      <c r="I214" s="331"/>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80"/>
      <c r="BK214" s="63"/>
    </row>
    <row r="215" ht="17.25" customHeight="1">
      <c r="A215" s="63"/>
    </row>
  </sheetData>
  <sheetProtection autoFilter="0" deleteColumns="1" deleteRows="1" formatCells="1" formatColumns="0" formatRows="0" insertColumns="1" insertHyperlinks="1" insertRows="1" objects="0" pivotTables="1" scenarios="0" selectLockedCells="0" selectUnlockedCells="0" sheet="1" sort="1"/>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3B004F-002E-46E4-81DC-005E00B70036}"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AB005D-00E4-4EF3-BEAB-00A7001A00B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7F006D-0015-4DFA-B5C5-002500C8005E}"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9D00A4-0024-4C67-B1EF-002000B2001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E300FB-00EC-4F30-9EAD-009D000200D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E500A5-00B2-4587-94EC-005500A20006}"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FC00F4-0041-45DF-A2BA-00D400CA007B}" type="list" allowBlank="1" errorStyle="stop" imeMode="noControl" operator="between" showDropDown="0" showErrorMessage="1" showInputMessage="1">
          <x14:formula1>
            <xm:f>DESCRIPTION_TERRITORY</xm:f>
          </x14:formula1>
          <xm:sqref>I34</xm:sqref>
        </x14:dataValidation>
        <x14:dataValidation xr:uid="{001500F7-009D-4B39-8EAE-00F9001400F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8700B2-00D0-4B80-A1C7-00D50094009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3400DF-0025-4BB9-BC61-00800007007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E700CB-009E-4AF4-B1B0-00A900B300EF}"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000000-0038-4061-AF16-004100C400B2}"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1900D3-0081-4EA6-BFFB-00CF00D500C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8" width="43.140625"/>
    <col hidden="1" min="2" max="2" style="1318" width="43.140625"/>
    <col min="3" max="3" style="1318" width="43.140625"/>
    <col customWidth="1" min="4" max="5" style="1318" width="36.421875"/>
    <col customWidth="1" min="6" max="8" style="1319" width="36.421875"/>
  </cols>
  <sheetData>
    <row r="1" ht="9" customHeight="1">
      <c r="A1" s="1320" t="s">
        <v>1973</v>
      </c>
      <c r="B1" s="1320"/>
      <c r="C1" s="1321" t="s">
        <v>1974</v>
      </c>
      <c r="D1" s="1322" t="s">
        <v>803</v>
      </c>
      <c r="E1" s="1322" t="s">
        <v>849</v>
      </c>
      <c r="F1" s="1322" t="s">
        <v>902</v>
      </c>
      <c r="G1" s="1322" t="s">
        <v>889</v>
      </c>
      <c r="H1" s="1322" t="s">
        <v>1657</v>
      </c>
    </row>
    <row r="2" ht="9" customHeight="1">
      <c r="A2" s="1323" t="s">
        <v>1975</v>
      </c>
      <c r="B2" s="1323"/>
      <c r="C2" s="1324" t="str">
        <f>INDEX(TEMPLATE_NUMBER_FORM_LIST,MATCH(TEMPLATE_SPHERE,TEMPLATE_SPHERE_LIST,0))</f>
        <v>16</v>
      </c>
      <c r="D2" s="1323" t="s">
        <v>1507</v>
      </c>
      <c r="E2" s="1323" t="s">
        <v>146</v>
      </c>
      <c r="F2" s="1325" t="s">
        <v>146</v>
      </c>
      <c r="G2" s="1323" t="s">
        <v>146</v>
      </c>
      <c r="H2" s="1326"/>
    </row>
    <row r="3" ht="63" customHeight="1">
      <c r="A3" s="1320"/>
      <c r="B3" s="1320" t="s">
        <v>106</v>
      </c>
      <c r="C3" s="1324" t="str">
        <f t="shared" ref="C3:C5" si="62">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4" t="s">
        <v>1976</v>
      </c>
      <c r="E3" s="132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5"/>
      <c r="G3" s="1326"/>
      <c r="H3" s="1320"/>
    </row>
    <row r="4" ht="243" customHeight="1">
      <c r="A4" s="1320" t="s">
        <v>1977</v>
      </c>
      <c r="B4" s="1320" t="s">
        <v>107</v>
      </c>
      <c r="C4" s="1324" t="str">
        <f t="shared" si="62"/>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3" t="s">
        <v>1978</v>
      </c>
      <c r="E4" s="1324"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3"/>
      <c r="G4" s="1323"/>
      <c r="H4" s="1320" t="s">
        <v>1979</v>
      </c>
    </row>
    <row r="5" ht="117" customHeight="1">
      <c r="A5" s="1320" t="s">
        <v>1980</v>
      </c>
      <c r="B5" s="1320" t="s">
        <v>90</v>
      </c>
      <c r="C5" s="1324" t="str">
        <f t="shared" si="62"/>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20" t="s">
        <v>1981</v>
      </c>
      <c r="E5" s="13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6"/>
      <c r="G5" s="1326"/>
      <c r="H5" s="1320" t="s">
        <v>1982</v>
      </c>
    </row>
    <row r="6" ht="90" customHeight="1">
      <c r="A6" s="1320" t="s">
        <v>1983</v>
      </c>
      <c r="B6" s="1320" t="s">
        <v>91</v>
      </c>
      <c r="C6" s="1324" t="str">
        <f t="shared" ref="C6:C8" si="63">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20"/>
      <c r="G6" s="1320"/>
      <c r="H6" s="1326"/>
    </row>
    <row r="7" ht="45" customHeight="1">
      <c r="A7" s="1320" t="s">
        <v>1984</v>
      </c>
      <c r="B7" s="1320" t="s">
        <v>108</v>
      </c>
      <c r="C7" s="1324" t="str">
        <f t="shared" si="63"/>
        <v xml:space="preserve">Форма 11. Информация о расходах на капитальный и текущий ремонт основных средств</v>
      </c>
      <c r="D7" s="1320" t="s">
        <v>1985</v>
      </c>
      <c r="E7" s="1320" t="s">
        <v>1986</v>
      </c>
      <c r="F7" s="1326"/>
      <c r="G7" s="1326"/>
      <c r="H7" s="1326"/>
    </row>
    <row r="8" ht="108" customHeight="1">
      <c r="A8" s="1320" t="s">
        <v>1987</v>
      </c>
      <c r="B8" s="1320" t="s">
        <v>92</v>
      </c>
      <c r="C8" s="1324" t="str">
        <f t="shared" si="63"/>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20" t="s">
        <v>1201</v>
      </c>
      <c r="E8" s="1320" t="s">
        <v>1988</v>
      </c>
      <c r="F8" s="1326"/>
      <c r="G8" s="1326"/>
      <c r="H8" s="1326"/>
    </row>
    <row r="9" ht="99" customHeight="1">
      <c r="A9" s="1320" t="s">
        <v>1989</v>
      </c>
      <c r="B9" s="1320"/>
      <c r="C9" s="1320" t="s">
        <v>1990</v>
      </c>
      <c r="D9" s="1320"/>
      <c r="E9" s="1320"/>
      <c r="F9" s="1326"/>
      <c r="G9" s="1326"/>
      <c r="H9" s="1326"/>
    </row>
    <row r="10" ht="126" customHeight="1">
      <c r="A10" s="1320" t="s">
        <v>1991</v>
      </c>
      <c r="B10" s="1320"/>
      <c r="C10" s="1320" t="s">
        <v>1992</v>
      </c>
      <c r="D10" s="1320"/>
      <c r="E10" s="1320"/>
      <c r="F10" s="1326"/>
      <c r="G10" s="1326"/>
      <c r="H10" s="1326"/>
    </row>
    <row r="11" ht="108" customHeight="1">
      <c r="A11" s="1320" t="s">
        <v>1993</v>
      </c>
      <c r="B11" s="1320"/>
      <c r="C11" s="1320" t="s">
        <v>1994</v>
      </c>
      <c r="D11" s="1320"/>
      <c r="E11" s="1320"/>
      <c r="F11" s="1326"/>
      <c r="G11" s="1326"/>
      <c r="H11" s="1326"/>
    </row>
    <row r="12" ht="54" customHeight="1">
      <c r="A12" s="1320" t="s">
        <v>1995</v>
      </c>
      <c r="B12" s="1320"/>
      <c r="C12" s="1320" t="s">
        <v>1996</v>
      </c>
      <c r="D12" s="1320"/>
      <c r="E12" s="1320"/>
      <c r="F12" s="1326"/>
      <c r="G12" s="1326"/>
      <c r="H12" s="1326"/>
    </row>
    <row r="13" ht="45" customHeight="1">
      <c r="A13" s="1320" t="s">
        <v>1997</v>
      </c>
      <c r="B13" s="1320"/>
      <c r="C13" s="1320" t="s">
        <v>1998</v>
      </c>
      <c r="D13" s="1320"/>
      <c r="E13" s="1320"/>
      <c r="F13" s="1326"/>
      <c r="G13" s="1326"/>
      <c r="H13" s="1326"/>
    </row>
    <row r="14" ht="117" customHeight="1">
      <c r="A14" s="1320" t="s">
        <v>1999</v>
      </c>
      <c r="B14" s="1320"/>
      <c r="C14" s="1320" t="s">
        <v>2000</v>
      </c>
      <c r="D14" s="1320"/>
      <c r="E14" s="1320"/>
      <c r="F14" s="1326"/>
      <c r="G14" s="1326"/>
      <c r="H14" s="1326"/>
    </row>
    <row r="15" ht="117" customHeight="1">
      <c r="A15" s="1320" t="s">
        <v>2001</v>
      </c>
      <c r="B15" s="1320"/>
      <c r="C15" s="1320" t="s">
        <v>2002</v>
      </c>
      <c r="D15" s="1320"/>
      <c r="E15" s="1320"/>
      <c r="F15" s="1326"/>
      <c r="G15" s="1326"/>
      <c r="H15" s="1326"/>
    </row>
    <row r="16" ht="63" customHeight="1">
      <c r="A16" s="1320" t="s">
        <v>2003</v>
      </c>
      <c r="B16" s="1320"/>
      <c r="C16" s="1320" t="s">
        <v>2004</v>
      </c>
      <c r="D16" s="1320"/>
      <c r="E16" s="1320"/>
      <c r="F16" s="1326"/>
      <c r="G16" s="1326"/>
      <c r="H16" s="1326"/>
    </row>
    <row r="17" ht="54" customHeight="1">
      <c r="A17" s="1320" t="s">
        <v>2005</v>
      </c>
      <c r="B17" s="1320"/>
      <c r="C17" s="1324" t="s">
        <v>2006</v>
      </c>
      <c r="D17" s="1320"/>
      <c r="E17" s="1320"/>
      <c r="F17" s="1326"/>
      <c r="G17" s="1326"/>
      <c r="H17" s="1326"/>
    </row>
    <row r="18" ht="27" customHeight="1">
      <c r="A18" s="1320" t="s">
        <v>2007</v>
      </c>
      <c r="B18" s="1320"/>
      <c r="C18" s="1324" t="s">
        <v>2008</v>
      </c>
      <c r="D18" s="1320"/>
      <c r="E18" s="1320"/>
      <c r="F18" s="1326"/>
      <c r="G18" s="1326"/>
      <c r="H18" s="1326"/>
    </row>
    <row r="19" ht="54" customHeight="1">
      <c r="A19" s="1320" t="s">
        <v>2009</v>
      </c>
      <c r="B19" s="1320"/>
      <c r="C19" s="1324" t="s">
        <v>2010</v>
      </c>
      <c r="D19" s="1320"/>
      <c r="E19" s="1320"/>
      <c r="F19" s="1326"/>
      <c r="G19" s="1326"/>
      <c r="H19" s="1326"/>
    </row>
    <row r="20" ht="36" customHeight="1">
      <c r="A20" s="1320" t="s">
        <v>2011</v>
      </c>
      <c r="B20" s="1320"/>
      <c r="C20" s="1324" t="s">
        <v>2012</v>
      </c>
      <c r="D20" s="1320"/>
      <c r="E20" s="1320"/>
      <c r="F20" s="1326"/>
      <c r="G20" s="1326"/>
      <c r="H20" s="1326"/>
    </row>
    <row r="21" ht="36" customHeight="1">
      <c r="A21" s="1320" t="s">
        <v>2013</v>
      </c>
      <c r="B21" s="1320"/>
      <c r="C21" s="1324" t="s">
        <v>2014</v>
      </c>
      <c r="D21" s="1320"/>
      <c r="E21" s="1320"/>
      <c r="F21" s="1326"/>
      <c r="G21" s="1326"/>
      <c r="H21" s="1326"/>
    </row>
    <row r="22" ht="27" customHeight="1">
      <c r="A22" s="1320" t="s">
        <v>2015</v>
      </c>
      <c r="B22" s="1320"/>
      <c r="C22" s="1324" t="s">
        <v>2016</v>
      </c>
      <c r="D22" s="1320"/>
      <c r="E22" s="1320"/>
      <c r="F22" s="1326"/>
      <c r="G22" s="1326"/>
      <c r="H22" s="1326"/>
    </row>
    <row r="23" ht="36" customHeight="1">
      <c r="A23" s="1320" t="s">
        <v>2017</v>
      </c>
      <c r="B23" s="1320"/>
      <c r="C23" s="1324" t="s">
        <v>2018</v>
      </c>
      <c r="D23" s="1320"/>
      <c r="E23" s="1320"/>
      <c r="F23" s="1326"/>
      <c r="G23" s="1326"/>
      <c r="H23" s="1326"/>
    </row>
    <row r="24" ht="28.5" customHeight="1">
      <c r="A24" s="1320" t="s">
        <v>2019</v>
      </c>
      <c r="B24" s="1320"/>
      <c r="C24" s="1324" t="s">
        <v>2020</v>
      </c>
      <c r="D24" s="1320"/>
      <c r="E24" s="1320"/>
      <c r="F24" s="1326"/>
      <c r="G24" s="1326"/>
      <c r="H24" s="1326"/>
    </row>
    <row r="25" ht="36" customHeight="1">
      <c r="A25" s="1320" t="s">
        <v>2021</v>
      </c>
      <c r="B25" s="1320"/>
      <c r="C25" s="1324" t="s">
        <v>2022</v>
      </c>
      <c r="D25" s="1320"/>
      <c r="E25" s="1320"/>
      <c r="F25" s="1326"/>
      <c r="G25" s="1326"/>
      <c r="H25" s="1326"/>
    </row>
    <row r="26" ht="27" customHeight="1">
      <c r="A26" s="1320" t="s">
        <v>2023</v>
      </c>
      <c r="B26" s="1320"/>
      <c r="C26" s="1324" t="s">
        <v>2024</v>
      </c>
      <c r="D26" s="1320"/>
      <c r="E26" s="1320"/>
      <c r="F26" s="1326"/>
      <c r="G26" s="1326"/>
      <c r="H26" s="1326"/>
    </row>
    <row r="27" ht="36" customHeight="1">
      <c r="A27" s="1320" t="s">
        <v>2025</v>
      </c>
      <c r="B27" s="1320"/>
      <c r="C27" s="1324" t="s">
        <v>2026</v>
      </c>
      <c r="D27" s="1320"/>
      <c r="E27" s="1320"/>
      <c r="F27" s="1326"/>
      <c r="G27" s="1326"/>
      <c r="H27" s="1326"/>
    </row>
    <row r="28" ht="28.5" customHeight="1">
      <c r="A28" s="1320" t="s">
        <v>2027</v>
      </c>
      <c r="B28" s="1320"/>
      <c r="C28" s="1324" t="s">
        <v>2028</v>
      </c>
      <c r="D28" s="1320"/>
      <c r="E28" s="1320"/>
      <c r="F28" s="1326"/>
      <c r="G28" s="1326"/>
      <c r="H28" s="1326"/>
    </row>
    <row r="29" ht="126" customHeight="1">
      <c r="A29" s="1320" t="s">
        <v>2029</v>
      </c>
      <c r="B29" s="1320" t="s">
        <v>1608</v>
      </c>
      <c r="C29" s="1324" t="str">
        <f t="shared" ref="C29:C32" si="64">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20" t="s">
        <v>2030</v>
      </c>
      <c r="E29" s="13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6"/>
      <c r="G29" s="1326"/>
      <c r="H29" s="1320" t="s">
        <v>2031</v>
      </c>
    </row>
    <row r="30" ht="36" customHeight="1">
      <c r="A30" s="1320" t="s">
        <v>2032</v>
      </c>
      <c r="B30" s="1320"/>
      <c r="C30" s="1324" t="str">
        <f t="shared" si="64"/>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20" t="s">
        <v>2033</v>
      </c>
      <c r="E30" s="13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6"/>
      <c r="G30" s="1326"/>
      <c r="H30" s="1326"/>
    </row>
    <row r="31" ht="54" customHeight="1">
      <c r="A31" s="1320" t="s">
        <v>2034</v>
      </c>
      <c r="B31" s="1320"/>
      <c r="C31" s="1324" t="str">
        <f t="shared" si="64"/>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20" t="s">
        <v>2035</v>
      </c>
      <c r="E31" s="1327"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6"/>
      <c r="G31" s="1326"/>
      <c r="H31" s="1326"/>
    </row>
    <row r="32" ht="198" customHeight="1">
      <c r="A32" s="1320" t="s">
        <v>2036</v>
      </c>
      <c r="B32" s="1320"/>
      <c r="C32" s="1324" t="str">
        <f t="shared" si="64"/>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20" t="s">
        <v>2037</v>
      </c>
      <c r="E32" s="1327"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6"/>
      <c r="G32" s="1326"/>
      <c r="H32" s="1320" t="s">
        <v>2038</v>
      </c>
    </row>
    <row r="33" ht="9" customHeight="1">
      <c r="A33" s="1320"/>
      <c r="B33" s="1320"/>
      <c r="C33" s="1324"/>
      <c r="D33" s="1320"/>
      <c r="E33" s="1320"/>
      <c r="F33" s="1326"/>
      <c r="G33" s="1326"/>
      <c r="H33" s="1326"/>
    </row>
    <row r="34" ht="9" customHeight="1">
      <c r="A34" s="1320"/>
      <c r="B34" s="1320" t="s">
        <v>1544</v>
      </c>
      <c r="C34" s="1324">
        <f>INDEX(TEMPLATE_NAME_FORM_LIST,B34,MATCH(TEMPLATE_SPHERE,TEMPLATE_SPHERE_LIST,0))</f>
        <v>0</v>
      </c>
      <c r="D34" s="1320"/>
      <c r="E34" s="1320"/>
      <c r="F34" s="1326"/>
      <c r="G34" s="1326"/>
      <c r="H34" s="1326"/>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8" width="9.140625"/>
    <col customWidth="1" min="3" max="7" style="1328" width="8.00390625"/>
    <col customWidth="1" min="8" max="12" style="1328" width="8.57421875"/>
    <col customWidth="1" min="13" max="14" style="1328" width="27.7109375"/>
    <col customWidth="1" min="15" max="19" style="1328" width="5.140625"/>
    <col customWidth="1" min="20" max="24" style="1328" width="27.7109375"/>
    <col customWidth="1" min="25" max="25" style="1329" width="1.8515625"/>
    <col customWidth="1" min="26" max="26" style="1318" width="27.7109375"/>
    <col customWidth="1" min="27" max="27" style="1330" width="27.7109375"/>
    <col customWidth="1" min="28" max="29" style="1318" width="27.7109375"/>
    <col customWidth="1" min="30" max="30" style="1318" width="3.8515625"/>
    <col min="31" max="34" style="1318" width="9.140625"/>
  </cols>
  <sheetData>
    <row r="1" s="1331" customFormat="1" ht="18" customHeight="1">
      <c r="A1" s="1332"/>
      <c r="B1" s="1332"/>
      <c r="C1" s="1332" t="s">
        <v>2039</v>
      </c>
      <c r="D1" s="1332"/>
      <c r="E1" s="1332"/>
      <c r="F1" s="1332"/>
      <c r="G1" s="1332"/>
      <c r="H1" s="1332" t="s">
        <v>2040</v>
      </c>
      <c r="I1" s="1332"/>
      <c r="J1" s="1332"/>
      <c r="K1" s="1332"/>
      <c r="L1" s="1332"/>
      <c r="M1" s="1332" t="s">
        <v>2041</v>
      </c>
      <c r="N1" s="1332" t="s">
        <v>2042</v>
      </c>
      <c r="O1" s="1332" t="s">
        <v>2043</v>
      </c>
      <c r="P1" s="1332"/>
      <c r="Q1" s="1332"/>
      <c r="R1" s="1332"/>
      <c r="S1" s="1332"/>
      <c r="T1" s="1332" t="s">
        <v>2041</v>
      </c>
      <c r="U1" s="1332"/>
      <c r="V1" s="1332"/>
      <c r="W1" s="1332"/>
      <c r="X1" s="1332"/>
      <c r="Y1" s="1333"/>
      <c r="Z1" s="1332" t="s">
        <v>2044</v>
      </c>
      <c r="AA1" s="1332"/>
      <c r="AB1" s="1332"/>
      <c r="AC1" s="1332"/>
      <c r="AD1" s="1332"/>
    </row>
    <row r="2" ht="18" customHeight="1">
      <c r="A2" s="1320"/>
      <c r="B2" s="1320"/>
      <c r="C2" s="1334" t="s">
        <v>803</v>
      </c>
      <c r="D2" s="1334" t="s">
        <v>849</v>
      </c>
      <c r="E2" s="1334" t="s">
        <v>902</v>
      </c>
      <c r="F2" s="1334" t="s">
        <v>889</v>
      </c>
      <c r="G2" s="1334" t="s">
        <v>1657</v>
      </c>
      <c r="H2" s="1335"/>
      <c r="I2" s="1335"/>
      <c r="J2" s="1335"/>
      <c r="K2" s="1335"/>
      <c r="L2" s="1335"/>
      <c r="M2" s="1335"/>
      <c r="N2" s="1335"/>
      <c r="O2" s="1334" t="s">
        <v>803</v>
      </c>
      <c r="P2" s="1334" t="s">
        <v>849</v>
      </c>
      <c r="Q2" s="1334" t="s">
        <v>889</v>
      </c>
      <c r="R2" s="1334" t="s">
        <v>902</v>
      </c>
      <c r="S2" s="1334" t="s">
        <v>1657</v>
      </c>
      <c r="T2" s="1334" t="s">
        <v>803</v>
      </c>
      <c r="U2" s="1334" t="s">
        <v>849</v>
      </c>
      <c r="V2" s="1334" t="s">
        <v>889</v>
      </c>
      <c r="W2" s="1334" t="s">
        <v>902</v>
      </c>
      <c r="X2" s="1334" t="s">
        <v>1657</v>
      </c>
      <c r="Y2" s="1334"/>
      <c r="Z2" s="1334" t="s">
        <v>803</v>
      </c>
      <c r="AA2" s="1336" t="s">
        <v>849</v>
      </c>
      <c r="AB2" s="1334" t="s">
        <v>889</v>
      </c>
      <c r="AC2" s="1334" t="s">
        <v>902</v>
      </c>
      <c r="AD2" s="1334" t="s">
        <v>1657</v>
      </c>
    </row>
    <row r="3" ht="162" customHeight="1">
      <c r="A3" s="1337" t="s">
        <v>27</v>
      </c>
      <c r="B3" s="1337"/>
      <c r="C3" s="1338" t="s">
        <v>2045</v>
      </c>
      <c r="D3" s="1339"/>
      <c r="E3" s="1339"/>
      <c r="F3" s="1340"/>
      <c r="G3" s="1335"/>
      <c r="H3" s="1335"/>
      <c r="I3" s="1335"/>
      <c r="J3" s="1335"/>
      <c r="K3" s="1335"/>
      <c r="L3" s="1335"/>
      <c r="M3" s="1335"/>
      <c r="N3" s="1341"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5"/>
      <c r="P3" s="1335"/>
      <c r="Q3" s="1335"/>
      <c r="R3" s="1335"/>
      <c r="S3" s="1335"/>
      <c r="T3" s="1335"/>
      <c r="U3" s="1335"/>
      <c r="V3" s="1335"/>
      <c r="W3" s="1335"/>
      <c r="X3" s="1335"/>
      <c r="Y3" s="1342"/>
      <c r="Z3" s="1320" t="s">
        <v>2046</v>
      </c>
      <c r="AA3" s="1335" t="s">
        <v>2047</v>
      </c>
      <c r="AB3" s="1320" t="s">
        <v>2048</v>
      </c>
      <c r="AC3" s="1320" t="s">
        <v>2049</v>
      </c>
      <c r="AD3" s="1320"/>
      <c r="AG3" s="1320"/>
      <c r="AH3" s="1320"/>
    </row>
    <row r="4" ht="9" customHeight="1">
      <c r="A4" s="1337"/>
      <c r="B4" s="1337"/>
      <c r="C4" s="1335"/>
      <c r="D4" s="1335"/>
      <c r="E4" s="1335"/>
      <c r="F4" s="1335"/>
      <c r="G4" s="1335"/>
      <c r="H4" s="1335"/>
      <c r="I4" s="1335"/>
      <c r="J4" s="1335"/>
      <c r="K4" s="1335"/>
      <c r="L4" s="1335"/>
      <c r="M4" s="1335"/>
      <c r="N4" s="1335"/>
      <c r="O4" s="1335"/>
      <c r="P4" s="1335"/>
      <c r="Q4" s="1335"/>
      <c r="R4" s="1335"/>
      <c r="S4" s="1335"/>
      <c r="T4" s="1335"/>
      <c r="U4" s="1335"/>
      <c r="V4" s="1335"/>
      <c r="W4" s="1335"/>
      <c r="X4" s="1335"/>
      <c r="Y4" s="1342"/>
      <c r="Z4" s="1320"/>
      <c r="AA4" s="1327"/>
      <c r="AB4" s="1320"/>
      <c r="AC4" s="1320"/>
      <c r="AD4" s="1320"/>
    </row>
    <row r="5" ht="9" customHeight="1">
      <c r="A5" s="1337"/>
      <c r="B5" s="1337"/>
      <c r="C5" s="1335"/>
      <c r="D5" s="1335"/>
      <c r="E5" s="1335"/>
      <c r="F5" s="1335"/>
      <c r="G5" s="1335"/>
      <c r="H5" s="1335"/>
      <c r="I5" s="1335"/>
      <c r="J5" s="1335"/>
      <c r="K5" s="1335"/>
      <c r="L5" s="1335"/>
      <c r="M5" s="1335"/>
      <c r="N5" s="1335"/>
      <c r="O5" s="1335"/>
      <c r="P5" s="1335"/>
      <c r="Q5" s="1335"/>
      <c r="R5" s="1335"/>
      <c r="S5" s="1335"/>
      <c r="T5" s="1335"/>
      <c r="U5" s="1335"/>
      <c r="V5" s="1335"/>
      <c r="W5" s="1335"/>
      <c r="X5" s="1335"/>
      <c r="Y5" s="1342"/>
      <c r="Z5" s="1320"/>
      <c r="AA5" s="1327"/>
      <c r="AB5" s="1320"/>
      <c r="AC5" s="1320"/>
      <c r="AD5" s="1320"/>
    </row>
    <row r="6" ht="9" customHeight="1">
      <c r="A6" s="1337"/>
      <c r="B6" s="1337"/>
      <c r="C6" s="1335"/>
      <c r="D6" s="1335"/>
      <c r="E6" s="1335"/>
      <c r="F6" s="1335"/>
      <c r="G6" s="1335"/>
      <c r="H6" s="1335"/>
      <c r="I6" s="1335"/>
      <c r="J6" s="1335"/>
      <c r="K6" s="1335"/>
      <c r="L6" s="1335"/>
      <c r="M6" s="1335"/>
      <c r="N6" s="1335"/>
      <c r="O6" s="1335"/>
      <c r="P6" s="1335"/>
      <c r="Q6" s="1335"/>
      <c r="R6" s="1335"/>
      <c r="S6" s="1335"/>
      <c r="T6" s="1335"/>
      <c r="U6" s="1335"/>
      <c r="V6" s="1335"/>
      <c r="W6" s="1335"/>
      <c r="X6" s="1335"/>
      <c r="Y6" s="1342"/>
      <c r="Z6" s="1320"/>
      <c r="AA6" s="1327"/>
      <c r="AB6" s="1320"/>
      <c r="AC6" s="1320"/>
      <c r="AD6" s="1320"/>
    </row>
    <row r="7" ht="9" customHeight="1">
      <c r="A7" s="1337"/>
      <c r="B7" s="1337"/>
      <c r="C7" s="1335"/>
      <c r="D7" s="1335"/>
      <c r="E7" s="1335"/>
      <c r="F7" s="1335"/>
      <c r="G7" s="1335"/>
      <c r="H7" s="1335"/>
      <c r="I7" s="1335"/>
      <c r="J7" s="1335"/>
      <c r="K7" s="1335"/>
      <c r="L7" s="1335"/>
      <c r="M7" s="1335"/>
      <c r="N7" s="1335"/>
      <c r="O7" s="1335"/>
      <c r="P7" s="1335"/>
      <c r="Q7" s="1335"/>
      <c r="R7" s="1335"/>
      <c r="S7" s="1335"/>
      <c r="T7" s="1335"/>
      <c r="U7" s="1335"/>
      <c r="V7" s="1335"/>
      <c r="W7" s="1335"/>
      <c r="X7" s="1335"/>
      <c r="Y7" s="1342"/>
      <c r="Z7" s="1320"/>
      <c r="AA7" s="1327"/>
      <c r="AB7" s="1320"/>
      <c r="AC7" s="1320"/>
      <c r="AD7" s="1320"/>
    </row>
    <row r="8" ht="9" customHeight="1">
      <c r="A8" s="1337"/>
      <c r="B8" s="1337"/>
      <c r="C8" s="1335"/>
      <c r="D8" s="1335"/>
      <c r="E8" s="1335"/>
      <c r="F8" s="1335"/>
      <c r="G8" s="1335"/>
      <c r="H8" s="1335"/>
      <c r="I8" s="1335"/>
      <c r="J8" s="1335"/>
      <c r="K8" s="1335"/>
      <c r="L8" s="1335"/>
      <c r="M8" s="1335"/>
      <c r="N8" s="1335"/>
      <c r="O8" s="1335"/>
      <c r="P8" s="1335"/>
      <c r="Q8" s="1335"/>
      <c r="R8" s="1335"/>
      <c r="S8" s="1335"/>
      <c r="T8" s="1335"/>
      <c r="U8" s="1335"/>
      <c r="V8" s="1335"/>
      <c r="W8" s="1335"/>
      <c r="X8" s="1335"/>
      <c r="Y8" s="1342"/>
      <c r="Z8" s="1320"/>
      <c r="AA8" s="1327"/>
      <c r="AB8" s="1320"/>
      <c r="AC8" s="1320"/>
      <c r="AD8" s="1320"/>
    </row>
    <row r="9" ht="9" customHeight="1">
      <c r="A9" s="1337"/>
      <c r="B9" s="1337"/>
      <c r="C9" s="1335"/>
      <c r="D9" s="1335"/>
      <c r="E9" s="1335"/>
      <c r="F9" s="1335"/>
      <c r="G9" s="1335"/>
      <c r="H9" s="1335"/>
      <c r="I9" s="1335"/>
      <c r="J9" s="1335"/>
      <c r="K9" s="1335"/>
      <c r="L9" s="1335"/>
      <c r="M9" s="1335"/>
      <c r="N9" s="1335"/>
      <c r="O9" s="1335"/>
      <c r="P9" s="1335"/>
      <c r="Q9" s="1335"/>
      <c r="R9" s="1335"/>
      <c r="S9" s="1335"/>
      <c r="T9" s="1335"/>
      <c r="U9" s="1335"/>
      <c r="V9" s="1335"/>
      <c r="W9" s="1335"/>
      <c r="X9" s="1335"/>
      <c r="Y9" s="1342"/>
      <c r="Z9" s="1320"/>
      <c r="AA9" s="1327"/>
      <c r="AB9" s="1320"/>
      <c r="AC9" s="1320"/>
      <c r="AD9" s="1320"/>
    </row>
    <row r="10" ht="9" customHeight="1">
      <c r="A10" s="1343"/>
      <c r="B10" s="1343"/>
      <c r="C10" s="1343"/>
      <c r="D10" s="1343"/>
      <c r="E10" s="1343"/>
      <c r="F10" s="1343"/>
      <c r="G10" s="1343"/>
      <c r="H10" s="1343"/>
      <c r="I10" s="1343"/>
      <c r="J10" s="1343"/>
      <c r="K10" s="1343"/>
      <c r="L10" s="1343"/>
      <c r="M10" s="1343"/>
      <c r="N10" s="1343"/>
      <c r="O10" s="1343"/>
      <c r="P10" s="1343"/>
      <c r="Q10" s="1343"/>
      <c r="R10" s="1343"/>
      <c r="S10" s="1343"/>
      <c r="T10" s="1343"/>
      <c r="U10" s="1343"/>
      <c r="V10" s="1343"/>
      <c r="W10" s="1343"/>
      <c r="X10" s="1343"/>
      <c r="Y10" s="1343"/>
      <c r="Z10" s="1343"/>
      <c r="AA10" s="1343"/>
      <c r="AB10" s="1343"/>
      <c r="AC10" s="1343"/>
      <c r="AD10" s="1343"/>
    </row>
    <row r="11" ht="45" customHeight="1">
      <c r="A11" s="1343" t="s">
        <v>33</v>
      </c>
      <c r="B11" s="1343">
        <v>1</v>
      </c>
      <c r="C11" s="1344" t="s">
        <v>1595</v>
      </c>
      <c r="D11" s="1344" t="s">
        <v>1591</v>
      </c>
      <c r="E11" s="1344" t="s">
        <v>1689</v>
      </c>
      <c r="F11" s="1344" t="s">
        <v>2050</v>
      </c>
      <c r="G11" s="1344"/>
      <c r="H11" s="1332" t="s">
        <v>2051</v>
      </c>
      <c r="I11" s="1332"/>
      <c r="J11" s="1332"/>
      <c r="K11" s="1332"/>
      <c r="L11" s="1332"/>
      <c r="M11" s="1341" t="str">
        <f t="shared" ref="M11:M15" si="65">IF(TEMPLATE_SPHERE="HEAT",T11,U11)</f>
        <v xml:space="preserve">Количество поданных заявок</v>
      </c>
      <c r="N11" s="1341" t="str">
        <f t="shared" ref="N11:N16" si="66">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5"/>
      <c r="P11" s="1335"/>
      <c r="Q11" s="1335"/>
      <c r="R11" s="1335"/>
      <c r="S11" s="1335"/>
      <c r="T11" s="1335" t="s">
        <v>2052</v>
      </c>
      <c r="U11" s="1335" t="s">
        <v>2053</v>
      </c>
      <c r="V11" s="1335"/>
      <c r="W11" s="1335"/>
      <c r="X11" s="1335"/>
      <c r="Y11" s="1342"/>
      <c r="Z11" s="1320" t="s">
        <v>2054</v>
      </c>
      <c r="AA11" s="13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20"/>
      <c r="AC11" s="1320"/>
      <c r="AD11" s="1320"/>
    </row>
    <row r="12" ht="45" customHeight="1">
      <c r="A12" s="1343"/>
      <c r="B12" s="1343">
        <v>2</v>
      </c>
      <c r="C12" s="1345"/>
      <c r="D12" s="1345"/>
      <c r="E12" s="1345"/>
      <c r="F12" s="1345"/>
      <c r="G12" s="1345"/>
      <c r="H12" s="1332" t="s">
        <v>2055</v>
      </c>
      <c r="I12" s="1332"/>
      <c r="J12" s="1332"/>
      <c r="K12" s="1332"/>
      <c r="L12" s="1332"/>
      <c r="M12" s="1341" t="str">
        <f t="shared" si="65"/>
        <v xml:space="preserve">Количество рассмотренных заявок</v>
      </c>
      <c r="N12" s="1341" t="str">
        <f t="shared" si="66"/>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5"/>
      <c r="P12" s="1335"/>
      <c r="Q12" s="1335"/>
      <c r="R12" s="1335"/>
      <c r="S12" s="1335"/>
      <c r="T12" s="1335" t="s">
        <v>2056</v>
      </c>
      <c r="U12" s="1335" t="s">
        <v>2057</v>
      </c>
      <c r="V12" s="1335"/>
      <c r="W12" s="1335"/>
      <c r="X12" s="1335"/>
      <c r="Y12" s="1342"/>
      <c r="Z12" s="1320" t="s">
        <v>2058</v>
      </c>
      <c r="AA12" s="13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20"/>
      <c r="AC12" s="1320"/>
      <c r="AD12" s="1320"/>
    </row>
    <row r="13" ht="72" customHeight="1">
      <c r="A13" s="1343"/>
      <c r="B13" s="1343">
        <v>3</v>
      </c>
      <c r="C13" s="1345"/>
      <c r="D13" s="1345"/>
      <c r="E13" s="1345"/>
      <c r="F13" s="1345"/>
      <c r="G13" s="1345"/>
      <c r="H13" s="1332" t="s">
        <v>2059</v>
      </c>
      <c r="I13" s="1332"/>
      <c r="J13" s="1332"/>
      <c r="K13" s="1332"/>
      <c r="L13" s="1332"/>
      <c r="M13" s="1341" t="str">
        <f t="shared" si="65"/>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1" t="str">
        <f t="shared" si="66"/>
        <v xml:space="preserve">Указывается количество заявок с решением об отказе в течение отчетного квартала.</v>
      </c>
      <c r="O13" s="1335"/>
      <c r="P13" s="1341"/>
      <c r="Q13" s="1341"/>
      <c r="R13" s="1341"/>
      <c r="S13" s="1335"/>
      <c r="T13" s="1335" t="s">
        <v>2060</v>
      </c>
      <c r="U13" s="1341" t="s">
        <v>2061</v>
      </c>
      <c r="V13" s="1341"/>
      <c r="W13" s="1341"/>
      <c r="X13" s="1335"/>
      <c r="Y13" s="1342"/>
      <c r="Z13" s="1320" t="s">
        <v>2062</v>
      </c>
      <c r="AA13" s="13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20"/>
      <c r="AC13" s="1320"/>
      <c r="AD13" s="1320"/>
    </row>
    <row r="14" ht="45" customHeight="1">
      <c r="A14" s="1343"/>
      <c r="B14" s="1343">
        <v>4</v>
      </c>
      <c r="C14" s="1345"/>
      <c r="D14" s="1345"/>
      <c r="E14" s="1345"/>
      <c r="F14" s="1345"/>
      <c r="G14" s="1345"/>
      <c r="H14" s="1332"/>
      <c r="I14" s="1344"/>
      <c r="J14" s="1344"/>
      <c r="K14" s="1344"/>
      <c r="L14" s="1344"/>
      <c r="M14" s="1346" t="str">
        <f t="shared" si="65"/>
        <v xml:space="preserve">Причины отказа в заключении договора о подключении (технологическом присоединении) к системе теплоснабжения</v>
      </c>
      <c r="N14" s="1341" t="str">
        <f t="shared" si="66"/>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5"/>
      <c r="P14" s="1341"/>
      <c r="Q14" s="1341"/>
      <c r="R14" s="1341"/>
      <c r="S14" s="1335"/>
      <c r="T14" s="1335" t="s">
        <v>2063</v>
      </c>
      <c r="U14" s="1341"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1"/>
      <c r="W14" s="1341"/>
      <c r="X14" s="1335"/>
      <c r="Y14" s="1342"/>
      <c r="Z14" s="1320" t="s">
        <v>2064</v>
      </c>
      <c r="AA14" s="1327" t="s">
        <v>2064</v>
      </c>
      <c r="AB14" s="1320"/>
      <c r="AC14" s="1320"/>
      <c r="AD14" s="1320"/>
    </row>
    <row r="15" ht="108" customHeight="1">
      <c r="A15" s="1343"/>
      <c r="B15" s="1343">
        <v>5</v>
      </c>
      <c r="C15" s="1345"/>
      <c r="D15" s="1345"/>
      <c r="E15" s="1345"/>
      <c r="F15" s="1345"/>
      <c r="G15" s="1345"/>
      <c r="H15" s="1347" t="s">
        <v>2065</v>
      </c>
      <c r="I15" s="1347"/>
      <c r="J15" s="1347"/>
      <c r="K15" s="1347"/>
      <c r="L15" s="1347"/>
      <c r="M15" s="1327" t="str">
        <f t="shared" si="65"/>
        <v xml:space="preserve">Резерв мощности источников тепловой энергии, входящих в систему теплоснабжения, в течение одного квартала, в том числе:</v>
      </c>
      <c r="N15" s="1348" t="str">
        <f t="shared" si="66"/>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35"/>
      <c r="P15" s="1341"/>
      <c r="Q15" s="1341"/>
      <c r="R15" s="1341"/>
      <c r="S15" s="1335"/>
      <c r="T15" s="1335" t="s">
        <v>2066</v>
      </c>
      <c r="U15" s="134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1"/>
      <c r="W15" s="1341"/>
      <c r="X15" s="1335"/>
      <c r="Y15" s="1342"/>
      <c r="Z15" s="1320" t="s">
        <v>2067</v>
      </c>
      <c r="AA15" s="13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20"/>
      <c r="AC15" s="1320"/>
      <c r="AD15" s="1320"/>
    </row>
    <row r="16" ht="108" customHeight="1">
      <c r="A16" s="1343"/>
      <c r="B16" s="1343">
        <v>6</v>
      </c>
      <c r="C16" s="1349"/>
      <c r="D16" s="1349"/>
      <c r="E16" s="1349"/>
      <c r="F16" s="1349"/>
      <c r="G16" s="1349"/>
      <c r="H16" s="1350"/>
      <c r="I16" s="1351"/>
      <c r="J16" s="1351"/>
      <c r="K16" s="1351"/>
      <c r="L16" s="1351"/>
      <c r="M16" s="1352"/>
      <c r="N16" s="1348" t="str">
        <f t="shared" si="66"/>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35"/>
      <c r="P16" s="1341"/>
      <c r="Q16" s="1341"/>
      <c r="R16" s="1341"/>
      <c r="S16" s="1335"/>
      <c r="T16" s="1335"/>
      <c r="U16" s="1341"/>
      <c r="V16" s="1341"/>
      <c r="W16" s="1341"/>
      <c r="X16" s="1335"/>
      <c r="Y16" s="1342"/>
      <c r="Z16" s="1320" t="s">
        <v>2067</v>
      </c>
      <c r="AA16" s="13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20"/>
      <c r="AC16" s="1320"/>
      <c r="AD16" s="1320"/>
    </row>
    <row r="17" ht="9" customHeight="1">
      <c r="A17" s="1343"/>
      <c r="B17" s="1343"/>
      <c r="C17" s="1343">
        <v>22</v>
      </c>
      <c r="D17" s="1343">
        <v>21</v>
      </c>
      <c r="E17" s="1343">
        <v>42</v>
      </c>
      <c r="F17" s="1343">
        <v>63</v>
      </c>
      <c r="G17" s="1343"/>
      <c r="H17" s="1343"/>
      <c r="I17" s="1343"/>
      <c r="J17" s="1343"/>
      <c r="K17" s="1343"/>
      <c r="L17" s="1343"/>
      <c r="M17" s="1343"/>
      <c r="N17" s="1343"/>
      <c r="O17" s="1343"/>
      <c r="P17" s="1343"/>
      <c r="Q17" s="1343"/>
      <c r="R17" s="1343"/>
      <c r="S17" s="1343"/>
      <c r="T17" s="1343"/>
      <c r="U17" s="1343"/>
      <c r="V17" s="1343"/>
      <c r="W17" s="1343"/>
      <c r="X17" s="1343"/>
      <c r="Y17" s="1343"/>
      <c r="Z17" s="1343"/>
      <c r="AA17" s="1343"/>
      <c r="AB17" s="1343"/>
      <c r="AC17" s="1343"/>
      <c r="AD17" s="1343"/>
    </row>
    <row r="18" ht="27" customHeight="1">
      <c r="A18" s="1337" t="s">
        <v>1692</v>
      </c>
      <c r="B18" s="1343">
        <v>1</v>
      </c>
      <c r="C18" s="1335" t="s">
        <v>2051</v>
      </c>
      <c r="D18" s="1353" t="s">
        <v>2051</v>
      </c>
      <c r="E18" s="1335" t="s">
        <v>2051</v>
      </c>
      <c r="F18" s="1335" t="s">
        <v>2051</v>
      </c>
      <c r="G18" s="1335"/>
      <c r="H18" s="1354"/>
      <c r="I18" s="1355">
        <f t="shared" ref="I18:I81" si="67">INDEX(TEMPLATE_NUMBER_POINT_FHD,B18,MATCH(TEMPLATE_SPHERE,TEMPLATE_SPHERE_LIST_FOR_NOTE,0))</f>
        <v>1</v>
      </c>
      <c r="J18" s="1355" t="str">
        <f t="shared" ref="J18:J81" si="68">INDEX(TEMPLATE_DATA_POINT_FHD,B18,MATCH(TEMPLATE_SPHERE,TEMPLATE_SPHERE_LIST_FOR_NOTE,0))</f>
        <v xml:space="preserve">Выручка от регулируемого вида деятельности с распределением по видам деятельности</v>
      </c>
      <c r="K18" s="1355" t="str">
        <f t="shared" ref="K18:K81" si="69">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1">
        <f t="shared" ref="L18:L81" si="70">IF(I18=0,"",I18)</f>
        <v>1</v>
      </c>
      <c r="M18" s="1341" t="str">
        <f t="shared" ref="M18:M81" si="71">IF(J18=0,"",J18)</f>
        <v xml:space="preserve">Выручка от регулируемого вида деятельности с распределением по видам деятельности</v>
      </c>
      <c r="N18" s="1341" t="str">
        <f t="shared" ref="N18:N81" si="72">IF(K18=0,"",K18)</f>
        <v xml:space="preserve">Указывается выручка от регулируемого вида деятельности с распределением по видам деятельности.</v>
      </c>
      <c r="O18" s="1356">
        <v>1</v>
      </c>
      <c r="P18" s="1356">
        <v>1</v>
      </c>
      <c r="Q18" s="1356">
        <v>1</v>
      </c>
      <c r="R18" s="1356">
        <v>1</v>
      </c>
      <c r="S18" s="1356"/>
      <c r="T18" s="1357" t="s">
        <v>2068</v>
      </c>
      <c r="U18" s="1320" t="s">
        <v>2069</v>
      </c>
      <c r="V18" s="1320" t="s">
        <v>2070</v>
      </c>
      <c r="W18" s="1320" t="s">
        <v>2071</v>
      </c>
      <c r="X18" s="1335"/>
      <c r="Y18" s="1342"/>
      <c r="Z18" s="1320" t="s">
        <v>2072</v>
      </c>
      <c r="AA18" s="1327" t="s">
        <v>2073</v>
      </c>
      <c r="AB18" s="1327" t="s">
        <v>2073</v>
      </c>
      <c r="AC18" s="1327" t="s">
        <v>2073</v>
      </c>
      <c r="AD18" s="1320"/>
    </row>
    <row r="19" ht="36" customHeight="1">
      <c r="A19" s="1337"/>
      <c r="B19" s="1343">
        <v>2</v>
      </c>
      <c r="C19" s="1335" t="s">
        <v>2055</v>
      </c>
      <c r="D19" s="1353" t="s">
        <v>2055</v>
      </c>
      <c r="E19" s="1335" t="s">
        <v>2055</v>
      </c>
      <c r="F19" s="1335" t="s">
        <v>2055</v>
      </c>
      <c r="G19" s="1335"/>
      <c r="H19" s="1354"/>
      <c r="I19" s="1355">
        <f t="shared" si="67"/>
        <v>2</v>
      </c>
      <c r="J19" s="1355" t="str">
        <f t="shared" si="68"/>
        <v xml:space="preserve">Себестоимость производимых товаров (оказываемых услуг) по регулируемому виду деятельности, включая:</v>
      </c>
      <c r="K19" s="1355" t="str">
        <f t="shared" si="69"/>
        <v xml:space="preserve">Указывается суммарная себестоимость производимых товаров.</v>
      </c>
      <c r="L19" s="1341">
        <f t="shared" si="70"/>
        <v>2</v>
      </c>
      <c r="M19" s="1341" t="str">
        <f t="shared" si="71"/>
        <v xml:space="preserve">Себестоимость производимых товаров (оказываемых услуг) по регулируемому виду деятельности, включая:</v>
      </c>
      <c r="N19" s="1341" t="str">
        <f t="shared" si="72"/>
        <v xml:space="preserve">Указывается суммарная себестоимость производимых товаров.</v>
      </c>
      <c r="O19" s="1356">
        <v>2</v>
      </c>
      <c r="P19" s="1356">
        <v>2</v>
      </c>
      <c r="Q19" s="1356">
        <v>2</v>
      </c>
      <c r="R19" s="1356">
        <v>2</v>
      </c>
      <c r="S19" s="1356"/>
      <c r="T19" s="1357" t="s">
        <v>2074</v>
      </c>
      <c r="U19" s="1320" t="s">
        <v>2075</v>
      </c>
      <c r="V19" s="1320" t="s">
        <v>2076</v>
      </c>
      <c r="W19" s="1320" t="s">
        <v>2077</v>
      </c>
      <c r="X19" s="1335"/>
      <c r="Y19" s="1342"/>
      <c r="Z19" s="1320" t="s">
        <v>2078</v>
      </c>
      <c r="AA19" s="1327" t="s">
        <v>2078</v>
      </c>
      <c r="AB19" s="1327" t="s">
        <v>2078</v>
      </c>
      <c r="AC19" s="1327" t="s">
        <v>2078</v>
      </c>
      <c r="AD19" s="1320"/>
    </row>
    <row r="20" ht="27" customHeight="1">
      <c r="A20" s="1337"/>
      <c r="B20" s="1343">
        <v>3</v>
      </c>
      <c r="C20" s="1335">
        <v>1</v>
      </c>
      <c r="D20" s="1353"/>
      <c r="E20" s="1335"/>
      <c r="F20" s="1335"/>
      <c r="G20" s="1335"/>
      <c r="H20" s="1354"/>
      <c r="I20" s="1355" t="str">
        <f t="shared" si="67"/>
        <v>2.1</v>
      </c>
      <c r="J20" s="1355" t="str">
        <f t="shared" si="68"/>
        <v xml:space="preserve">Расходы на приобретаемую тепловую энергию (мощность), теплоноситель</v>
      </c>
      <c r="K20" s="1355">
        <f t="shared" si="69"/>
        <v>0</v>
      </c>
      <c r="L20" s="1341" t="str">
        <f t="shared" si="70"/>
        <v>2.1</v>
      </c>
      <c r="M20" s="1341" t="str">
        <f t="shared" si="71"/>
        <v xml:space="preserve">Расходы на приобретаемую тепловую энергию (мощность), теплоноситель</v>
      </c>
      <c r="N20" s="1341" t="str">
        <f t="shared" si="72"/>
        <v/>
      </c>
      <c r="O20" s="1356" t="s">
        <v>704</v>
      </c>
      <c r="P20" s="1356" t="s">
        <v>704</v>
      </c>
      <c r="Q20" s="1356" t="s">
        <v>704</v>
      </c>
      <c r="R20" s="1356" t="s">
        <v>704</v>
      </c>
      <c r="S20" s="1356"/>
      <c r="T20" s="1357" t="s">
        <v>2079</v>
      </c>
      <c r="U20" s="1320" t="s">
        <v>2080</v>
      </c>
      <c r="V20" s="1320" t="s">
        <v>2081</v>
      </c>
      <c r="W20" s="1320" t="s">
        <v>2082</v>
      </c>
      <c r="X20" s="1335"/>
      <c r="Y20" s="1342"/>
      <c r="Z20" s="1320"/>
      <c r="AA20" s="1327"/>
      <c r="AB20" s="1320"/>
      <c r="AC20" s="1320"/>
      <c r="AD20" s="1320"/>
    </row>
    <row r="21" ht="36" customHeight="1">
      <c r="A21" s="1337"/>
      <c r="B21" s="1343">
        <v>4</v>
      </c>
      <c r="C21" s="1335">
        <v>2</v>
      </c>
      <c r="D21" s="1353"/>
      <c r="E21" s="1335"/>
      <c r="F21" s="1335"/>
      <c r="G21" s="1335"/>
      <c r="H21" s="1354"/>
      <c r="I21" s="1355" t="str">
        <f t="shared" si="67"/>
        <v>2.2</v>
      </c>
      <c r="J21" s="1355" t="str">
        <f t="shared" si="68"/>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5" t="str">
        <f t="shared" si="69"/>
        <v xml:space="preserve">Указываются суммарные расходы на приобретение топлива всех видов.</v>
      </c>
      <c r="L21" s="1341" t="str">
        <f t="shared" si="70"/>
        <v>2.2</v>
      </c>
      <c r="M21" s="1341" t="str">
        <f t="shared" si="71"/>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1" t="str">
        <f t="shared" si="72"/>
        <v xml:space="preserve">Указываются суммарные расходы на приобретение топлива всех видов.</v>
      </c>
      <c r="O21" s="1356" t="s">
        <v>302</v>
      </c>
      <c r="P21" s="1356"/>
      <c r="Q21" s="1356"/>
      <c r="R21" s="1356"/>
      <c r="S21" s="1356"/>
      <c r="T21" s="1357" t="s">
        <v>2083</v>
      </c>
      <c r="U21" s="1320"/>
      <c r="V21" s="1320"/>
      <c r="W21" s="1320"/>
      <c r="X21" s="1335"/>
      <c r="Y21" s="1342"/>
      <c r="Z21" s="1320" t="s">
        <v>2084</v>
      </c>
      <c r="AA21" s="1327"/>
      <c r="AB21" s="1320"/>
      <c r="AC21" s="1320"/>
      <c r="AD21" s="1320"/>
    </row>
    <row r="22" ht="36" customHeight="1">
      <c r="A22" s="1337"/>
      <c r="B22" s="1343">
        <v>5</v>
      </c>
      <c r="C22" s="1335">
        <v>3</v>
      </c>
      <c r="D22" s="1353"/>
      <c r="E22" s="1335"/>
      <c r="F22" s="1335"/>
      <c r="G22" s="1358"/>
      <c r="H22" s="1359"/>
      <c r="I22" s="1355">
        <f t="shared" si="67"/>
        <v>0</v>
      </c>
      <c r="J22" s="1355">
        <f t="shared" si="68"/>
        <v>0</v>
      </c>
      <c r="K22" s="1355">
        <f t="shared" si="69"/>
        <v>0</v>
      </c>
      <c r="L22" s="1341" t="str">
        <f t="shared" si="70"/>
        <v/>
      </c>
      <c r="M22" s="1341" t="str">
        <f t="shared" si="71"/>
        <v/>
      </c>
      <c r="N22" s="1341" t="str">
        <f t="shared" si="72"/>
        <v/>
      </c>
      <c r="O22" s="1356"/>
      <c r="P22" s="1356"/>
      <c r="Q22" s="1356" t="s">
        <v>302</v>
      </c>
      <c r="R22" s="1356"/>
      <c r="S22" s="1356"/>
      <c r="T22" s="1357"/>
      <c r="U22" s="1320"/>
      <c r="V22" s="1320" t="s">
        <v>2085</v>
      </c>
      <c r="W22" s="1320"/>
      <c r="X22" s="1335"/>
      <c r="Y22" s="1342"/>
      <c r="Z22" s="1320"/>
      <c r="AA22" s="1327"/>
      <c r="AB22" s="1320"/>
      <c r="AC22" s="1320"/>
      <c r="AD22" s="1320"/>
    </row>
    <row r="23" ht="27" customHeight="1">
      <c r="A23" s="1337"/>
      <c r="B23" s="1343">
        <v>6</v>
      </c>
      <c r="C23" s="1335">
        <v>4</v>
      </c>
      <c r="D23" s="1353"/>
      <c r="E23" s="1335"/>
      <c r="F23" s="1335"/>
      <c r="G23" s="1358"/>
      <c r="H23" s="1359"/>
      <c r="I23" s="1355">
        <f t="shared" si="67"/>
        <v>0</v>
      </c>
      <c r="J23" s="1355">
        <f t="shared" si="68"/>
        <v>0</v>
      </c>
      <c r="K23" s="1355">
        <f t="shared" si="69"/>
        <v>0</v>
      </c>
      <c r="L23" s="1341" t="str">
        <f t="shared" si="70"/>
        <v/>
      </c>
      <c r="M23" s="1341" t="str">
        <f t="shared" si="71"/>
        <v/>
      </c>
      <c r="N23" s="1341" t="str">
        <f t="shared" si="72"/>
        <v/>
      </c>
      <c r="O23" s="1356"/>
      <c r="P23" s="1356"/>
      <c r="Q23" s="1356" t="s">
        <v>305</v>
      </c>
      <c r="R23" s="1356"/>
      <c r="S23" s="1356"/>
      <c r="T23" s="1357"/>
      <c r="U23" s="1320"/>
      <c r="V23" s="1320" t="s">
        <v>2086</v>
      </c>
      <c r="W23" s="1320"/>
      <c r="X23" s="1335"/>
      <c r="Y23" s="1342"/>
      <c r="Z23" s="1320"/>
      <c r="AA23" s="1327"/>
      <c r="AB23" s="1320"/>
      <c r="AC23" s="1320"/>
      <c r="AD23" s="1320"/>
    </row>
    <row r="24" ht="36" customHeight="1">
      <c r="A24" s="1337"/>
      <c r="B24" s="1343">
        <v>7</v>
      </c>
      <c r="C24" s="1335">
        <v>5</v>
      </c>
      <c r="D24" s="1353"/>
      <c r="E24" s="1335"/>
      <c r="F24" s="1335"/>
      <c r="G24" s="1358"/>
      <c r="H24" s="1359"/>
      <c r="I24" s="1355">
        <f t="shared" si="67"/>
        <v>0</v>
      </c>
      <c r="J24" s="1355">
        <f t="shared" si="68"/>
        <v>0</v>
      </c>
      <c r="K24" s="1355">
        <f t="shared" si="69"/>
        <v>0</v>
      </c>
      <c r="L24" s="1341" t="str">
        <f t="shared" si="70"/>
        <v/>
      </c>
      <c r="M24" s="1341" t="str">
        <f t="shared" si="71"/>
        <v/>
      </c>
      <c r="N24" s="1341" t="str">
        <f t="shared" si="72"/>
        <v/>
      </c>
      <c r="O24" s="1356"/>
      <c r="P24" s="1356"/>
      <c r="Q24" s="1356" t="s">
        <v>724</v>
      </c>
      <c r="R24" s="1356"/>
      <c r="S24" s="1356"/>
      <c r="T24" s="1357"/>
      <c r="U24" s="1320"/>
      <c r="V24" s="1320" t="s">
        <v>2087</v>
      </c>
      <c r="W24" s="1320"/>
      <c r="X24" s="1335"/>
      <c r="Y24" s="1342"/>
      <c r="Z24" s="1320"/>
      <c r="AA24" s="1327"/>
      <c r="AB24" s="1320"/>
      <c r="AC24" s="1320"/>
      <c r="AD24" s="1320"/>
    </row>
    <row r="25" ht="36" customHeight="1">
      <c r="A25" s="1337"/>
      <c r="B25" s="1343">
        <v>8</v>
      </c>
      <c r="C25" s="1335">
        <v>6</v>
      </c>
      <c r="D25" s="1353"/>
      <c r="E25" s="1335"/>
      <c r="F25" s="1335"/>
      <c r="G25" s="1358"/>
      <c r="H25" s="1359"/>
      <c r="I25" s="1355" t="str">
        <f t="shared" si="67"/>
        <v>2.3</v>
      </c>
      <c r="J25" s="1355" t="str">
        <f t="shared" si="68"/>
        <v xml:space="preserve">Расходы на приобретаемую электрическую энергию (мощность), используемую в технологическом процессе</v>
      </c>
      <c r="K25" s="1355">
        <f t="shared" si="69"/>
        <v>0</v>
      </c>
      <c r="L25" s="1341" t="str">
        <f t="shared" si="70"/>
        <v>2.3</v>
      </c>
      <c r="M25" s="1341" t="str">
        <f t="shared" si="71"/>
        <v xml:space="preserve">Расходы на приобретаемую электрическую энергию (мощность), используемую в технологическом процессе</v>
      </c>
      <c r="N25" s="1341" t="str">
        <f t="shared" si="72"/>
        <v/>
      </c>
      <c r="O25" s="1356" t="s">
        <v>305</v>
      </c>
      <c r="P25" s="1356" t="s">
        <v>302</v>
      </c>
      <c r="Q25" s="1356" t="s">
        <v>731</v>
      </c>
      <c r="R25" s="1356" t="s">
        <v>302</v>
      </c>
      <c r="S25" s="1356"/>
      <c r="T25" s="1357" t="s">
        <v>2088</v>
      </c>
      <c r="U25" s="1320" t="s">
        <v>2088</v>
      </c>
      <c r="V25" s="1320" t="s">
        <v>2088</v>
      </c>
      <c r="W25" s="1320" t="s">
        <v>2088</v>
      </c>
      <c r="X25" s="1335"/>
      <c r="Y25" s="1342"/>
      <c r="Z25" s="1320"/>
      <c r="AA25" s="1327"/>
      <c r="AB25" s="1320"/>
      <c r="AC25" s="1320"/>
      <c r="AD25" s="1320"/>
    </row>
    <row r="26" ht="18" customHeight="1">
      <c r="A26" s="1337"/>
      <c r="B26" s="1343">
        <v>9</v>
      </c>
      <c r="C26" s="1335" t="s">
        <v>647</v>
      </c>
      <c r="D26" s="1353"/>
      <c r="E26" s="1335"/>
      <c r="F26" s="1335"/>
      <c r="G26" s="1358"/>
      <c r="H26" s="1359"/>
      <c r="I26" s="1355" t="str">
        <f t="shared" si="67"/>
        <v>2.3.1</v>
      </c>
      <c r="J26" s="1355" t="str">
        <f t="shared" si="68"/>
        <v xml:space="preserve">Средневзвешенная стоимость 1 кВт.ч (с учетом мощности)</v>
      </c>
      <c r="K26" s="1355">
        <f t="shared" si="69"/>
        <v>0</v>
      </c>
      <c r="L26" s="1341" t="str">
        <f t="shared" si="70"/>
        <v>2.3.1</v>
      </c>
      <c r="M26" s="1341" t="str">
        <f t="shared" si="71"/>
        <v xml:space="preserve">Средневзвешенная стоимость 1 кВт.ч (с учетом мощности)</v>
      </c>
      <c r="N26" s="1341" t="str">
        <f t="shared" si="72"/>
        <v/>
      </c>
      <c r="O26" s="1356" t="s">
        <v>720</v>
      </c>
      <c r="P26" s="1356" t="s">
        <v>714</v>
      </c>
      <c r="Q26" s="1356" t="s">
        <v>2089</v>
      </c>
      <c r="R26" s="1356" t="s">
        <v>714</v>
      </c>
      <c r="S26" s="1356"/>
      <c r="T26" s="1357"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7" t="s">
        <v>2090</v>
      </c>
      <c r="V26" s="1357" t="s">
        <v>2090</v>
      </c>
      <c r="W26" s="1357" t="s">
        <v>2090</v>
      </c>
      <c r="X26" s="1335"/>
      <c r="Y26" s="1342"/>
      <c r="Z26" s="1320"/>
      <c r="AA26" s="1327"/>
      <c r="AB26" s="1320"/>
      <c r="AC26" s="1320"/>
      <c r="AD26" s="1320"/>
    </row>
    <row r="27" ht="18" customHeight="1">
      <c r="A27" s="1337"/>
      <c r="B27" s="1343">
        <v>10</v>
      </c>
      <c r="C27" s="1335" t="s">
        <v>651</v>
      </c>
      <c r="D27" s="1353"/>
      <c r="E27" s="1335"/>
      <c r="F27" s="1335"/>
      <c r="G27" s="1358"/>
      <c r="H27" s="1359"/>
      <c r="I27" s="1355" t="str">
        <f t="shared" si="67"/>
        <v>2.3.2</v>
      </c>
      <c r="J27" s="1355" t="str">
        <f t="shared" si="68"/>
        <v xml:space="preserve">Объём приобретения электрической энергии</v>
      </c>
      <c r="K27" s="1355">
        <f t="shared" si="69"/>
        <v>0</v>
      </c>
      <c r="L27" s="1341" t="str">
        <f t="shared" si="70"/>
        <v>2.3.2</v>
      </c>
      <c r="M27" s="1341" t="str">
        <f t="shared" si="71"/>
        <v xml:space="preserve">Объём приобретения электрической энергии</v>
      </c>
      <c r="N27" s="1341" t="str">
        <f t="shared" si="72"/>
        <v/>
      </c>
      <c r="O27" s="1356" t="s">
        <v>722</v>
      </c>
      <c r="P27" s="1356" t="s">
        <v>716</v>
      </c>
      <c r="Q27" s="1356" t="s">
        <v>2091</v>
      </c>
      <c r="R27" s="1356" t="s">
        <v>716</v>
      </c>
      <c r="S27" s="1356"/>
      <c r="T27" s="1357" t="s">
        <v>2092</v>
      </c>
      <c r="U27" s="1357" t="s">
        <v>2092</v>
      </c>
      <c r="V27" s="1357" t="s">
        <v>2092</v>
      </c>
      <c r="W27" s="1357" t="s">
        <v>2092</v>
      </c>
      <c r="X27" s="1335"/>
      <c r="Y27" s="1342"/>
      <c r="Z27" s="1320"/>
      <c r="AA27" s="1327"/>
      <c r="AB27" s="1320"/>
      <c r="AC27" s="1320"/>
      <c r="AD27" s="1320"/>
    </row>
    <row r="28" ht="27" customHeight="1">
      <c r="A28" s="1337"/>
      <c r="B28" s="1343">
        <v>11</v>
      </c>
      <c r="C28" s="1335">
        <v>7</v>
      </c>
      <c r="D28" s="1353"/>
      <c r="E28" s="1335"/>
      <c r="F28" s="1335"/>
      <c r="G28" s="1358"/>
      <c r="H28" s="1359"/>
      <c r="I28" s="1355" t="str">
        <f t="shared" si="67"/>
        <v>2.4</v>
      </c>
      <c r="J28" s="1355" t="str">
        <f t="shared" si="68"/>
        <v xml:space="preserve">Расходы на приобретение холодной воды, используемой в технологическом процессе</v>
      </c>
      <c r="K28" s="1355">
        <f t="shared" si="69"/>
        <v>0</v>
      </c>
      <c r="L28" s="1341" t="str">
        <f t="shared" si="70"/>
        <v>2.4</v>
      </c>
      <c r="M28" s="1341" t="str">
        <f t="shared" si="71"/>
        <v xml:space="preserve">Расходы на приобретение холодной воды, используемой в технологическом процессе</v>
      </c>
      <c r="N28" s="1341" t="str">
        <f t="shared" si="72"/>
        <v/>
      </c>
      <c r="O28" s="1356" t="s">
        <v>724</v>
      </c>
      <c r="P28" s="1356"/>
      <c r="Q28" s="1356"/>
      <c r="R28" s="1356"/>
      <c r="S28" s="1356"/>
      <c r="T28" s="1357" t="s">
        <v>2093</v>
      </c>
      <c r="U28" s="1320"/>
      <c r="V28" s="1320"/>
      <c r="W28" s="1320"/>
      <c r="X28" s="1335"/>
      <c r="Y28" s="1342"/>
      <c r="Z28" s="1320"/>
      <c r="AA28" s="1327"/>
      <c r="AB28" s="1320"/>
      <c r="AC28" s="1320"/>
      <c r="AD28" s="1320"/>
    </row>
    <row r="29" ht="27" customHeight="1">
      <c r="A29" s="1337"/>
      <c r="B29" s="1343">
        <v>12</v>
      </c>
      <c r="C29" s="1335">
        <v>8</v>
      </c>
      <c r="D29" s="1353"/>
      <c r="E29" s="1335"/>
      <c r="F29" s="1335"/>
      <c r="G29" s="1358"/>
      <c r="H29" s="1359"/>
      <c r="I29" s="1355" t="str">
        <f t="shared" si="67"/>
        <v>2.5</v>
      </c>
      <c r="J29" s="1355" t="str">
        <f t="shared" si="68"/>
        <v xml:space="preserve">Расходы на  химические реагенты, используемые в технологическом процессе</v>
      </c>
      <c r="K29" s="1355">
        <f t="shared" si="69"/>
        <v>0</v>
      </c>
      <c r="L29" s="1341" t="str">
        <f t="shared" si="70"/>
        <v>2.5</v>
      </c>
      <c r="M29" s="1341" t="str">
        <f t="shared" si="71"/>
        <v xml:space="preserve">Расходы на  химические реагенты, используемые в технологическом процессе</v>
      </c>
      <c r="N29" s="1341" t="str">
        <f t="shared" si="72"/>
        <v/>
      </c>
      <c r="O29" s="1356" t="s">
        <v>731</v>
      </c>
      <c r="P29" s="1356" t="s">
        <v>305</v>
      </c>
      <c r="Q29" s="1356"/>
      <c r="R29" s="1356" t="s">
        <v>305</v>
      </c>
      <c r="S29" s="1356"/>
      <c r="T29" s="1357"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20" t="s">
        <v>2094</v>
      </c>
      <c r="V29" s="1320"/>
      <c r="W29" s="1320" t="s">
        <v>2094</v>
      </c>
      <c r="X29" s="1335"/>
      <c r="Y29" s="1342"/>
      <c r="Z29" s="1320"/>
      <c r="AA29" s="1327"/>
      <c r="AB29" s="1320"/>
      <c r="AC29" s="1320"/>
      <c r="AD29" s="1320"/>
    </row>
    <row r="30" ht="54" customHeight="1">
      <c r="A30" s="1337"/>
      <c r="B30" s="1343">
        <v>13</v>
      </c>
      <c r="C30" s="1335">
        <v>9</v>
      </c>
      <c r="D30" s="1353"/>
      <c r="E30" s="1335"/>
      <c r="F30" s="1335"/>
      <c r="G30" s="1358"/>
      <c r="H30" s="1359"/>
      <c r="I30" s="1355" t="str">
        <f t="shared" si="67"/>
        <v>2.6</v>
      </c>
      <c r="J30" s="1355" t="str">
        <f t="shared" si="68"/>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5">
        <f t="shared" si="69"/>
        <v>0</v>
      </c>
      <c r="L30" s="1341" t="str">
        <f t="shared" si="70"/>
        <v>2.6</v>
      </c>
      <c r="M30" s="1341" t="str">
        <f t="shared" si="71"/>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1" t="str">
        <f t="shared" si="72"/>
        <v/>
      </c>
      <c r="O30" s="1356" t="s">
        <v>733</v>
      </c>
      <c r="P30" s="1356" t="s">
        <v>724</v>
      </c>
      <c r="Q30" s="1356" t="s">
        <v>733</v>
      </c>
      <c r="R30" s="1356" t="s">
        <v>724</v>
      </c>
      <c r="S30" s="1356"/>
      <c r="T30" s="1357" t="s">
        <v>2095</v>
      </c>
      <c r="U30" s="1320" t="s">
        <v>2095</v>
      </c>
      <c r="V30" s="1320" t="s">
        <v>2095</v>
      </c>
      <c r="W30" s="1320" t="s">
        <v>2095</v>
      </c>
      <c r="X30" s="1335"/>
      <c r="Y30" s="1342"/>
      <c r="Z30" s="1320"/>
      <c r="AA30" s="1327" t="s">
        <v>2096</v>
      </c>
      <c r="AB30" s="1327" t="s">
        <v>2096</v>
      </c>
      <c r="AC30" s="1327" t="s">
        <v>2096</v>
      </c>
      <c r="AD30" s="1320"/>
    </row>
    <row r="31" ht="18" customHeight="1">
      <c r="A31" s="1337"/>
      <c r="B31" s="1343">
        <v>14</v>
      </c>
      <c r="C31" s="1335" t="s">
        <v>2097</v>
      </c>
      <c r="D31" s="1353"/>
      <c r="E31" s="1335"/>
      <c r="F31" s="1335"/>
      <c r="G31" s="1358"/>
      <c r="H31" s="1359"/>
      <c r="I31" s="1355" t="str">
        <f t="shared" si="67"/>
        <v>2.6.1</v>
      </c>
      <c r="J31" s="1355" t="str">
        <f t="shared" si="68"/>
        <v xml:space="preserve">Расходы на оплату труда основного производственного персонала</v>
      </c>
      <c r="K31" s="1355">
        <f t="shared" si="69"/>
        <v>0</v>
      </c>
      <c r="L31" s="1341" t="str">
        <f t="shared" si="70"/>
        <v>2.6.1</v>
      </c>
      <c r="M31" s="1341" t="str">
        <f t="shared" si="71"/>
        <v xml:space="preserve">Расходы на оплату труда основного производственного персонала</v>
      </c>
      <c r="N31" s="1341" t="str">
        <f t="shared" si="72"/>
        <v/>
      </c>
      <c r="O31" s="1356" t="s">
        <v>2098</v>
      </c>
      <c r="P31" s="1356" t="s">
        <v>727</v>
      </c>
      <c r="Q31" s="1356" t="s">
        <v>2098</v>
      </c>
      <c r="R31" s="1356" t="s">
        <v>727</v>
      </c>
      <c r="S31" s="1356"/>
      <c r="T31" s="1360" t="s">
        <v>2099</v>
      </c>
      <c r="U31" s="1320" t="s">
        <v>2099</v>
      </c>
      <c r="V31" s="1320" t="s">
        <v>2099</v>
      </c>
      <c r="W31" s="1320" t="s">
        <v>2099</v>
      </c>
      <c r="X31" s="1335"/>
      <c r="Y31" s="1342"/>
      <c r="Z31" s="1320"/>
      <c r="AA31" s="1327"/>
      <c r="AB31" s="1327"/>
      <c r="AC31" s="1327"/>
      <c r="AD31" s="1320"/>
    </row>
    <row r="32" ht="36" customHeight="1">
      <c r="A32" s="1337"/>
      <c r="B32" s="1343">
        <v>15</v>
      </c>
      <c r="C32" s="1335" t="s">
        <v>2100</v>
      </c>
      <c r="D32" s="1353"/>
      <c r="E32" s="1335"/>
      <c r="F32" s="1335"/>
      <c r="G32" s="1358"/>
      <c r="H32" s="1359"/>
      <c r="I32" s="1355" t="str">
        <f t="shared" si="67"/>
        <v>2.6.2</v>
      </c>
      <c r="J32" s="1355" t="str">
        <f t="shared" si="68"/>
        <v xml:space="preserve">Страховые взносы на обязательное социальное страхование, выплачиваемые из фонда оплаты труда основного производственного персонала</v>
      </c>
      <c r="K32" s="1355">
        <f t="shared" si="69"/>
        <v>0</v>
      </c>
      <c r="L32" s="1341" t="str">
        <f t="shared" si="70"/>
        <v>2.6.2</v>
      </c>
      <c r="M32" s="1341" t="str">
        <f t="shared" si="71"/>
        <v xml:space="preserve">Страховые взносы на обязательное социальное страхование, выплачиваемые из фонда оплаты труда основного производственного персонала</v>
      </c>
      <c r="N32" s="1341" t="str">
        <f t="shared" si="72"/>
        <v/>
      </c>
      <c r="O32" s="1356" t="s">
        <v>2101</v>
      </c>
      <c r="P32" s="1356" t="s">
        <v>729</v>
      </c>
      <c r="Q32" s="1356" t="s">
        <v>2101</v>
      </c>
      <c r="R32" s="1356" t="s">
        <v>729</v>
      </c>
      <c r="S32" s="1356"/>
      <c r="T32" s="136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20" t="s">
        <v>2102</v>
      </c>
      <c r="V32" s="1320" t="s">
        <v>2102</v>
      </c>
      <c r="W32" s="1320" t="s">
        <v>2102</v>
      </c>
      <c r="X32" s="1335"/>
      <c r="Y32" s="1342"/>
      <c r="Z32" s="1320"/>
      <c r="AA32" s="1327"/>
      <c r="AB32" s="1327"/>
      <c r="AC32" s="1327"/>
      <c r="AD32" s="1320"/>
    </row>
    <row r="33" ht="45" customHeight="1">
      <c r="A33" s="1337"/>
      <c r="B33" s="1343">
        <v>16</v>
      </c>
      <c r="C33" s="1335">
        <v>10</v>
      </c>
      <c r="D33" s="1353"/>
      <c r="E33" s="1335"/>
      <c r="F33" s="1335"/>
      <c r="G33" s="1358"/>
      <c r="H33" s="1359"/>
      <c r="I33" s="1355" t="str">
        <f t="shared" si="67"/>
        <v>2.7</v>
      </c>
      <c r="J33" s="1355" t="str">
        <f t="shared" si="68"/>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5">
        <f t="shared" si="69"/>
        <v>0</v>
      </c>
      <c r="L33" s="1341" t="str">
        <f t="shared" si="70"/>
        <v>2.7</v>
      </c>
      <c r="M33" s="1341" t="str">
        <f t="shared" si="71"/>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1" t="str">
        <f t="shared" si="72"/>
        <v/>
      </c>
      <c r="O33" s="1356" t="s">
        <v>735</v>
      </c>
      <c r="P33" s="1356" t="s">
        <v>731</v>
      </c>
      <c r="Q33" s="1356" t="s">
        <v>735</v>
      </c>
      <c r="R33" s="1356" t="s">
        <v>731</v>
      </c>
      <c r="S33" s="1356"/>
      <c r="T33" s="136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20" t="s">
        <v>2103</v>
      </c>
      <c r="V33" s="1320" t="s">
        <v>2103</v>
      </c>
      <c r="W33" s="1320" t="s">
        <v>2104</v>
      </c>
      <c r="X33" s="1335"/>
      <c r="Y33" s="1342"/>
      <c r="Z33" s="1320"/>
      <c r="AA33" s="1327" t="s">
        <v>2105</v>
      </c>
      <c r="AB33" s="1327" t="s">
        <v>2105</v>
      </c>
      <c r="AC33" s="1327" t="s">
        <v>2105</v>
      </c>
      <c r="AD33" s="1320"/>
    </row>
    <row r="34" ht="27" customHeight="1">
      <c r="A34" s="1337"/>
      <c r="B34" s="1343">
        <v>17</v>
      </c>
      <c r="C34" s="1335" t="s">
        <v>2106</v>
      </c>
      <c r="D34" s="1353"/>
      <c r="E34" s="1335"/>
      <c r="F34" s="1335"/>
      <c r="G34" s="1358"/>
      <c r="H34" s="1359"/>
      <c r="I34" s="1355" t="str">
        <f t="shared" si="67"/>
        <v>2.7.1</v>
      </c>
      <c r="J34" s="1355" t="str">
        <f t="shared" si="68"/>
        <v xml:space="preserve">Расходы на оплату труда административно-управленческого персонала</v>
      </c>
      <c r="K34" s="1355">
        <f t="shared" si="69"/>
        <v>0</v>
      </c>
      <c r="L34" s="1341" t="str">
        <f t="shared" si="70"/>
        <v>2.7.1</v>
      </c>
      <c r="M34" s="1341" t="str">
        <f t="shared" si="71"/>
        <v xml:space="preserve">Расходы на оплату труда административно-управленческого персонала</v>
      </c>
      <c r="N34" s="1341" t="str">
        <f t="shared" si="72"/>
        <v/>
      </c>
      <c r="O34" s="1356" t="s">
        <v>2107</v>
      </c>
      <c r="P34" s="1356" t="s">
        <v>2089</v>
      </c>
      <c r="Q34" s="1356" t="s">
        <v>2107</v>
      </c>
      <c r="R34" s="1356" t="s">
        <v>2089</v>
      </c>
      <c r="S34" s="1356"/>
      <c r="T34" s="1361" t="s">
        <v>2108</v>
      </c>
      <c r="U34" s="1320" t="s">
        <v>2108</v>
      </c>
      <c r="V34" s="1320" t="s">
        <v>2108</v>
      </c>
      <c r="W34" s="1320" t="s">
        <v>2109</v>
      </c>
      <c r="X34" s="1335"/>
      <c r="Y34" s="1342"/>
      <c r="Z34" s="1320"/>
      <c r="AA34" s="1327"/>
      <c r="AB34" s="1320"/>
      <c r="AC34" s="1320"/>
      <c r="AD34" s="1320"/>
    </row>
    <row r="35" ht="45" customHeight="1">
      <c r="A35" s="1337"/>
      <c r="B35" s="1343">
        <v>18</v>
      </c>
      <c r="C35" s="1335" t="s">
        <v>2110</v>
      </c>
      <c r="D35" s="1353"/>
      <c r="E35" s="1335"/>
      <c r="F35" s="1335"/>
      <c r="G35" s="1358"/>
      <c r="H35" s="1359"/>
      <c r="I35" s="1355" t="str">
        <f t="shared" si="67"/>
        <v>2.7.2</v>
      </c>
      <c r="J35" s="1355" t="str">
        <f t="shared" si="68"/>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5">
        <f t="shared" si="69"/>
        <v>0</v>
      </c>
      <c r="L35" s="1341" t="str">
        <f t="shared" si="70"/>
        <v>2.7.2</v>
      </c>
      <c r="M35" s="1341" t="str">
        <f t="shared" si="71"/>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1" t="str">
        <f t="shared" si="72"/>
        <v/>
      </c>
      <c r="O35" s="1356" t="s">
        <v>2111</v>
      </c>
      <c r="P35" s="1356" t="s">
        <v>2091</v>
      </c>
      <c r="Q35" s="1356" t="s">
        <v>2111</v>
      </c>
      <c r="R35" s="1356" t="s">
        <v>2091</v>
      </c>
      <c r="S35" s="1356"/>
      <c r="T35" s="135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20" t="s">
        <v>2112</v>
      </c>
      <c r="V35" s="1320" t="s">
        <v>2112</v>
      </c>
      <c r="W35" s="1320" t="s">
        <v>2112</v>
      </c>
      <c r="X35" s="1335"/>
      <c r="Y35" s="1342"/>
      <c r="Z35" s="1320"/>
      <c r="AA35" s="1327"/>
      <c r="AB35" s="1320"/>
      <c r="AC35" s="1320"/>
      <c r="AD35" s="1320"/>
    </row>
    <row r="36" ht="18" customHeight="1">
      <c r="A36" s="1337"/>
      <c r="B36" s="1343">
        <v>19</v>
      </c>
      <c r="C36" s="1335">
        <v>11</v>
      </c>
      <c r="D36" s="1353"/>
      <c r="E36" s="1335"/>
      <c r="F36" s="1335"/>
      <c r="G36" s="1358"/>
      <c r="H36" s="1359"/>
      <c r="I36" s="1355" t="str">
        <f t="shared" si="67"/>
        <v>2.8</v>
      </c>
      <c r="J36" s="1355" t="str">
        <f t="shared" si="68"/>
        <v xml:space="preserve">Расходы на амортизацию основных средств и нематериальных активов</v>
      </c>
      <c r="K36" s="1355">
        <f t="shared" si="69"/>
        <v>0</v>
      </c>
      <c r="L36" s="1341" t="str">
        <f t="shared" si="70"/>
        <v>2.8</v>
      </c>
      <c r="M36" s="1341" t="str">
        <f t="shared" si="71"/>
        <v xml:space="preserve">Расходы на амортизацию основных средств и нематериальных активов</v>
      </c>
      <c r="N36" s="1341" t="str">
        <f t="shared" si="72"/>
        <v/>
      </c>
      <c r="O36" s="1356" t="s">
        <v>737</v>
      </c>
      <c r="P36" s="1356" t="s">
        <v>733</v>
      </c>
      <c r="Q36" s="1356" t="s">
        <v>737</v>
      </c>
      <c r="R36" s="1356" t="s">
        <v>733</v>
      </c>
      <c r="S36" s="1356"/>
      <c r="T36" s="1357" t="s">
        <v>2113</v>
      </c>
      <c r="U36" s="1320" t="s">
        <v>2113</v>
      </c>
      <c r="V36" s="1320" t="s">
        <v>2113</v>
      </c>
      <c r="W36" s="1320" t="s">
        <v>2113</v>
      </c>
      <c r="X36" s="1335"/>
      <c r="Y36" s="1342"/>
      <c r="Z36" s="1320"/>
      <c r="AA36" s="1327"/>
      <c r="AB36" s="1320"/>
      <c r="AC36" s="1320"/>
      <c r="AD36" s="1320"/>
    </row>
    <row r="37" ht="18" customHeight="1">
      <c r="A37" s="1337"/>
      <c r="B37" s="1343">
        <v>20</v>
      </c>
      <c r="C37" s="1335" t="s">
        <v>2114</v>
      </c>
      <c r="D37" s="1353"/>
      <c r="E37" s="1335"/>
      <c r="F37" s="1335"/>
      <c r="G37" s="1358"/>
      <c r="H37" s="1359"/>
      <c r="I37" s="1355" t="str">
        <f t="shared" si="67"/>
        <v>2.8.1</v>
      </c>
      <c r="J37" s="1355" t="str">
        <f t="shared" si="68"/>
        <v xml:space="preserve">Расходы на амортизацию основных средств</v>
      </c>
      <c r="K37" s="1355">
        <f t="shared" si="69"/>
        <v>0</v>
      </c>
      <c r="L37" s="1341" t="str">
        <f t="shared" si="70"/>
        <v>2.8.1</v>
      </c>
      <c r="M37" s="1341" t="str">
        <f t="shared" si="71"/>
        <v xml:space="preserve">Расходы на амортизацию основных средств</v>
      </c>
      <c r="N37" s="1341" t="str">
        <f t="shared" si="72"/>
        <v/>
      </c>
      <c r="O37" s="1356" t="s">
        <v>2115</v>
      </c>
      <c r="P37" s="1356" t="s">
        <v>2098</v>
      </c>
      <c r="Q37" s="1356" t="s">
        <v>2115</v>
      </c>
      <c r="R37" s="1356" t="s">
        <v>2098</v>
      </c>
      <c r="S37" s="1356"/>
      <c r="T37" s="1357" t="s">
        <v>2116</v>
      </c>
      <c r="U37" s="1320" t="s">
        <v>2116</v>
      </c>
      <c r="V37" s="1320" t="s">
        <v>2116</v>
      </c>
      <c r="W37" s="1320" t="s">
        <v>2116</v>
      </c>
      <c r="X37" s="1335"/>
      <c r="Y37" s="1342"/>
      <c r="Z37" s="1320"/>
      <c r="AA37" s="1327"/>
      <c r="AB37" s="1320"/>
      <c r="AC37" s="1320"/>
      <c r="AD37" s="1320"/>
    </row>
    <row r="38" ht="18" customHeight="1">
      <c r="A38" s="1337"/>
      <c r="B38" s="1343">
        <v>21</v>
      </c>
      <c r="C38" s="1335" t="s">
        <v>2117</v>
      </c>
      <c r="D38" s="1353"/>
      <c r="E38" s="1335"/>
      <c r="F38" s="1335"/>
      <c r="G38" s="1358"/>
      <c r="H38" s="1359"/>
      <c r="I38" s="1355" t="str">
        <f t="shared" si="67"/>
        <v>2.8.2</v>
      </c>
      <c r="J38" s="1355" t="str">
        <f t="shared" si="68"/>
        <v xml:space="preserve">Расходы на амортизацию нематериальных активов</v>
      </c>
      <c r="K38" s="1355">
        <f t="shared" si="69"/>
        <v>0</v>
      </c>
      <c r="L38" s="1341" t="str">
        <f t="shared" si="70"/>
        <v>2.8.2</v>
      </c>
      <c r="M38" s="1341" t="str">
        <f t="shared" si="71"/>
        <v xml:space="preserve">Расходы на амортизацию нематериальных активов</v>
      </c>
      <c r="N38" s="1341" t="str">
        <f t="shared" si="72"/>
        <v/>
      </c>
      <c r="O38" s="1356" t="s">
        <v>2118</v>
      </c>
      <c r="P38" s="1356" t="s">
        <v>2101</v>
      </c>
      <c r="Q38" s="1356" t="s">
        <v>2118</v>
      </c>
      <c r="R38" s="1356" t="s">
        <v>2101</v>
      </c>
      <c r="S38" s="1356"/>
      <c r="T38" s="1357" t="s">
        <v>2119</v>
      </c>
      <c r="U38" s="1320" t="s">
        <v>2119</v>
      </c>
      <c r="V38" s="1320" t="s">
        <v>2119</v>
      </c>
      <c r="W38" s="1320" t="s">
        <v>2119</v>
      </c>
      <c r="X38" s="1335"/>
      <c r="Y38" s="1342"/>
      <c r="Z38" s="1320"/>
      <c r="AA38" s="1327"/>
      <c r="AB38" s="1320"/>
      <c r="AC38" s="1320"/>
      <c r="AD38" s="1320"/>
    </row>
    <row r="39" ht="36" customHeight="1">
      <c r="A39" s="1337"/>
      <c r="B39" s="1343">
        <v>22</v>
      </c>
      <c r="C39" s="1335">
        <v>12</v>
      </c>
      <c r="D39" s="1353"/>
      <c r="E39" s="1335"/>
      <c r="F39" s="1335"/>
      <c r="G39" s="1358"/>
      <c r="H39" s="1359"/>
      <c r="I39" s="1355" t="str">
        <f t="shared" si="67"/>
        <v>2.9</v>
      </c>
      <c r="J39" s="1355" t="str">
        <f t="shared" si="68"/>
        <v xml:space="preserve">Расходы на аренду имущества, используемого для осуществления регулируемого вида деятельности</v>
      </c>
      <c r="K39" s="1355">
        <f t="shared" si="69"/>
        <v>0</v>
      </c>
      <c r="L39" s="1341" t="str">
        <f t="shared" si="70"/>
        <v>2.9</v>
      </c>
      <c r="M39" s="1341" t="str">
        <f t="shared" si="71"/>
        <v xml:space="preserve">Расходы на аренду имущества, используемого для осуществления регулируемого вида деятельности</v>
      </c>
      <c r="N39" s="1341" t="str">
        <f t="shared" si="72"/>
        <v/>
      </c>
      <c r="O39" s="1356" t="s">
        <v>741</v>
      </c>
      <c r="P39" s="1356" t="s">
        <v>735</v>
      </c>
      <c r="Q39" s="1356" t="s">
        <v>741</v>
      </c>
      <c r="R39" s="1356" t="s">
        <v>735</v>
      </c>
      <c r="S39" s="1356"/>
      <c r="T39" s="1357" t="s">
        <v>2120</v>
      </c>
      <c r="U39" s="1320" t="s">
        <v>2121</v>
      </c>
      <c r="V39" s="1320" t="s">
        <v>2122</v>
      </c>
      <c r="W39" s="1320" t="s">
        <v>2123</v>
      </c>
      <c r="X39" s="1335"/>
      <c r="Y39" s="1342"/>
      <c r="Z39" s="1320"/>
      <c r="AA39" s="1327"/>
      <c r="AB39" s="1320"/>
      <c r="AC39" s="1320"/>
      <c r="AD39" s="1320"/>
    </row>
    <row r="40" ht="18" customHeight="1">
      <c r="A40" s="1337"/>
      <c r="B40" s="1343">
        <v>23</v>
      </c>
      <c r="C40" s="1335">
        <v>13</v>
      </c>
      <c r="D40" s="1353"/>
      <c r="E40" s="1335"/>
      <c r="F40" s="1335"/>
      <c r="G40" s="1335"/>
      <c r="H40" s="1362"/>
      <c r="I40" s="1355" t="str">
        <f t="shared" si="67"/>
        <v>2.10</v>
      </c>
      <c r="J40" s="1355" t="str">
        <f t="shared" si="68"/>
        <v xml:space="preserve">Общепроизводственные расходы, в том числе:</v>
      </c>
      <c r="K40" s="1355" t="str">
        <f t="shared" si="69"/>
        <v xml:space="preserve">Указывается общая сумма общепроизводственных расходов.</v>
      </c>
      <c r="L40" s="1341" t="str">
        <f t="shared" si="70"/>
        <v>2.10</v>
      </c>
      <c r="M40" s="1341" t="str">
        <f t="shared" si="71"/>
        <v xml:space="preserve">Общепроизводственные расходы, в том числе:</v>
      </c>
      <c r="N40" s="1341" t="str">
        <f t="shared" si="72"/>
        <v xml:space="preserve">Указывается общая сумма общепроизводственных расходов.</v>
      </c>
      <c r="O40" s="1356" t="s">
        <v>2124</v>
      </c>
      <c r="P40" s="1356" t="s">
        <v>737</v>
      </c>
      <c r="Q40" s="1356" t="s">
        <v>2124</v>
      </c>
      <c r="R40" s="1356" t="s">
        <v>737</v>
      </c>
      <c r="S40" s="1356"/>
      <c r="T40" s="1335" t="s">
        <v>2125</v>
      </c>
      <c r="U40" s="1335" t="s">
        <v>2125</v>
      </c>
      <c r="V40" s="1335" t="s">
        <v>2125</v>
      </c>
      <c r="W40" s="1335" t="s">
        <v>2125</v>
      </c>
      <c r="X40" s="1335"/>
      <c r="Y40" s="1342"/>
      <c r="Z40" s="1320" t="s">
        <v>2126</v>
      </c>
      <c r="AA40" s="1327" t="s">
        <v>2126</v>
      </c>
      <c r="AB40" s="1327" t="s">
        <v>2126</v>
      </c>
      <c r="AC40" s="1327" t="s">
        <v>2126</v>
      </c>
      <c r="AD40" s="1320"/>
    </row>
    <row r="41" ht="27" customHeight="1">
      <c r="A41" s="1337"/>
      <c r="B41" s="1343">
        <v>24</v>
      </c>
      <c r="C41" s="1335" t="s">
        <v>2127</v>
      </c>
      <c r="D41" s="1353"/>
      <c r="E41" s="1335"/>
      <c r="F41" s="1335"/>
      <c r="G41" s="1335"/>
      <c r="H41" s="1358"/>
      <c r="I41" s="1355" t="str">
        <f t="shared" si="67"/>
        <v>2.10.1</v>
      </c>
      <c r="J41" s="1355" t="str">
        <f t="shared" si="68"/>
        <v xml:space="preserve">Расходы на текущий ремонт</v>
      </c>
      <c r="K41" s="1355" t="str">
        <f t="shared" si="69"/>
        <v xml:space="preserve">Указываются расходы на текущий ремонт, отнесенные к общепроизводственным расходам.</v>
      </c>
      <c r="L41" s="1341" t="str">
        <f t="shared" si="70"/>
        <v>2.10.1</v>
      </c>
      <c r="M41" s="1341" t="str">
        <f t="shared" si="71"/>
        <v xml:space="preserve">Расходы на текущий ремонт</v>
      </c>
      <c r="N41" s="1341" t="str">
        <f t="shared" si="72"/>
        <v xml:space="preserve">Указываются расходы на текущий ремонт, отнесенные к общепроизводственным расходам.</v>
      </c>
      <c r="O41" s="1356" t="s">
        <v>2128</v>
      </c>
      <c r="P41" s="1356" t="s">
        <v>2115</v>
      </c>
      <c r="Q41" s="1356" t="s">
        <v>2128</v>
      </c>
      <c r="R41" s="1356" t="s">
        <v>2115</v>
      </c>
      <c r="S41" s="1356"/>
      <c r="T41" s="1335" t="s">
        <v>2129</v>
      </c>
      <c r="U41" s="1335" t="s">
        <v>2129</v>
      </c>
      <c r="V41" s="1335" t="s">
        <v>2129</v>
      </c>
      <c r="W41" s="1335" t="s">
        <v>2129</v>
      </c>
      <c r="X41" s="1335"/>
      <c r="Y41" s="1342"/>
      <c r="Z41" s="1320" t="s">
        <v>2130</v>
      </c>
      <c r="AA41" s="1320" t="s">
        <v>2130</v>
      </c>
      <c r="AB41" s="1320" t="s">
        <v>2130</v>
      </c>
      <c r="AC41" s="1320" t="s">
        <v>2130</v>
      </c>
      <c r="AD41" s="1320"/>
    </row>
    <row r="42" ht="27" customHeight="1">
      <c r="A42" s="1337"/>
      <c r="B42" s="1343">
        <v>25</v>
      </c>
      <c r="C42" s="1335" t="s">
        <v>2131</v>
      </c>
      <c r="D42" s="1353"/>
      <c r="E42" s="1335"/>
      <c r="F42" s="1335"/>
      <c r="G42" s="1335"/>
      <c r="H42" s="1358"/>
      <c r="I42" s="1355" t="str">
        <f t="shared" si="67"/>
        <v>2.10.2</v>
      </c>
      <c r="J42" s="1355" t="str">
        <f t="shared" si="68"/>
        <v xml:space="preserve">Расходы на капитальный ремонт</v>
      </c>
      <c r="K42" s="1355" t="str">
        <f t="shared" si="69"/>
        <v xml:space="preserve">Указываются расходы на капитальный ремонт, отнесенные к общепроизводственным расходам.</v>
      </c>
      <c r="L42" s="1341" t="str">
        <f t="shared" si="70"/>
        <v>2.10.2</v>
      </c>
      <c r="M42" s="1341" t="str">
        <f t="shared" si="71"/>
        <v xml:space="preserve">Расходы на капитальный ремонт</v>
      </c>
      <c r="N42" s="1341" t="str">
        <f t="shared" si="72"/>
        <v xml:space="preserve">Указываются расходы на капитальный ремонт, отнесенные к общепроизводственным расходам.</v>
      </c>
      <c r="O42" s="1356" t="s">
        <v>2132</v>
      </c>
      <c r="P42" s="1356" t="s">
        <v>2118</v>
      </c>
      <c r="Q42" s="1356" t="s">
        <v>2132</v>
      </c>
      <c r="R42" s="1356" t="s">
        <v>2118</v>
      </c>
      <c r="S42" s="1356"/>
      <c r="T42" s="1335" t="s">
        <v>2133</v>
      </c>
      <c r="U42" s="1335" t="s">
        <v>2133</v>
      </c>
      <c r="V42" s="1335" t="s">
        <v>2133</v>
      </c>
      <c r="W42" s="1335" t="s">
        <v>2133</v>
      </c>
      <c r="X42" s="1335"/>
      <c r="Y42" s="1342"/>
      <c r="Z42" s="1320" t="s">
        <v>2134</v>
      </c>
      <c r="AA42" s="1320" t="s">
        <v>2134</v>
      </c>
      <c r="AB42" s="1320" t="s">
        <v>2134</v>
      </c>
      <c r="AC42" s="1320" t="s">
        <v>2134</v>
      </c>
      <c r="AD42" s="1320"/>
    </row>
    <row r="43" ht="18" customHeight="1">
      <c r="A43" s="1337"/>
      <c r="B43" s="1343">
        <v>26</v>
      </c>
      <c r="C43" s="1335">
        <v>14</v>
      </c>
      <c r="D43" s="1353"/>
      <c r="E43" s="1335"/>
      <c r="F43" s="1335"/>
      <c r="G43" s="1335"/>
      <c r="H43" s="1358"/>
      <c r="I43" s="1355" t="str">
        <f t="shared" si="67"/>
        <v>2.11</v>
      </c>
      <c r="J43" s="1355" t="str">
        <f t="shared" si="68"/>
        <v xml:space="preserve">Общехозяйственные расходы, в том числе:</v>
      </c>
      <c r="K43" s="1355" t="str">
        <f t="shared" si="69"/>
        <v xml:space="preserve">Указывается общая сумма общехозяйственных расходов.</v>
      </c>
      <c r="L43" s="1341" t="str">
        <f t="shared" si="70"/>
        <v>2.11</v>
      </c>
      <c r="M43" s="1341" t="str">
        <f t="shared" si="71"/>
        <v xml:space="preserve">Общехозяйственные расходы, в том числе:</v>
      </c>
      <c r="N43" s="1341" t="str">
        <f t="shared" si="72"/>
        <v xml:space="preserve">Указывается общая сумма общехозяйственных расходов.</v>
      </c>
      <c r="O43" s="1356" t="s">
        <v>2135</v>
      </c>
      <c r="P43" s="1356" t="s">
        <v>741</v>
      </c>
      <c r="Q43" s="1356" t="s">
        <v>2135</v>
      </c>
      <c r="R43" s="1356" t="s">
        <v>741</v>
      </c>
      <c r="S43" s="1356"/>
      <c r="T43" s="1335" t="s">
        <v>2136</v>
      </c>
      <c r="U43" s="1335" t="s">
        <v>2136</v>
      </c>
      <c r="V43" s="1335" t="s">
        <v>2136</v>
      </c>
      <c r="W43" s="1335" t="s">
        <v>2136</v>
      </c>
      <c r="X43" s="1335"/>
      <c r="Y43" s="1342"/>
      <c r="Z43" s="1320" t="s">
        <v>2137</v>
      </c>
      <c r="AA43" s="1320" t="s">
        <v>2137</v>
      </c>
      <c r="AB43" s="1320" t="s">
        <v>2137</v>
      </c>
      <c r="AC43" s="1320" t="s">
        <v>2137</v>
      </c>
      <c r="AD43" s="1320"/>
    </row>
    <row r="44" ht="27" customHeight="1">
      <c r="A44" s="1337"/>
      <c r="B44" s="1343">
        <v>27</v>
      </c>
      <c r="C44" s="1335" t="s">
        <v>2138</v>
      </c>
      <c r="D44" s="1353"/>
      <c r="E44" s="1335"/>
      <c r="F44" s="1335"/>
      <c r="G44" s="1335"/>
      <c r="H44" s="1358"/>
      <c r="I44" s="1355" t="str">
        <f t="shared" si="67"/>
        <v>2.11.1</v>
      </c>
      <c r="J44" s="1355" t="str">
        <f t="shared" si="68"/>
        <v xml:space="preserve">Расходы на текущий ремонт</v>
      </c>
      <c r="K44" s="1355" t="str">
        <f t="shared" si="69"/>
        <v xml:space="preserve">Указываются расходы на текущий ремонт, отнесенные к общехозяйственным расходам.</v>
      </c>
      <c r="L44" s="1341" t="str">
        <f t="shared" si="70"/>
        <v>2.11.1</v>
      </c>
      <c r="M44" s="1341" t="str">
        <f t="shared" si="71"/>
        <v xml:space="preserve">Расходы на текущий ремонт</v>
      </c>
      <c r="N44" s="1341" t="str">
        <f t="shared" si="72"/>
        <v xml:space="preserve">Указываются расходы на текущий ремонт, отнесенные к общехозяйственным расходам.</v>
      </c>
      <c r="O44" s="1356" t="s">
        <v>2139</v>
      </c>
      <c r="P44" s="1356" t="s">
        <v>2140</v>
      </c>
      <c r="Q44" s="1356" t="s">
        <v>2139</v>
      </c>
      <c r="R44" s="1356" t="s">
        <v>2140</v>
      </c>
      <c r="S44" s="1356"/>
      <c r="T44" s="1335" t="s">
        <v>2129</v>
      </c>
      <c r="U44" s="1335" t="s">
        <v>2129</v>
      </c>
      <c r="V44" s="1335" t="s">
        <v>2129</v>
      </c>
      <c r="W44" s="1335" t="s">
        <v>2129</v>
      </c>
      <c r="X44" s="1335"/>
      <c r="Y44" s="1342"/>
      <c r="Z44" s="1320" t="s">
        <v>2141</v>
      </c>
      <c r="AA44" s="1320" t="s">
        <v>2141</v>
      </c>
      <c r="AB44" s="1320" t="s">
        <v>2141</v>
      </c>
      <c r="AC44" s="1320" t="s">
        <v>2141</v>
      </c>
      <c r="AD44" s="1320"/>
    </row>
    <row r="45" ht="27" customHeight="1">
      <c r="A45" s="1337"/>
      <c r="B45" s="1343">
        <v>28</v>
      </c>
      <c r="C45" s="1335" t="s">
        <v>2142</v>
      </c>
      <c r="D45" s="1353"/>
      <c r="E45" s="1335"/>
      <c r="F45" s="1335"/>
      <c r="G45" s="1335"/>
      <c r="H45" s="1358"/>
      <c r="I45" s="1355" t="str">
        <f t="shared" si="67"/>
        <v>2.11.2</v>
      </c>
      <c r="J45" s="1355" t="str">
        <f t="shared" si="68"/>
        <v xml:space="preserve">Расходы на капитальный ремонт</v>
      </c>
      <c r="K45" s="1355" t="str">
        <f t="shared" si="69"/>
        <v xml:space="preserve">Указываются расходы на капитальный ремонт, отнесенные к общехозяйственным расходам.</v>
      </c>
      <c r="L45" s="1341" t="str">
        <f t="shared" si="70"/>
        <v>2.11.2</v>
      </c>
      <c r="M45" s="1341" t="str">
        <f t="shared" si="71"/>
        <v xml:space="preserve">Расходы на капитальный ремонт</v>
      </c>
      <c r="N45" s="1341" t="str">
        <f t="shared" si="72"/>
        <v xml:space="preserve">Указываются расходы на капитальный ремонт, отнесенные к общехозяйственным расходам.</v>
      </c>
      <c r="O45" s="1356" t="s">
        <v>2143</v>
      </c>
      <c r="P45" s="1356" t="s">
        <v>2144</v>
      </c>
      <c r="Q45" s="1356" t="s">
        <v>2143</v>
      </c>
      <c r="R45" s="1356" t="s">
        <v>2144</v>
      </c>
      <c r="S45" s="1356"/>
      <c r="T45" s="1335" t="s">
        <v>2133</v>
      </c>
      <c r="U45" s="1335" t="s">
        <v>2133</v>
      </c>
      <c r="V45" s="1335" t="s">
        <v>2133</v>
      </c>
      <c r="W45" s="1335" t="s">
        <v>2133</v>
      </c>
      <c r="X45" s="1335"/>
      <c r="Y45" s="1342"/>
      <c r="Z45" s="1320" t="s">
        <v>2145</v>
      </c>
      <c r="AA45" s="1320" t="s">
        <v>2145</v>
      </c>
      <c r="AB45" s="1320" t="s">
        <v>2145</v>
      </c>
      <c r="AC45" s="1320" t="s">
        <v>2145</v>
      </c>
      <c r="AD45" s="1320"/>
    </row>
    <row r="46" ht="54" customHeight="1">
      <c r="A46" s="1337"/>
      <c r="B46" s="1343">
        <v>29</v>
      </c>
      <c r="C46" s="1335">
        <v>15</v>
      </c>
      <c r="D46" s="1353"/>
      <c r="E46" s="1335"/>
      <c r="F46" s="1335"/>
      <c r="G46" s="1335"/>
      <c r="H46" s="1358"/>
      <c r="I46" s="1355" t="str">
        <f t="shared" si="67"/>
        <v>2.12</v>
      </c>
      <c r="J46" s="1355" t="str">
        <f t="shared" si="68"/>
        <v xml:space="preserve">Расходы на капитальный и текущий ремонт основных средств</v>
      </c>
      <c r="K46" s="1355" t="str">
        <f t="shared" si="69"/>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1" t="str">
        <f t="shared" si="70"/>
        <v>2.12</v>
      </c>
      <c r="M46" s="1341" t="str">
        <f t="shared" si="71"/>
        <v xml:space="preserve">Расходы на капитальный и текущий ремонт основных средств</v>
      </c>
      <c r="N46" s="1341" t="str">
        <f t="shared" si="72"/>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6" t="s">
        <v>2146</v>
      </c>
      <c r="P46" s="1356" t="s">
        <v>2124</v>
      </c>
      <c r="Q46" s="1356" t="s">
        <v>2146</v>
      </c>
      <c r="R46" s="1356" t="s">
        <v>2124</v>
      </c>
      <c r="S46" s="1356"/>
      <c r="T46" s="1341"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5" t="s">
        <v>2147</v>
      </c>
      <c r="V46" s="1335" t="s">
        <v>2147</v>
      </c>
      <c r="W46" s="1335" t="s">
        <v>2147</v>
      </c>
      <c r="X46" s="1335"/>
      <c r="Y46" s="1342"/>
      <c r="Z46" s="1320" t="s">
        <v>2148</v>
      </c>
      <c r="AA46" s="1320" t="s">
        <v>2149</v>
      </c>
      <c r="AB46" s="1320" t="s">
        <v>2149</v>
      </c>
      <c r="AC46" s="1320" t="s">
        <v>2149</v>
      </c>
      <c r="AD46" s="1320"/>
    </row>
    <row r="47" ht="54" customHeight="1">
      <c r="A47" s="1337"/>
      <c r="B47" s="1343">
        <v>30</v>
      </c>
      <c r="C47" s="1335" t="s">
        <v>2150</v>
      </c>
      <c r="D47" s="1353"/>
      <c r="E47" s="1335"/>
      <c r="F47" s="1335"/>
      <c r="G47" s="1335"/>
      <c r="H47" s="1358"/>
      <c r="I47" s="1355" t="str">
        <f t="shared" si="67"/>
        <v>2.12.1</v>
      </c>
      <c r="J47" s="1355" t="str">
        <f t="shared" si="68"/>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5">
        <f t="shared" si="69"/>
        <v>0</v>
      </c>
      <c r="L47" s="1341" t="str">
        <f t="shared" si="70"/>
        <v>2.12.1</v>
      </c>
      <c r="M47" s="1341" t="str">
        <f t="shared" si="71"/>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1" t="str">
        <f t="shared" si="72"/>
        <v/>
      </c>
      <c r="O47" s="1356" t="s">
        <v>2151</v>
      </c>
      <c r="P47" s="1356" t="s">
        <v>2128</v>
      </c>
      <c r="Q47" s="1356" t="s">
        <v>2151</v>
      </c>
      <c r="R47" s="1356" t="s">
        <v>2128</v>
      </c>
      <c r="S47" s="1356"/>
      <c r="T47" s="1335" t="s">
        <v>2152</v>
      </c>
      <c r="U47" s="1335" t="s">
        <v>2152</v>
      </c>
      <c r="V47" s="1335" t="s">
        <v>2152</v>
      </c>
      <c r="W47" s="1335" t="s">
        <v>2152</v>
      </c>
      <c r="X47" s="1335"/>
      <c r="Y47" s="1342"/>
      <c r="Z47" s="1320"/>
      <c r="AA47" s="1327"/>
      <c r="AB47" s="1327"/>
      <c r="AC47" s="1327"/>
      <c r="AD47" s="1320"/>
    </row>
    <row r="48" ht="54" customHeight="1">
      <c r="A48" s="1337"/>
      <c r="B48" s="1343">
        <v>31</v>
      </c>
      <c r="C48" s="1335">
        <v>16</v>
      </c>
      <c r="D48" s="1353"/>
      <c r="E48" s="1335"/>
      <c r="F48" s="1335"/>
      <c r="G48" s="1335"/>
      <c r="H48" s="1358"/>
      <c r="I48" s="1355">
        <f t="shared" si="67"/>
        <v>0</v>
      </c>
      <c r="J48" s="1355">
        <f t="shared" si="68"/>
        <v>0</v>
      </c>
      <c r="K48" s="1355">
        <f t="shared" si="69"/>
        <v>0</v>
      </c>
      <c r="L48" s="1341" t="str">
        <f t="shared" si="70"/>
        <v/>
      </c>
      <c r="M48" s="1341" t="str">
        <f t="shared" si="71"/>
        <v/>
      </c>
      <c r="N48" s="1341" t="str">
        <f t="shared" si="72"/>
        <v/>
      </c>
      <c r="O48" s="1356"/>
      <c r="P48" s="1356" t="s">
        <v>2135</v>
      </c>
      <c r="Q48" s="1356" t="s">
        <v>2153</v>
      </c>
      <c r="R48" s="1356" t="s">
        <v>2135</v>
      </c>
      <c r="S48" s="1356"/>
      <c r="T48" s="1335"/>
      <c r="U48" s="1335" t="s">
        <v>2154</v>
      </c>
      <c r="V48" s="1335" t="s">
        <v>2155</v>
      </c>
      <c r="W48" s="1335" t="s">
        <v>2155</v>
      </c>
      <c r="X48" s="1335"/>
      <c r="Y48" s="1342"/>
      <c r="Z48" s="1320"/>
      <c r="AA48" s="1327" t="s">
        <v>2149</v>
      </c>
      <c r="AB48" s="1327" t="s">
        <v>2149</v>
      </c>
      <c r="AC48" s="1327" t="s">
        <v>2149</v>
      </c>
      <c r="AD48" s="1320"/>
    </row>
    <row r="49" ht="54" customHeight="1">
      <c r="A49" s="1337"/>
      <c r="B49" s="1343">
        <v>32</v>
      </c>
      <c r="C49" s="1335" t="s">
        <v>2156</v>
      </c>
      <c r="D49" s="1353"/>
      <c r="E49" s="1335"/>
      <c r="F49" s="1335"/>
      <c r="G49" s="1335"/>
      <c r="H49" s="1358"/>
      <c r="I49" s="1355">
        <f t="shared" si="67"/>
        <v>0</v>
      </c>
      <c r="J49" s="1355">
        <f t="shared" si="68"/>
        <v>0</v>
      </c>
      <c r="K49" s="1355">
        <f t="shared" si="69"/>
        <v>0</v>
      </c>
      <c r="L49" s="1341" t="str">
        <f t="shared" si="70"/>
        <v/>
      </c>
      <c r="M49" s="1341" t="str">
        <f t="shared" si="71"/>
        <v/>
      </c>
      <c r="N49" s="1341" t="str">
        <f t="shared" si="72"/>
        <v/>
      </c>
      <c r="O49" s="1356"/>
      <c r="P49" s="1356" t="s">
        <v>2139</v>
      </c>
      <c r="Q49" s="1356" t="s">
        <v>2157</v>
      </c>
      <c r="R49" s="1356" t="s">
        <v>2139</v>
      </c>
      <c r="S49" s="1356"/>
      <c r="T49" s="1335"/>
      <c r="U49" s="1335" t="s">
        <v>2152</v>
      </c>
      <c r="V49" s="1335" t="s">
        <v>2152</v>
      </c>
      <c r="W49" s="1335" t="s">
        <v>2152</v>
      </c>
      <c r="X49" s="1335"/>
      <c r="Y49" s="1342"/>
      <c r="Z49" s="1320"/>
      <c r="AA49" s="1327"/>
      <c r="AB49" s="1327"/>
      <c r="AC49" s="1327"/>
      <c r="AD49" s="1320"/>
    </row>
    <row r="50" ht="126" customHeight="1">
      <c r="A50" s="1337"/>
      <c r="B50" s="1343">
        <v>33</v>
      </c>
      <c r="C50" s="1335">
        <v>17</v>
      </c>
      <c r="D50" s="1353"/>
      <c r="E50" s="1335"/>
      <c r="F50" s="1335"/>
      <c r="G50" s="1335"/>
      <c r="H50" s="1358"/>
      <c r="I50" s="1355" t="str">
        <f t="shared" si="67"/>
        <v>2.13</v>
      </c>
      <c r="J50" s="1355" t="str">
        <f t="shared" si="68"/>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5" t="str">
        <f t="shared" si="69"/>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1" t="str">
        <f t="shared" si="70"/>
        <v>2.13</v>
      </c>
      <c r="M50" s="1341" t="str">
        <f t="shared" si="71"/>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1" t="str">
        <f t="shared" si="72"/>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6" t="s">
        <v>2153</v>
      </c>
      <c r="P50" s="1356" t="s">
        <v>2146</v>
      </c>
      <c r="Q50" s="1356" t="s">
        <v>2158</v>
      </c>
      <c r="R50" s="1356" t="s">
        <v>2146</v>
      </c>
      <c r="S50" s="1356"/>
      <c r="T50" s="1335" t="s">
        <v>2159</v>
      </c>
      <c r="U50" s="1335" t="s">
        <v>2160</v>
      </c>
      <c r="V50" s="1335" t="s">
        <v>2161</v>
      </c>
      <c r="W50" s="1335" t="s">
        <v>2162</v>
      </c>
      <c r="X50" s="1335"/>
      <c r="Y50" s="1342"/>
      <c r="Z50" s="1320" t="s">
        <v>2163</v>
      </c>
      <c r="AA50" s="1327" t="s">
        <v>2164</v>
      </c>
      <c r="AB50" s="1327" t="s">
        <v>2164</v>
      </c>
      <c r="AC50" s="1327" t="s">
        <v>2164</v>
      </c>
      <c r="AD50" s="1320"/>
    </row>
    <row r="51" ht="27" customHeight="1">
      <c r="A51" s="1337"/>
      <c r="B51" s="1343">
        <v>34</v>
      </c>
      <c r="C51" s="1335" t="s">
        <v>2165</v>
      </c>
      <c r="D51" s="1353"/>
      <c r="E51" s="1335"/>
      <c r="F51" s="1335"/>
      <c r="G51" s="1335"/>
      <c r="H51" s="1358"/>
      <c r="I51" s="1355" t="str">
        <f t="shared" si="67"/>
        <v>3</v>
      </c>
      <c r="J51" s="1355" t="str">
        <f t="shared" si="68"/>
        <v xml:space="preserve">Валовая прибыль (убытки) от реализации товаров и оказания услуг по регулируемому виду деятельности</v>
      </c>
      <c r="K51" s="1355">
        <f t="shared" si="69"/>
        <v>0</v>
      </c>
      <c r="L51" s="1341" t="str">
        <f t="shared" si="70"/>
        <v>3</v>
      </c>
      <c r="M51" s="1341" t="str">
        <f t="shared" si="71"/>
        <v xml:space="preserve">Валовая прибыль (убытки) от реализации товаров и оказания услуг по регулируемому виду деятельности</v>
      </c>
      <c r="N51" s="1341" t="str">
        <f t="shared" si="72"/>
        <v/>
      </c>
      <c r="O51" s="1356" t="s">
        <v>90</v>
      </c>
      <c r="P51" s="1356"/>
      <c r="Q51" s="1356"/>
      <c r="R51" s="1356"/>
      <c r="S51" s="1356"/>
      <c r="T51" s="1335" t="s">
        <v>2166</v>
      </c>
      <c r="U51" s="1335"/>
      <c r="V51" s="1335"/>
      <c r="W51" s="1335"/>
      <c r="X51" s="1335"/>
      <c r="Y51" s="1342"/>
      <c r="Z51" s="1320"/>
      <c r="AA51" s="1327"/>
      <c r="AB51" s="1327"/>
      <c r="AC51" s="1327"/>
      <c r="AD51" s="1320"/>
    </row>
    <row r="52" ht="36" customHeight="1">
      <c r="A52" s="1337"/>
      <c r="B52" s="1343">
        <v>35</v>
      </c>
      <c r="C52" s="1335" t="s">
        <v>2059</v>
      </c>
      <c r="D52" s="1353" t="s">
        <v>2059</v>
      </c>
      <c r="E52" s="1335" t="s">
        <v>2059</v>
      </c>
      <c r="F52" s="1335" t="s">
        <v>2059</v>
      </c>
      <c r="G52" s="1335"/>
      <c r="H52" s="1358"/>
      <c r="I52" s="1355" t="str">
        <f t="shared" si="67"/>
        <v>4</v>
      </c>
      <c r="J52" s="1355" t="str">
        <f t="shared" si="68"/>
        <v xml:space="preserve">Чистая прибыль, полученная от регулируемого вида деятельности, в том числе:</v>
      </c>
      <c r="K52" s="1355" t="str">
        <f t="shared" si="69"/>
        <v xml:space="preserve">Указывается общая сумма чистой прибыли, полученной от регулируемого вида деятельности.</v>
      </c>
      <c r="L52" s="1341" t="str">
        <f t="shared" si="70"/>
        <v>4</v>
      </c>
      <c r="M52" s="1341" t="str">
        <f t="shared" si="71"/>
        <v xml:space="preserve">Чистая прибыль, полученная от регулируемого вида деятельности, в том числе:</v>
      </c>
      <c r="N52" s="1341" t="str">
        <f t="shared" si="72"/>
        <v xml:space="preserve">Указывается общая сумма чистой прибыли, полученной от регулируемого вида деятельности.</v>
      </c>
      <c r="O52" s="1356" t="s">
        <v>91</v>
      </c>
      <c r="P52" s="1356" t="s">
        <v>90</v>
      </c>
      <c r="Q52" s="1356" t="s">
        <v>90</v>
      </c>
      <c r="R52" s="1356" t="s">
        <v>90</v>
      </c>
      <c r="S52" s="1356"/>
      <c r="T52" s="1335" t="s">
        <v>2167</v>
      </c>
      <c r="U52" s="1335" t="s">
        <v>2168</v>
      </c>
      <c r="V52" s="1335" t="s">
        <v>2169</v>
      </c>
      <c r="W52" s="1335" t="s">
        <v>2170</v>
      </c>
      <c r="X52" s="1335"/>
      <c r="Y52" s="1342"/>
      <c r="Z52" s="1320" t="s">
        <v>745</v>
      </c>
      <c r="AA52" s="1327" t="s">
        <v>745</v>
      </c>
      <c r="AB52" s="1327" t="s">
        <v>745</v>
      </c>
      <c r="AC52" s="1327" t="s">
        <v>745</v>
      </c>
      <c r="AD52" s="1320"/>
    </row>
    <row r="53" ht="36" customHeight="1">
      <c r="A53" s="1337"/>
      <c r="B53" s="1343">
        <v>36</v>
      </c>
      <c r="C53" s="1335">
        <v>1</v>
      </c>
      <c r="D53" s="1353"/>
      <c r="E53" s="1335"/>
      <c r="F53" s="1335"/>
      <c r="G53" s="1335"/>
      <c r="H53" s="1358"/>
      <c r="I53" s="1355" t="str">
        <f t="shared" si="67"/>
        <v>4.1</v>
      </c>
      <c r="J53" s="1355" t="str">
        <f t="shared" si="68"/>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5">
        <f t="shared" si="69"/>
        <v>0</v>
      </c>
      <c r="L53" s="1341" t="str">
        <f t="shared" si="70"/>
        <v>4.1</v>
      </c>
      <c r="M53" s="1341" t="str">
        <f t="shared" si="71"/>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1" t="str">
        <f t="shared" si="72"/>
        <v/>
      </c>
      <c r="O53" s="1356" t="s">
        <v>749</v>
      </c>
      <c r="P53" s="1356" t="s">
        <v>319</v>
      </c>
      <c r="Q53" s="1356" t="s">
        <v>319</v>
      </c>
      <c r="R53" s="1356" t="s">
        <v>319</v>
      </c>
      <c r="S53" s="1356"/>
      <c r="T53" s="1335" t="s">
        <v>2171</v>
      </c>
      <c r="U53" s="1335" t="s">
        <v>2171</v>
      </c>
      <c r="V53" s="1335" t="s">
        <v>2171</v>
      </c>
      <c r="W53" s="1335" t="s">
        <v>2171</v>
      </c>
      <c r="X53" s="1335"/>
      <c r="Y53" s="1342"/>
      <c r="Z53" s="1320"/>
      <c r="AA53" s="1327"/>
      <c r="AB53" s="1320"/>
      <c r="AC53" s="1320"/>
      <c r="AD53" s="1320"/>
    </row>
    <row r="54" ht="18" customHeight="1">
      <c r="A54" s="1337"/>
      <c r="B54" s="1343">
        <v>37</v>
      </c>
      <c r="C54" s="1335" t="s">
        <v>2065</v>
      </c>
      <c r="D54" s="1353" t="s">
        <v>2065</v>
      </c>
      <c r="E54" s="1335" t="s">
        <v>2065</v>
      </c>
      <c r="F54" s="1335" t="s">
        <v>2065</v>
      </c>
      <c r="G54" s="1335"/>
      <c r="H54" s="1358"/>
      <c r="I54" s="1355" t="str">
        <f t="shared" si="67"/>
        <v>5</v>
      </c>
      <c r="J54" s="1355" t="str">
        <f t="shared" si="68"/>
        <v xml:space="preserve">Изменение стоимости основных фондов, в том числе:</v>
      </c>
      <c r="K54" s="1355" t="str">
        <f t="shared" si="69"/>
        <v xml:space="preserve">Указывается общее изменение стоимости основных фондов.</v>
      </c>
      <c r="L54" s="1341" t="str">
        <f t="shared" si="70"/>
        <v>5</v>
      </c>
      <c r="M54" s="1341" t="str">
        <f t="shared" si="71"/>
        <v xml:space="preserve">Изменение стоимости основных фондов, в том числе:</v>
      </c>
      <c r="N54" s="1341" t="str">
        <f t="shared" si="72"/>
        <v xml:space="preserve">Указывается общее изменение стоимости основных фондов.</v>
      </c>
      <c r="O54" s="1356" t="s">
        <v>108</v>
      </c>
      <c r="P54" s="1356" t="s">
        <v>91</v>
      </c>
      <c r="Q54" s="1356" t="s">
        <v>91</v>
      </c>
      <c r="R54" s="1356" t="s">
        <v>91</v>
      </c>
      <c r="S54" s="1356"/>
      <c r="T54" s="1335" t="s">
        <v>747</v>
      </c>
      <c r="U54" s="1335" t="s">
        <v>747</v>
      </c>
      <c r="V54" s="1335" t="s">
        <v>747</v>
      </c>
      <c r="W54" s="1335" t="s">
        <v>747</v>
      </c>
      <c r="X54" s="1335"/>
      <c r="Y54" s="1342"/>
      <c r="Z54" s="1320" t="s">
        <v>748</v>
      </c>
      <c r="AA54" s="1320" t="s">
        <v>748</v>
      </c>
      <c r="AB54" s="1320" t="s">
        <v>748</v>
      </c>
      <c r="AC54" s="1320" t="s">
        <v>748</v>
      </c>
      <c r="AD54" s="1320"/>
    </row>
    <row r="55" ht="36" customHeight="1">
      <c r="A55" s="1337"/>
      <c r="B55" s="1343">
        <v>38</v>
      </c>
      <c r="C55" s="1335">
        <v>1</v>
      </c>
      <c r="D55" s="1353"/>
      <c r="E55" s="1335"/>
      <c r="F55" s="1335"/>
      <c r="G55" s="1335"/>
      <c r="H55" s="1358"/>
      <c r="I55" s="1355" t="str">
        <f t="shared" si="67"/>
        <v>5.1</v>
      </c>
      <c r="J55" s="1355" t="str">
        <f t="shared" si="68"/>
        <v xml:space="preserve">Изменение стоимости основных фондов за счет:</v>
      </c>
      <c r="K55" s="1355" t="str">
        <f t="shared" si="69"/>
        <v xml:space="preserve">Указываются общее изменение стоимости основных фондов за счет их ввода в эксплуатацию и вывода из эксплуатации.</v>
      </c>
      <c r="L55" s="1341" t="str">
        <f t="shared" si="70"/>
        <v>5.1</v>
      </c>
      <c r="M55" s="1341" t="str">
        <f t="shared" si="71"/>
        <v xml:space="preserve">Изменение стоимости основных фондов за счет:</v>
      </c>
      <c r="N55" s="1341" t="str">
        <f t="shared" si="72"/>
        <v xml:space="preserve">Указываются общее изменение стоимости основных фондов за счет их ввода в эксплуатацию и вывода из эксплуатации.</v>
      </c>
      <c r="O55" s="1356" t="s">
        <v>308</v>
      </c>
      <c r="P55" s="1356" t="s">
        <v>749</v>
      </c>
      <c r="Q55" s="1356" t="s">
        <v>749</v>
      </c>
      <c r="R55" s="1356" t="s">
        <v>749</v>
      </c>
      <c r="S55" s="1356"/>
      <c r="T55" s="1341"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5" t="s">
        <v>2172</v>
      </c>
      <c r="V55" s="1335" t="s">
        <v>2172</v>
      </c>
      <c r="W55" s="1335" t="s">
        <v>2172</v>
      </c>
      <c r="X55" s="1335"/>
      <c r="Y55" s="1342"/>
      <c r="Z55" s="1320" t="s">
        <v>2173</v>
      </c>
      <c r="AA55" s="1320" t="s">
        <v>2173</v>
      </c>
      <c r="AB55" s="1320" t="s">
        <v>2173</v>
      </c>
      <c r="AC55" s="1320" t="s">
        <v>2173</v>
      </c>
      <c r="AD55" s="1320"/>
    </row>
    <row r="56" ht="27" customHeight="1">
      <c r="A56" s="1337"/>
      <c r="B56" s="1343">
        <v>39</v>
      </c>
      <c r="C56" s="1335" t="s">
        <v>1065</v>
      </c>
      <c r="D56" s="1353"/>
      <c r="E56" s="1335"/>
      <c r="F56" s="1335"/>
      <c r="G56" s="1335"/>
      <c r="H56" s="1358"/>
      <c r="I56" s="1355" t="str">
        <f t="shared" si="67"/>
        <v>5.1.1</v>
      </c>
      <c r="J56" s="1355" t="str">
        <f t="shared" si="68"/>
        <v xml:space="preserve">Изменения стоимости основных фондов за счет их ввода в эксплуатацию</v>
      </c>
      <c r="K56" s="1355" t="str">
        <f t="shared" si="69"/>
        <v xml:space="preserve">Указываются изменение стоимости основных фондов за счет их ввода в эксплуатацию.</v>
      </c>
      <c r="L56" s="1341" t="str">
        <f t="shared" si="70"/>
        <v>5.1.1</v>
      </c>
      <c r="M56" s="1341" t="str">
        <f t="shared" si="71"/>
        <v xml:space="preserve">Изменения стоимости основных фондов за счет их ввода в эксплуатацию</v>
      </c>
      <c r="N56" s="1341" t="str">
        <f t="shared" si="72"/>
        <v xml:space="preserve">Указываются изменение стоимости основных фондов за счет их ввода в эксплуатацию.</v>
      </c>
      <c r="O56" s="1356" t="s">
        <v>1185</v>
      </c>
      <c r="P56" s="1356" t="s">
        <v>752</v>
      </c>
      <c r="Q56" s="1356" t="s">
        <v>752</v>
      </c>
      <c r="R56" s="1356" t="s">
        <v>752</v>
      </c>
      <c r="S56" s="1356"/>
      <c r="T56" s="1341"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5" t="s">
        <v>2174</v>
      </c>
      <c r="V56" s="1335" t="s">
        <v>2174</v>
      </c>
      <c r="W56" s="1335" t="s">
        <v>2174</v>
      </c>
      <c r="X56" s="1335"/>
      <c r="Y56" s="1342"/>
      <c r="Z56" s="1320" t="s">
        <v>754</v>
      </c>
      <c r="AA56" s="1320" t="s">
        <v>754</v>
      </c>
      <c r="AB56" s="1320" t="s">
        <v>754</v>
      </c>
      <c r="AC56" s="1320" t="s">
        <v>754</v>
      </c>
      <c r="AD56" s="1320"/>
    </row>
    <row r="57" ht="27" customHeight="1">
      <c r="A57" s="1337"/>
      <c r="B57" s="1343">
        <v>40</v>
      </c>
      <c r="C57" s="1335" t="s">
        <v>1067</v>
      </c>
      <c r="D57" s="1353"/>
      <c r="E57" s="1335"/>
      <c r="F57" s="1335"/>
      <c r="G57" s="1335"/>
      <c r="H57" s="1358"/>
      <c r="I57" s="1355" t="str">
        <f t="shared" si="67"/>
        <v>5.1.2</v>
      </c>
      <c r="J57" s="1355" t="str">
        <f t="shared" si="68"/>
        <v xml:space="preserve">Изменения стоимости основных фондов за счет их вывода в эксплуатацию</v>
      </c>
      <c r="K57" s="1355" t="str">
        <f t="shared" si="69"/>
        <v xml:space="preserve">Указываются изменение стоимости основных фондов за счет их вывода из эксплуатации.</v>
      </c>
      <c r="L57" s="1341" t="str">
        <f t="shared" si="70"/>
        <v>5.1.2</v>
      </c>
      <c r="M57" s="1341" t="str">
        <f t="shared" si="71"/>
        <v xml:space="preserve">Изменения стоимости основных фондов за счет их вывода в эксплуатацию</v>
      </c>
      <c r="N57" s="1341" t="str">
        <f t="shared" si="72"/>
        <v xml:space="preserve">Указываются изменение стоимости основных фондов за счет их вывода из эксплуатации.</v>
      </c>
      <c r="O57" s="1356" t="s">
        <v>2175</v>
      </c>
      <c r="P57" s="1356" t="s">
        <v>755</v>
      </c>
      <c r="Q57" s="1356" t="s">
        <v>755</v>
      </c>
      <c r="R57" s="1356" t="s">
        <v>755</v>
      </c>
      <c r="S57" s="1356"/>
      <c r="T57" s="1341"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5" t="s">
        <v>2176</v>
      </c>
      <c r="V57" s="1335" t="s">
        <v>2176</v>
      </c>
      <c r="W57" s="1335" t="s">
        <v>2176</v>
      </c>
      <c r="X57" s="1335"/>
      <c r="Y57" s="1342"/>
      <c r="Z57" s="1320" t="s">
        <v>757</v>
      </c>
      <c r="AA57" s="1320" t="s">
        <v>757</v>
      </c>
      <c r="AB57" s="1320" t="s">
        <v>757</v>
      </c>
      <c r="AC57" s="1320" t="s">
        <v>757</v>
      </c>
      <c r="AD57" s="1320"/>
    </row>
    <row r="58" ht="18" customHeight="1">
      <c r="A58" s="1337"/>
      <c r="B58" s="1343">
        <v>41</v>
      </c>
      <c r="C58" s="1335">
        <v>2</v>
      </c>
      <c r="D58" s="1353"/>
      <c r="E58" s="1335"/>
      <c r="F58" s="1335"/>
      <c r="G58" s="1335"/>
      <c r="H58" s="1358"/>
      <c r="I58" s="1355" t="str">
        <f t="shared" si="67"/>
        <v>5.2</v>
      </c>
      <c r="J58" s="1355" t="str">
        <f t="shared" si="68"/>
        <v xml:space="preserve">Изменение стоимости основных фондов за счет их переоценки</v>
      </c>
      <c r="K58" s="1355">
        <f t="shared" si="69"/>
        <v>0</v>
      </c>
      <c r="L58" s="1341" t="str">
        <f t="shared" si="70"/>
        <v>5.2</v>
      </c>
      <c r="M58" s="1341" t="str">
        <f t="shared" si="71"/>
        <v xml:space="preserve">Изменение стоимости основных фондов за счет их переоценки</v>
      </c>
      <c r="N58" s="1341" t="str">
        <f t="shared" si="72"/>
        <v/>
      </c>
      <c r="O58" s="1356" t="s">
        <v>877</v>
      </c>
      <c r="P58" s="1356" t="s">
        <v>791</v>
      </c>
      <c r="Q58" s="1356" t="s">
        <v>791</v>
      </c>
      <c r="R58" s="1356" t="s">
        <v>791</v>
      </c>
      <c r="S58" s="1356"/>
      <c r="T58" s="1341"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5" t="s">
        <v>2177</v>
      </c>
      <c r="V58" s="1335" t="s">
        <v>2177</v>
      </c>
      <c r="W58" s="1335" t="s">
        <v>2177</v>
      </c>
      <c r="X58" s="1335"/>
      <c r="Y58" s="1342"/>
      <c r="Z58" s="1320"/>
      <c r="AA58" s="1327"/>
      <c r="AB58" s="1320"/>
      <c r="AC58" s="1320"/>
      <c r="AD58" s="1320"/>
    </row>
    <row r="59" ht="36" customHeight="1">
      <c r="A59" s="1337"/>
      <c r="B59" s="1343">
        <v>42</v>
      </c>
      <c r="C59" s="1335">
        <v>3</v>
      </c>
      <c r="D59" s="1353" t="s">
        <v>2165</v>
      </c>
      <c r="E59" s="1335" t="s">
        <v>2165</v>
      </c>
      <c r="F59" s="1335" t="s">
        <v>2165</v>
      </c>
      <c r="G59" s="1335"/>
      <c r="H59" s="1358"/>
      <c r="I59" s="1355">
        <f t="shared" si="67"/>
        <v>0</v>
      </c>
      <c r="J59" s="1355">
        <f t="shared" si="68"/>
        <v>0</v>
      </c>
      <c r="K59" s="1355">
        <f t="shared" si="69"/>
        <v>0</v>
      </c>
      <c r="L59" s="1341" t="str">
        <f t="shared" si="70"/>
        <v/>
      </c>
      <c r="M59" s="1341" t="str">
        <f t="shared" si="71"/>
        <v/>
      </c>
      <c r="N59" s="1341" t="str">
        <f t="shared" si="72"/>
        <v/>
      </c>
      <c r="O59" s="1356"/>
      <c r="P59" s="1356" t="s">
        <v>108</v>
      </c>
      <c r="Q59" s="1356" t="s">
        <v>108</v>
      </c>
      <c r="R59" s="1356" t="s">
        <v>108</v>
      </c>
      <c r="S59" s="1356"/>
      <c r="T59" s="1335"/>
      <c r="U59" s="1335" t="s">
        <v>2178</v>
      </c>
      <c r="V59" s="1335" t="s">
        <v>2179</v>
      </c>
      <c r="W59" s="1335" t="s">
        <v>2180</v>
      </c>
      <c r="X59" s="1335"/>
      <c r="Y59" s="1342"/>
      <c r="Z59" s="1320"/>
      <c r="AA59" s="1327"/>
      <c r="AB59" s="1320"/>
      <c r="AC59" s="1320"/>
      <c r="AD59" s="1320"/>
    </row>
    <row r="60" ht="81" customHeight="1">
      <c r="A60" s="1337"/>
      <c r="B60" s="1343">
        <v>43</v>
      </c>
      <c r="C60" s="1335" t="s">
        <v>2181</v>
      </c>
      <c r="D60" s="1353" t="s">
        <v>2181</v>
      </c>
      <c r="E60" s="1335" t="s">
        <v>2181</v>
      </c>
      <c r="F60" s="1335" t="s">
        <v>2181</v>
      </c>
      <c r="G60" s="1335"/>
      <c r="H60" s="1358"/>
      <c r="I60" s="1355" t="str">
        <f t="shared" si="67"/>
        <v>6</v>
      </c>
      <c r="J60" s="1355" t="str">
        <f t="shared" si="68"/>
        <v xml:space="preserve">Годовая бухгалтерская (финансовая) отчетность, включая бухгалтерский баланс и приложения к нему</v>
      </c>
      <c r="K60" s="1355" t="str">
        <f t="shared" si="69"/>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1" t="str">
        <f t="shared" si="70"/>
        <v>6</v>
      </c>
      <c r="M60" s="1341" t="str">
        <f t="shared" si="71"/>
        <v xml:space="preserve">Годовая бухгалтерская (финансовая) отчетность, включая бухгалтерский баланс и приложения к нему</v>
      </c>
      <c r="N60" s="1341" t="str">
        <f t="shared" si="72"/>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6" t="s">
        <v>92</v>
      </c>
      <c r="P60" s="1356" t="s">
        <v>92</v>
      </c>
      <c r="Q60" s="1356" t="s">
        <v>92</v>
      </c>
      <c r="R60" s="1356" t="s">
        <v>92</v>
      </c>
      <c r="S60" s="1356"/>
      <c r="T60" s="1335" t="s">
        <v>624</v>
      </c>
      <c r="U60" s="1335" t="s">
        <v>624</v>
      </c>
      <c r="V60" s="1335" t="s">
        <v>624</v>
      </c>
      <c r="W60" s="1335" t="s">
        <v>624</v>
      </c>
      <c r="X60" s="1335"/>
      <c r="Y60" s="1342"/>
      <c r="Z60" s="1320" t="s">
        <v>2182</v>
      </c>
      <c r="AA60" s="1327" t="s">
        <v>2183</v>
      </c>
      <c r="AB60" s="1320" t="s">
        <v>2184</v>
      </c>
      <c r="AC60" s="1320" t="s">
        <v>2183</v>
      </c>
      <c r="AD60" s="1320"/>
    </row>
    <row r="61" ht="9" customHeight="1">
      <c r="A61" s="1337"/>
      <c r="B61" s="1343">
        <v>44</v>
      </c>
      <c r="C61" s="1335"/>
      <c r="D61" s="1353" t="s">
        <v>2185</v>
      </c>
      <c r="E61" s="1335"/>
      <c r="F61" s="1335"/>
      <c r="G61" s="1335"/>
      <c r="H61" s="1358"/>
      <c r="I61" s="1355">
        <f t="shared" si="67"/>
        <v>0</v>
      </c>
      <c r="J61" s="1355">
        <f t="shared" si="68"/>
        <v>0</v>
      </c>
      <c r="K61" s="1355">
        <f t="shared" si="69"/>
        <v>0</v>
      </c>
      <c r="L61" s="1341" t="str">
        <f t="shared" si="70"/>
        <v/>
      </c>
      <c r="M61" s="1341" t="str">
        <f t="shared" si="71"/>
        <v/>
      </c>
      <c r="N61" s="1341" t="str">
        <f t="shared" si="72"/>
        <v/>
      </c>
      <c r="O61" s="1356"/>
      <c r="P61" s="1356" t="s">
        <v>93</v>
      </c>
      <c r="Q61" s="1356"/>
      <c r="R61" s="1356"/>
      <c r="S61" s="1356"/>
      <c r="T61" s="1335"/>
      <c r="U61" s="1335" t="s">
        <v>2186</v>
      </c>
      <c r="V61" s="1335"/>
      <c r="W61" s="1335"/>
      <c r="X61" s="1335"/>
      <c r="Y61" s="1342"/>
      <c r="Z61" s="1320"/>
      <c r="AA61" s="1327"/>
      <c r="AB61" s="1320"/>
      <c r="AC61" s="1320"/>
      <c r="AD61" s="1320"/>
    </row>
    <row r="62" ht="9" customHeight="1">
      <c r="A62" s="1337"/>
      <c r="B62" s="1343">
        <v>45</v>
      </c>
      <c r="C62" s="1335"/>
      <c r="D62" s="1353" t="s">
        <v>2187</v>
      </c>
      <c r="E62" s="1335"/>
      <c r="F62" s="1335"/>
      <c r="G62" s="1335"/>
      <c r="H62" s="1358"/>
      <c r="I62" s="1355">
        <f t="shared" si="67"/>
        <v>0</v>
      </c>
      <c r="J62" s="1355">
        <f t="shared" si="68"/>
        <v>0</v>
      </c>
      <c r="K62" s="1355">
        <f t="shared" si="69"/>
        <v>0</v>
      </c>
      <c r="L62" s="1341" t="str">
        <f t="shared" si="70"/>
        <v/>
      </c>
      <c r="M62" s="1341" t="str">
        <f t="shared" si="71"/>
        <v/>
      </c>
      <c r="N62" s="1341" t="str">
        <f t="shared" si="72"/>
        <v/>
      </c>
      <c r="O62" s="1356"/>
      <c r="P62" s="1356" t="s">
        <v>109</v>
      </c>
      <c r="Q62" s="1356"/>
      <c r="R62" s="1356"/>
      <c r="S62" s="1356"/>
      <c r="T62" s="1335"/>
      <c r="U62" s="1335" t="s">
        <v>2188</v>
      </c>
      <c r="V62" s="1335"/>
      <c r="W62" s="1335"/>
      <c r="X62" s="1335"/>
      <c r="Y62" s="1342"/>
      <c r="Z62" s="1320"/>
      <c r="AA62" s="1327"/>
      <c r="AB62" s="1320"/>
      <c r="AC62" s="1320"/>
      <c r="AD62" s="1320"/>
    </row>
    <row r="63" ht="18" customHeight="1">
      <c r="A63" s="1337"/>
      <c r="B63" s="1343">
        <v>46</v>
      </c>
      <c r="C63" s="1335"/>
      <c r="D63" s="1353" t="s">
        <v>2189</v>
      </c>
      <c r="E63" s="1335"/>
      <c r="F63" s="1335"/>
      <c r="G63" s="1335"/>
      <c r="H63" s="1358"/>
      <c r="I63" s="1355">
        <f t="shared" si="67"/>
        <v>0</v>
      </c>
      <c r="J63" s="1355">
        <f t="shared" si="68"/>
        <v>0</v>
      </c>
      <c r="K63" s="1355">
        <f t="shared" si="69"/>
        <v>0</v>
      </c>
      <c r="L63" s="1341" t="str">
        <f t="shared" si="70"/>
        <v/>
      </c>
      <c r="M63" s="1341" t="str">
        <f t="shared" si="71"/>
        <v/>
      </c>
      <c r="N63" s="1341" t="str">
        <f t="shared" si="72"/>
        <v/>
      </c>
      <c r="O63" s="1356"/>
      <c r="P63" s="1356" t="s">
        <v>145</v>
      </c>
      <c r="Q63" s="1356"/>
      <c r="R63" s="1356"/>
      <c r="S63" s="1356"/>
      <c r="T63" s="1335"/>
      <c r="U63" s="1335" t="s">
        <v>2190</v>
      </c>
      <c r="V63" s="1335"/>
      <c r="W63" s="1335"/>
      <c r="X63" s="1335"/>
      <c r="Y63" s="1342"/>
      <c r="Z63" s="1320"/>
      <c r="AA63" s="1327"/>
      <c r="AB63" s="1320"/>
      <c r="AC63" s="1320"/>
      <c r="AD63" s="1320"/>
    </row>
    <row r="64" ht="18" customHeight="1">
      <c r="A64" s="1337"/>
      <c r="B64" s="1343">
        <v>47</v>
      </c>
      <c r="C64" s="1335"/>
      <c r="D64" s="1353" t="s">
        <v>2191</v>
      </c>
      <c r="E64" s="1335"/>
      <c r="F64" s="1335"/>
      <c r="G64" s="1335"/>
      <c r="H64" s="1358"/>
      <c r="I64" s="1355">
        <f t="shared" si="67"/>
        <v>0</v>
      </c>
      <c r="J64" s="1355">
        <f t="shared" si="68"/>
        <v>0</v>
      </c>
      <c r="K64" s="1355">
        <f t="shared" si="69"/>
        <v>0</v>
      </c>
      <c r="L64" s="1341" t="str">
        <f t="shared" si="70"/>
        <v/>
      </c>
      <c r="M64" s="1341" t="str">
        <f t="shared" si="71"/>
        <v/>
      </c>
      <c r="N64" s="1341" t="str">
        <f t="shared" si="72"/>
        <v/>
      </c>
      <c r="O64" s="1356"/>
      <c r="P64" s="1356" t="s">
        <v>146</v>
      </c>
      <c r="Q64" s="1356"/>
      <c r="R64" s="1356"/>
      <c r="S64" s="1356"/>
      <c r="T64" s="1335"/>
      <c r="U64" s="1335" t="s">
        <v>2192</v>
      </c>
      <c r="V64" s="1335"/>
      <c r="W64" s="1335"/>
      <c r="X64" s="1335"/>
      <c r="Y64" s="1342"/>
      <c r="Z64" s="1320"/>
      <c r="AA64" s="1327" t="s">
        <v>2193</v>
      </c>
      <c r="AB64" s="1320"/>
      <c r="AC64" s="1320"/>
      <c r="AD64" s="1320"/>
    </row>
    <row r="65" ht="18" customHeight="1">
      <c r="A65" s="1337"/>
      <c r="B65" s="1343">
        <v>48</v>
      </c>
      <c r="C65" s="1335"/>
      <c r="D65" s="1353"/>
      <c r="E65" s="1335"/>
      <c r="F65" s="1335"/>
      <c r="G65" s="1335"/>
      <c r="H65" s="1358"/>
      <c r="I65" s="1355">
        <f t="shared" si="67"/>
        <v>0</v>
      </c>
      <c r="J65" s="1355">
        <f t="shared" si="68"/>
        <v>0</v>
      </c>
      <c r="K65" s="1355">
        <f t="shared" si="69"/>
        <v>0</v>
      </c>
      <c r="L65" s="1341" t="str">
        <f t="shared" si="70"/>
        <v/>
      </c>
      <c r="M65" s="1341" t="str">
        <f t="shared" si="71"/>
        <v/>
      </c>
      <c r="N65" s="1341" t="str">
        <f t="shared" si="72"/>
        <v/>
      </c>
      <c r="O65" s="1356"/>
      <c r="P65" s="1356" t="s">
        <v>2106</v>
      </c>
      <c r="Q65" s="1356"/>
      <c r="R65" s="1356"/>
      <c r="S65" s="1356"/>
      <c r="T65" s="1335"/>
      <c r="U65" s="1335" t="s">
        <v>2194</v>
      </c>
      <c r="V65" s="1335"/>
      <c r="W65" s="1335"/>
      <c r="X65" s="1335"/>
      <c r="Y65" s="1342"/>
      <c r="Z65" s="1320"/>
      <c r="AA65" s="1327"/>
      <c r="AB65" s="1320"/>
      <c r="AC65" s="1320"/>
      <c r="AD65" s="1320"/>
    </row>
    <row r="66" ht="18" customHeight="1">
      <c r="A66" s="1337"/>
      <c r="B66" s="1343">
        <v>49</v>
      </c>
      <c r="C66" s="1335"/>
      <c r="D66" s="1353"/>
      <c r="E66" s="1335"/>
      <c r="F66" s="1335"/>
      <c r="G66" s="1335"/>
      <c r="H66" s="1358"/>
      <c r="I66" s="1355">
        <f t="shared" si="67"/>
        <v>0</v>
      </c>
      <c r="J66" s="1355">
        <f t="shared" si="68"/>
        <v>0</v>
      </c>
      <c r="K66" s="1355">
        <f t="shared" si="69"/>
        <v>0</v>
      </c>
      <c r="L66" s="1341" t="str">
        <f t="shared" si="70"/>
        <v/>
      </c>
      <c r="M66" s="1341" t="str">
        <f t="shared" si="71"/>
        <v/>
      </c>
      <c r="N66" s="1341" t="str">
        <f t="shared" si="72"/>
        <v/>
      </c>
      <c r="O66" s="1356"/>
      <c r="P66" s="1356" t="s">
        <v>2110</v>
      </c>
      <c r="Q66" s="1356"/>
      <c r="R66" s="1356"/>
      <c r="S66" s="1356"/>
      <c r="T66" s="1335"/>
      <c r="U66" s="1335" t="s">
        <v>2195</v>
      </c>
      <c r="V66" s="1335"/>
      <c r="W66" s="1335"/>
      <c r="X66" s="1335"/>
      <c r="Y66" s="1342"/>
      <c r="Z66" s="1320"/>
      <c r="AA66" s="1327"/>
      <c r="AB66" s="1320"/>
      <c r="AC66" s="1320"/>
      <c r="AD66" s="1320"/>
    </row>
    <row r="67" ht="27" customHeight="1">
      <c r="A67" s="1337"/>
      <c r="B67" s="1343">
        <v>50</v>
      </c>
      <c r="C67" s="1335"/>
      <c r="D67" s="1353"/>
      <c r="E67" s="1335"/>
      <c r="F67" s="1335"/>
      <c r="G67" s="1335"/>
      <c r="H67" s="1358"/>
      <c r="I67" s="1355">
        <f t="shared" si="67"/>
        <v>0</v>
      </c>
      <c r="J67" s="1355">
        <f t="shared" si="68"/>
        <v>0</v>
      </c>
      <c r="K67" s="1355">
        <f t="shared" si="69"/>
        <v>0</v>
      </c>
      <c r="L67" s="1341" t="str">
        <f t="shared" si="70"/>
        <v/>
      </c>
      <c r="M67" s="1341" t="str">
        <f t="shared" si="71"/>
        <v/>
      </c>
      <c r="N67" s="1341" t="str">
        <f t="shared" si="72"/>
        <v/>
      </c>
      <c r="O67" s="1356"/>
      <c r="P67" s="1356" t="s">
        <v>2196</v>
      </c>
      <c r="Q67" s="1356"/>
      <c r="R67" s="1356"/>
      <c r="S67" s="1356"/>
      <c r="T67" s="1335"/>
      <c r="U67" s="1335" t="s">
        <v>2197</v>
      </c>
      <c r="V67" s="1335"/>
      <c r="W67" s="1335"/>
      <c r="X67" s="1335"/>
      <c r="Y67" s="1342"/>
      <c r="Z67" s="1320"/>
      <c r="AA67" s="1327"/>
      <c r="AB67" s="1320"/>
      <c r="AC67" s="1320"/>
      <c r="AD67" s="1320"/>
    </row>
    <row r="68" ht="27" customHeight="1">
      <c r="A68" s="1337"/>
      <c r="B68" s="1343">
        <v>51</v>
      </c>
      <c r="C68" s="1335"/>
      <c r="D68" s="1353"/>
      <c r="E68" s="1335"/>
      <c r="F68" s="1335"/>
      <c r="G68" s="1335"/>
      <c r="H68" s="1358"/>
      <c r="I68" s="1355">
        <f t="shared" si="67"/>
        <v>0</v>
      </c>
      <c r="J68" s="1355">
        <f t="shared" si="68"/>
        <v>0</v>
      </c>
      <c r="K68" s="1355">
        <f t="shared" si="69"/>
        <v>0</v>
      </c>
      <c r="L68" s="1341" t="str">
        <f t="shared" si="70"/>
        <v/>
      </c>
      <c r="M68" s="1341" t="str">
        <f t="shared" si="71"/>
        <v/>
      </c>
      <c r="N68" s="1341" t="str">
        <f t="shared" si="72"/>
        <v/>
      </c>
      <c r="O68" s="1356"/>
      <c r="P68" s="1356" t="s">
        <v>2198</v>
      </c>
      <c r="Q68" s="1356"/>
      <c r="R68" s="1356"/>
      <c r="S68" s="1356"/>
      <c r="T68" s="1335"/>
      <c r="U68" s="1335" t="s">
        <v>2199</v>
      </c>
      <c r="V68" s="1335"/>
      <c r="W68" s="1335"/>
      <c r="X68" s="1335"/>
      <c r="Y68" s="1342"/>
      <c r="Z68" s="1320"/>
      <c r="AA68" s="1327"/>
      <c r="AB68" s="1320"/>
      <c r="AC68" s="1320"/>
      <c r="AD68" s="1320"/>
    </row>
    <row r="69" ht="9" customHeight="1">
      <c r="A69" s="1337"/>
      <c r="B69" s="1343">
        <v>52</v>
      </c>
      <c r="C69" s="1335"/>
      <c r="D69" s="1353" t="s">
        <v>2200</v>
      </c>
      <c r="E69" s="1335"/>
      <c r="F69" s="1335"/>
      <c r="G69" s="1335"/>
      <c r="H69" s="1358"/>
      <c r="I69" s="1355">
        <f t="shared" si="67"/>
        <v>0</v>
      </c>
      <c r="J69" s="1355">
        <f t="shared" si="68"/>
        <v>0</v>
      </c>
      <c r="K69" s="1355">
        <f t="shared" si="69"/>
        <v>0</v>
      </c>
      <c r="L69" s="1341" t="str">
        <f t="shared" si="70"/>
        <v/>
      </c>
      <c r="M69" s="1341" t="str">
        <f t="shared" si="71"/>
        <v/>
      </c>
      <c r="N69" s="1341" t="str">
        <f t="shared" si="72"/>
        <v/>
      </c>
      <c r="O69" s="1356"/>
      <c r="P69" s="1356" t="s">
        <v>147</v>
      </c>
      <c r="Q69" s="1356"/>
      <c r="R69" s="1356"/>
      <c r="S69" s="1356"/>
      <c r="T69" s="1335"/>
      <c r="U69" s="1335" t="s">
        <v>2201</v>
      </c>
      <c r="V69" s="1335"/>
      <c r="W69" s="1335"/>
      <c r="X69" s="1335"/>
      <c r="Y69" s="1342"/>
      <c r="Z69" s="1320"/>
      <c r="AA69" s="1327"/>
      <c r="AB69" s="1320"/>
      <c r="AC69" s="1320"/>
      <c r="AD69" s="1320"/>
    </row>
    <row r="70" ht="27" customHeight="1">
      <c r="A70" s="1337"/>
      <c r="B70" s="1343">
        <v>53</v>
      </c>
      <c r="C70" s="1335"/>
      <c r="D70" s="1353"/>
      <c r="E70" s="1335" t="s">
        <v>2185</v>
      </c>
      <c r="F70" s="1335"/>
      <c r="G70" s="1335"/>
      <c r="H70" s="1358"/>
      <c r="I70" s="1355">
        <f t="shared" si="67"/>
        <v>0</v>
      </c>
      <c r="J70" s="1355">
        <f t="shared" si="68"/>
        <v>0</v>
      </c>
      <c r="K70" s="1355">
        <f t="shared" si="69"/>
        <v>0</v>
      </c>
      <c r="L70" s="1341" t="str">
        <f t="shared" si="70"/>
        <v/>
      </c>
      <c r="M70" s="1341" t="str">
        <f t="shared" si="71"/>
        <v/>
      </c>
      <c r="N70" s="1341" t="str">
        <f t="shared" si="72"/>
        <v/>
      </c>
      <c r="O70" s="1356"/>
      <c r="P70" s="1356"/>
      <c r="Q70" s="1356" t="s">
        <v>93</v>
      </c>
      <c r="R70" s="1356"/>
      <c r="S70" s="1356"/>
      <c r="T70" s="1335"/>
      <c r="U70" s="1335"/>
      <c r="V70" s="1335" t="s">
        <v>2202</v>
      </c>
      <c r="W70" s="1335"/>
      <c r="X70" s="1335"/>
      <c r="Y70" s="1342"/>
      <c r="Z70" s="1320"/>
      <c r="AA70" s="1327"/>
      <c r="AB70" s="1320"/>
      <c r="AC70" s="1320"/>
      <c r="AD70" s="1320"/>
    </row>
    <row r="71" ht="36" customHeight="1">
      <c r="A71" s="1337"/>
      <c r="B71" s="1343">
        <v>54</v>
      </c>
      <c r="C71" s="1335"/>
      <c r="D71" s="1353"/>
      <c r="E71" s="1335" t="s">
        <v>2187</v>
      </c>
      <c r="F71" s="1335"/>
      <c r="G71" s="1335"/>
      <c r="H71" s="1358"/>
      <c r="I71" s="1355">
        <f t="shared" si="67"/>
        <v>0</v>
      </c>
      <c r="J71" s="1355">
        <f t="shared" si="68"/>
        <v>0</v>
      </c>
      <c r="K71" s="1355">
        <f t="shared" si="69"/>
        <v>0</v>
      </c>
      <c r="L71" s="1341" t="str">
        <f t="shared" si="70"/>
        <v/>
      </c>
      <c r="M71" s="1341" t="str">
        <f t="shared" si="71"/>
        <v/>
      </c>
      <c r="N71" s="1341" t="str">
        <f t="shared" si="72"/>
        <v/>
      </c>
      <c r="O71" s="1356"/>
      <c r="P71" s="1356"/>
      <c r="Q71" s="1356" t="s">
        <v>109</v>
      </c>
      <c r="R71" s="1356"/>
      <c r="S71" s="1356"/>
      <c r="T71" s="1335"/>
      <c r="U71" s="1335"/>
      <c r="V71" s="1335" t="s">
        <v>2203</v>
      </c>
      <c r="W71" s="1335"/>
      <c r="X71" s="1335"/>
      <c r="Y71" s="1342"/>
      <c r="Z71" s="1320"/>
      <c r="AA71" s="1327"/>
      <c r="AB71" s="1320"/>
      <c r="AC71" s="1320"/>
      <c r="AD71" s="1320"/>
    </row>
    <row r="72" ht="27" customHeight="1">
      <c r="A72" s="1337"/>
      <c r="B72" s="1343">
        <v>55</v>
      </c>
      <c r="C72" s="1335"/>
      <c r="D72" s="1353"/>
      <c r="E72" s="1335" t="s">
        <v>2189</v>
      </c>
      <c r="F72" s="1335"/>
      <c r="G72" s="1335"/>
      <c r="H72" s="1358"/>
      <c r="I72" s="1355">
        <f t="shared" si="67"/>
        <v>0</v>
      </c>
      <c r="J72" s="1355">
        <f t="shared" si="68"/>
        <v>0</v>
      </c>
      <c r="K72" s="1355">
        <f t="shared" si="69"/>
        <v>0</v>
      </c>
      <c r="L72" s="1341" t="str">
        <f t="shared" si="70"/>
        <v/>
      </c>
      <c r="M72" s="1341" t="str">
        <f t="shared" si="71"/>
        <v/>
      </c>
      <c r="N72" s="1341" t="str">
        <f t="shared" si="72"/>
        <v/>
      </c>
      <c r="O72" s="1356"/>
      <c r="P72" s="1356"/>
      <c r="Q72" s="1356" t="s">
        <v>145</v>
      </c>
      <c r="R72" s="1356"/>
      <c r="S72" s="1356"/>
      <c r="T72" s="1335"/>
      <c r="U72" s="1335"/>
      <c r="V72" s="1335" t="s">
        <v>2204</v>
      </c>
      <c r="W72" s="1335"/>
      <c r="X72" s="1335"/>
      <c r="Y72" s="1342"/>
      <c r="Z72" s="1320"/>
      <c r="AA72" s="1327"/>
      <c r="AB72" s="1320"/>
      <c r="AC72" s="1320"/>
      <c r="AD72" s="1320"/>
    </row>
    <row r="73" ht="36" customHeight="1">
      <c r="A73" s="1337"/>
      <c r="B73" s="1343">
        <v>56</v>
      </c>
      <c r="C73" s="1335"/>
      <c r="D73" s="1353"/>
      <c r="E73" s="1335" t="s">
        <v>2191</v>
      </c>
      <c r="F73" s="1335"/>
      <c r="G73" s="1335"/>
      <c r="H73" s="1358"/>
      <c r="I73" s="1355">
        <f t="shared" si="67"/>
        <v>0</v>
      </c>
      <c r="J73" s="1355">
        <f t="shared" si="68"/>
        <v>0</v>
      </c>
      <c r="K73" s="1355">
        <f t="shared" si="69"/>
        <v>0</v>
      </c>
      <c r="L73" s="1341" t="str">
        <f t="shared" si="70"/>
        <v/>
      </c>
      <c r="M73" s="1341" t="str">
        <f t="shared" si="71"/>
        <v/>
      </c>
      <c r="N73" s="1341" t="str">
        <f t="shared" si="72"/>
        <v/>
      </c>
      <c r="O73" s="1356"/>
      <c r="P73" s="1356"/>
      <c r="Q73" s="1356" t="s">
        <v>146</v>
      </c>
      <c r="R73" s="1356"/>
      <c r="S73" s="1356"/>
      <c r="T73" s="1335"/>
      <c r="U73" s="1335"/>
      <c r="V73" s="1335" t="s">
        <v>2205</v>
      </c>
      <c r="W73" s="1335"/>
      <c r="X73" s="1335"/>
      <c r="Y73" s="1342"/>
      <c r="Z73" s="1320"/>
      <c r="AA73" s="1327"/>
      <c r="AB73" s="1320"/>
      <c r="AC73" s="1320"/>
      <c r="AD73" s="1320"/>
    </row>
    <row r="74" ht="18" customHeight="1">
      <c r="A74" s="1337"/>
      <c r="B74" s="1343">
        <v>57</v>
      </c>
      <c r="C74" s="1335"/>
      <c r="D74" s="1353"/>
      <c r="E74" s="1335" t="s">
        <v>2200</v>
      </c>
      <c r="F74" s="1335"/>
      <c r="G74" s="1335"/>
      <c r="H74" s="1358"/>
      <c r="I74" s="1355">
        <f t="shared" si="67"/>
        <v>0</v>
      </c>
      <c r="J74" s="1355">
        <f t="shared" si="68"/>
        <v>0</v>
      </c>
      <c r="K74" s="1355">
        <f t="shared" si="69"/>
        <v>0</v>
      </c>
      <c r="L74" s="1341" t="str">
        <f t="shared" si="70"/>
        <v/>
      </c>
      <c r="M74" s="1341" t="str">
        <f t="shared" si="71"/>
        <v/>
      </c>
      <c r="N74" s="1341" t="str">
        <f t="shared" si="72"/>
        <v/>
      </c>
      <c r="O74" s="1356"/>
      <c r="P74" s="1356"/>
      <c r="Q74" s="1356" t="s">
        <v>147</v>
      </c>
      <c r="R74" s="1356"/>
      <c r="S74" s="1356"/>
      <c r="T74" s="1335"/>
      <c r="U74" s="1335"/>
      <c r="V74" s="1335" t="s">
        <v>2206</v>
      </c>
      <c r="W74" s="1335"/>
      <c r="X74" s="1335"/>
      <c r="Y74" s="1342"/>
      <c r="Z74" s="1320"/>
      <c r="AA74" s="1327"/>
      <c r="AB74" s="1320"/>
      <c r="AC74" s="1320"/>
      <c r="AD74" s="1320"/>
    </row>
    <row r="75" ht="18" customHeight="1">
      <c r="A75" s="1337"/>
      <c r="B75" s="1343">
        <v>58</v>
      </c>
      <c r="C75" s="1335"/>
      <c r="D75" s="1353"/>
      <c r="E75" s="1335"/>
      <c r="F75" s="1335" t="s">
        <v>2185</v>
      </c>
      <c r="G75" s="1335"/>
      <c r="H75" s="1358"/>
      <c r="I75" s="1355">
        <f t="shared" si="67"/>
        <v>0</v>
      </c>
      <c r="J75" s="1355">
        <f t="shared" si="68"/>
        <v>0</v>
      </c>
      <c r="K75" s="1355">
        <f t="shared" si="69"/>
        <v>0</v>
      </c>
      <c r="L75" s="1341" t="str">
        <f t="shared" si="70"/>
        <v/>
      </c>
      <c r="M75" s="1341" t="str">
        <f t="shared" si="71"/>
        <v/>
      </c>
      <c r="N75" s="1341" t="str">
        <f t="shared" si="72"/>
        <v/>
      </c>
      <c r="O75" s="1356"/>
      <c r="P75" s="1356"/>
      <c r="Q75" s="1356"/>
      <c r="R75" s="1356" t="s">
        <v>93</v>
      </c>
      <c r="S75" s="1356"/>
      <c r="T75" s="1335"/>
      <c r="U75" s="1335"/>
      <c r="V75" s="1335"/>
      <c r="W75" s="1335" t="s">
        <v>2207</v>
      </c>
      <c r="X75" s="1335"/>
      <c r="Y75" s="1342"/>
      <c r="Z75" s="1320"/>
      <c r="AA75" s="1327"/>
      <c r="AB75" s="1320"/>
      <c r="AC75" s="1320"/>
      <c r="AD75" s="1320"/>
    </row>
    <row r="76" ht="36" customHeight="1">
      <c r="A76" s="1337"/>
      <c r="B76" s="1343">
        <v>59</v>
      </c>
      <c r="C76" s="1335"/>
      <c r="D76" s="1353"/>
      <c r="E76" s="1335"/>
      <c r="F76" s="1335" t="s">
        <v>2187</v>
      </c>
      <c r="G76" s="1335"/>
      <c r="H76" s="1358"/>
      <c r="I76" s="1355">
        <f t="shared" si="67"/>
        <v>0</v>
      </c>
      <c r="J76" s="1355">
        <f t="shared" si="68"/>
        <v>0</v>
      </c>
      <c r="K76" s="1355">
        <f t="shared" si="69"/>
        <v>0</v>
      </c>
      <c r="L76" s="1341" t="str">
        <f t="shared" si="70"/>
        <v/>
      </c>
      <c r="M76" s="1341" t="str">
        <f t="shared" si="71"/>
        <v/>
      </c>
      <c r="N76" s="1341" t="str">
        <f t="shared" si="72"/>
        <v/>
      </c>
      <c r="O76" s="1356"/>
      <c r="P76" s="1356"/>
      <c r="Q76" s="1356"/>
      <c r="R76" s="1356" t="s">
        <v>109</v>
      </c>
      <c r="S76" s="1356"/>
      <c r="T76" s="1335"/>
      <c r="U76" s="1335"/>
      <c r="V76" s="1335"/>
      <c r="W76" s="1335" t="s">
        <v>2208</v>
      </c>
      <c r="X76" s="1335"/>
      <c r="Y76" s="1342"/>
      <c r="Z76" s="1320"/>
      <c r="AA76" s="1327"/>
      <c r="AB76" s="1320"/>
      <c r="AC76" s="1320"/>
      <c r="AD76" s="1320"/>
    </row>
    <row r="77" ht="18" customHeight="1">
      <c r="A77" s="1337"/>
      <c r="B77" s="1343">
        <v>60</v>
      </c>
      <c r="C77" s="1335"/>
      <c r="D77" s="1353"/>
      <c r="E77" s="1335"/>
      <c r="F77" s="1335" t="s">
        <v>2189</v>
      </c>
      <c r="G77" s="1335"/>
      <c r="H77" s="1358"/>
      <c r="I77" s="1355">
        <f t="shared" si="67"/>
        <v>0</v>
      </c>
      <c r="J77" s="1355">
        <f t="shared" si="68"/>
        <v>0</v>
      </c>
      <c r="K77" s="1355">
        <f t="shared" si="69"/>
        <v>0</v>
      </c>
      <c r="L77" s="1341" t="str">
        <f t="shared" si="70"/>
        <v/>
      </c>
      <c r="M77" s="1341" t="str">
        <f t="shared" si="71"/>
        <v/>
      </c>
      <c r="N77" s="1341" t="str">
        <f t="shared" si="72"/>
        <v/>
      </c>
      <c r="O77" s="1356"/>
      <c r="P77" s="1356"/>
      <c r="Q77" s="1356"/>
      <c r="R77" s="1356" t="s">
        <v>145</v>
      </c>
      <c r="S77" s="1356"/>
      <c r="T77" s="1335"/>
      <c r="U77" s="1335"/>
      <c r="V77" s="1335"/>
      <c r="W77" s="1335" t="s">
        <v>2209</v>
      </c>
      <c r="X77" s="1335"/>
      <c r="Y77" s="1342"/>
      <c r="Z77" s="1320"/>
      <c r="AA77" s="1327"/>
      <c r="AB77" s="1320"/>
      <c r="AC77" s="1320"/>
      <c r="AD77" s="1320"/>
    </row>
    <row r="78" ht="72" customHeight="1">
      <c r="A78" s="1337"/>
      <c r="B78" s="1343">
        <v>61</v>
      </c>
      <c r="C78" s="1335" t="s">
        <v>2185</v>
      </c>
      <c r="D78" s="1353"/>
      <c r="E78" s="1335"/>
      <c r="F78" s="1335"/>
      <c r="G78" s="1335"/>
      <c r="H78" s="1358"/>
      <c r="I78" s="1355" t="str">
        <f t="shared" si="67"/>
        <v>7</v>
      </c>
      <c r="J78" s="1355" t="str">
        <f t="shared" si="68"/>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5" t="str">
        <f t="shared" si="69"/>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1" t="str">
        <f t="shared" si="70"/>
        <v>7</v>
      </c>
      <c r="M78" s="1341" t="str">
        <f t="shared" si="71"/>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1" t="str">
        <f t="shared" si="72"/>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6" t="s">
        <v>93</v>
      </c>
      <c r="P78" s="1356"/>
      <c r="Q78" s="1356"/>
      <c r="R78" s="1356"/>
      <c r="S78" s="1356"/>
      <c r="T78" s="1335" t="s">
        <v>629</v>
      </c>
      <c r="U78" s="1335"/>
      <c r="V78" s="1335"/>
      <c r="W78" s="1335"/>
      <c r="X78" s="1335"/>
      <c r="Y78" s="1342"/>
      <c r="Z78" s="1320" t="s">
        <v>2210</v>
      </c>
      <c r="AA78" s="1327"/>
      <c r="AB78" s="1320"/>
      <c r="AC78" s="1320"/>
      <c r="AD78" s="1320"/>
    </row>
    <row r="79" ht="36" customHeight="1">
      <c r="A79" s="1337"/>
      <c r="B79" s="1343">
        <v>62</v>
      </c>
      <c r="C79" s="1335" t="s">
        <v>2187</v>
      </c>
      <c r="D79" s="1353"/>
      <c r="E79" s="1335"/>
      <c r="F79" s="1335"/>
      <c r="G79" s="1335"/>
      <c r="H79" s="1358"/>
      <c r="I79" s="1355" t="str">
        <f t="shared" si="67"/>
        <v>8</v>
      </c>
      <c r="J79" s="1355" t="str">
        <f t="shared" si="68"/>
        <v xml:space="preserve">Тепловая нагрузка по договорам, заключенным в рамках осуществления регулируемых видов деятельности</v>
      </c>
      <c r="K79" s="1355" t="str">
        <f t="shared" si="69"/>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1" t="str">
        <f t="shared" si="70"/>
        <v>8</v>
      </c>
      <c r="M79" s="1341" t="str">
        <f t="shared" si="71"/>
        <v xml:space="preserve">Тепловая нагрузка по договорам, заключенным в рамках осуществления регулируемых видов деятельности</v>
      </c>
      <c r="N79" s="1341" t="str">
        <f t="shared" si="72"/>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6" t="s">
        <v>109</v>
      </c>
      <c r="P79" s="1356"/>
      <c r="Q79" s="1356"/>
      <c r="R79" s="1356"/>
      <c r="S79" s="1356"/>
      <c r="T79" s="1335" t="s">
        <v>2211</v>
      </c>
      <c r="U79" s="1335"/>
      <c r="V79" s="1335"/>
      <c r="W79" s="1335"/>
      <c r="X79" s="1335"/>
      <c r="Y79" s="1342"/>
      <c r="Z79" s="1320" t="s">
        <v>2212</v>
      </c>
      <c r="AA79" s="1327"/>
      <c r="AB79" s="1320"/>
      <c r="AC79" s="1320"/>
      <c r="AD79" s="1320"/>
    </row>
    <row r="80" ht="45" customHeight="1">
      <c r="A80" s="1337"/>
      <c r="B80" s="1343">
        <v>63</v>
      </c>
      <c r="C80" s="1335" t="s">
        <v>2189</v>
      </c>
      <c r="D80" s="1353"/>
      <c r="E80" s="1335"/>
      <c r="F80" s="1335"/>
      <c r="G80" s="1335"/>
      <c r="H80" s="1358"/>
      <c r="I80" s="1355" t="str">
        <f t="shared" si="67"/>
        <v>9</v>
      </c>
      <c r="J80" s="1355" t="str">
        <f t="shared" si="68"/>
        <v xml:space="preserve">Объем вырабатываемой регулируемой организацией тепловой энергии в рамках осуществления регулируемых видов деятельности</v>
      </c>
      <c r="K80" s="1355" t="str">
        <f t="shared" si="69"/>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1" t="str">
        <f t="shared" si="70"/>
        <v>9</v>
      </c>
      <c r="M80" s="1341" t="str">
        <f t="shared" si="71"/>
        <v xml:space="preserve">Объем вырабатываемой регулируемой организацией тепловой энергии в рамках осуществления регулируемых видов деятельности</v>
      </c>
      <c r="N80" s="1341" t="str">
        <f t="shared" si="72"/>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6" t="s">
        <v>145</v>
      </c>
      <c r="P80" s="1356"/>
      <c r="Q80" s="1356"/>
      <c r="R80" s="1356"/>
      <c r="S80" s="1356"/>
      <c r="T80" s="1335" t="s">
        <v>2213</v>
      </c>
      <c r="U80" s="1335"/>
      <c r="V80" s="1335"/>
      <c r="W80" s="1335"/>
      <c r="X80" s="1335"/>
      <c r="Y80" s="1342"/>
      <c r="Z80" s="1320" t="s">
        <v>2214</v>
      </c>
      <c r="AA80" s="1327"/>
      <c r="AB80" s="1320"/>
      <c r="AC80" s="1320"/>
      <c r="AD80" s="1320"/>
    </row>
    <row r="81" ht="36" customHeight="1">
      <c r="A81" s="1337"/>
      <c r="B81" s="1343">
        <v>64</v>
      </c>
      <c r="C81" s="1335" t="s">
        <v>2191</v>
      </c>
      <c r="D81" s="1353"/>
      <c r="E81" s="1335"/>
      <c r="F81" s="1335"/>
      <c r="G81" s="1335"/>
      <c r="H81" s="1358"/>
      <c r="I81" s="1355" t="str">
        <f t="shared" si="67"/>
        <v>9.1</v>
      </c>
      <c r="J81" s="1355" t="str">
        <f t="shared" si="68"/>
        <v xml:space="preserve">Объем приобретаемой регулируемой организацией тепловой энергии в рамках осуществления регулируемых видов деятельности</v>
      </c>
      <c r="K81" s="1355" t="str">
        <f t="shared" si="69"/>
        <v xml:space="preserve">Информация указывается только едиными теплоснабжающими организациями.</v>
      </c>
      <c r="L81" s="1341" t="str">
        <f t="shared" si="70"/>
        <v>9.1</v>
      </c>
      <c r="M81" s="1341" t="str">
        <f t="shared" si="71"/>
        <v xml:space="preserve">Объем приобретаемой регулируемой организацией тепловой энергии в рамках осуществления регулируемых видов деятельности</v>
      </c>
      <c r="N81" s="1341" t="str">
        <f t="shared" si="72"/>
        <v xml:space="preserve">Информация указывается только едиными теплоснабжающими организациями.</v>
      </c>
      <c r="O81" s="1356" t="s">
        <v>2097</v>
      </c>
      <c r="P81" s="1356"/>
      <c r="Q81" s="1356"/>
      <c r="R81" s="1356"/>
      <c r="S81" s="1356"/>
      <c r="T81" s="1335" t="s">
        <v>2215</v>
      </c>
      <c r="U81" s="1335"/>
      <c r="V81" s="1335"/>
      <c r="W81" s="1335"/>
      <c r="X81" s="1335"/>
      <c r="Y81" s="1342"/>
      <c r="Z81" s="1320" t="s">
        <v>2216</v>
      </c>
      <c r="AA81" s="1327"/>
      <c r="AB81" s="1320"/>
      <c r="AC81" s="1320"/>
      <c r="AD81" s="1320"/>
    </row>
    <row r="82" ht="90" customHeight="1">
      <c r="A82" s="1337"/>
      <c r="B82" s="1343">
        <v>65</v>
      </c>
      <c r="C82" s="1335" t="s">
        <v>2200</v>
      </c>
      <c r="D82" s="1353"/>
      <c r="E82" s="1335"/>
      <c r="F82" s="1335"/>
      <c r="G82" s="1335"/>
      <c r="H82" s="1358"/>
      <c r="I82" s="1355" t="str">
        <f t="shared" ref="I82:I99" si="73">INDEX(TEMPLATE_NUMBER_POINT_FHD,B82,MATCH(TEMPLATE_SPHERE,TEMPLATE_SPHERE_LIST_FOR_NOTE,0))</f>
        <v>10</v>
      </c>
      <c r="J82" s="1355" t="str">
        <f t="shared" ref="J82:J99" si="74">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5" t="str">
        <f t="shared" ref="K82:K99" si="75">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1" t="str">
        <f t="shared" ref="L82:L99" si="76">IF(I82=0,"",I82)</f>
        <v>10</v>
      </c>
      <c r="M82" s="1341" t="str">
        <f t="shared" ref="M82:M99" si="77">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1" t="str">
        <f t="shared" ref="N82:N99" si="78">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6" t="s">
        <v>146</v>
      </c>
      <c r="P82" s="1356"/>
      <c r="Q82" s="1356"/>
      <c r="R82" s="1356"/>
      <c r="S82" s="1356"/>
      <c r="T82" s="1335" t="s">
        <v>2217</v>
      </c>
      <c r="U82" s="1335"/>
      <c r="V82" s="1335"/>
      <c r="W82" s="1335"/>
      <c r="X82" s="1335"/>
      <c r="Y82" s="1342"/>
      <c r="Z82" s="1320" t="s">
        <v>2218</v>
      </c>
      <c r="AA82" s="1327"/>
      <c r="AB82" s="1320"/>
      <c r="AC82" s="1320"/>
      <c r="AD82" s="1320"/>
    </row>
    <row r="83" ht="9" customHeight="1">
      <c r="A83" s="1337"/>
      <c r="B83" s="1343">
        <v>66</v>
      </c>
      <c r="C83" s="1335"/>
      <c r="D83" s="1353"/>
      <c r="E83" s="1335"/>
      <c r="F83" s="1335"/>
      <c r="G83" s="1335"/>
      <c r="H83" s="1358"/>
      <c r="I83" s="1355" t="str">
        <f t="shared" si="73"/>
        <v>10.1</v>
      </c>
      <c r="J83" s="1355" t="str">
        <f t="shared" si="74"/>
        <v xml:space="preserve">По приборам учёта </v>
      </c>
      <c r="K83" s="1355">
        <f t="shared" si="75"/>
        <v>0</v>
      </c>
      <c r="L83" s="1341" t="str">
        <f t="shared" si="76"/>
        <v>10.1</v>
      </c>
      <c r="M83" s="1341" t="str">
        <f t="shared" si="77"/>
        <v xml:space="preserve">По приборам учёта </v>
      </c>
      <c r="N83" s="1341" t="str">
        <f t="shared" si="78"/>
        <v/>
      </c>
      <c r="O83" s="1356" t="s">
        <v>2106</v>
      </c>
      <c r="P83" s="1356"/>
      <c r="Q83" s="1356"/>
      <c r="R83" s="1356"/>
      <c r="S83" s="1356"/>
      <c r="T83" s="1335" t="s">
        <v>2219</v>
      </c>
      <c r="U83" s="1335"/>
      <c r="V83" s="1335"/>
      <c r="W83" s="1335"/>
      <c r="X83" s="1335"/>
      <c r="Y83" s="1342"/>
      <c r="Z83" s="1320"/>
      <c r="AA83" s="1327"/>
      <c r="AB83" s="1320"/>
      <c r="AC83" s="1320"/>
      <c r="AD83" s="1320"/>
    </row>
    <row r="84" ht="54" customHeight="1">
      <c r="A84" s="1337"/>
      <c r="B84" s="1343">
        <v>67</v>
      </c>
      <c r="C84" s="1335"/>
      <c r="D84" s="1353"/>
      <c r="E84" s="1335"/>
      <c r="F84" s="1335"/>
      <c r="G84" s="1335"/>
      <c r="H84" s="1358"/>
      <c r="I84" s="1355" t="str">
        <f t="shared" si="73"/>
        <v>10.1.1</v>
      </c>
      <c r="J84" s="1355" t="str">
        <f t="shared" si="74"/>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5">
        <f t="shared" si="75"/>
        <v>0</v>
      </c>
      <c r="L84" s="1341" t="str">
        <f t="shared" si="76"/>
        <v>10.1.1</v>
      </c>
      <c r="M84" s="1341" t="str">
        <f t="shared" si="77"/>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1" t="str">
        <f t="shared" si="78"/>
        <v/>
      </c>
      <c r="O84" s="1356" t="s">
        <v>2220</v>
      </c>
      <c r="P84" s="1356"/>
      <c r="Q84" s="1356"/>
      <c r="R84" s="1356"/>
      <c r="S84" s="1356"/>
      <c r="T84" s="1335" t="s">
        <v>2221</v>
      </c>
      <c r="U84" s="1335"/>
      <c r="V84" s="1335"/>
      <c r="W84" s="1335"/>
      <c r="X84" s="1335"/>
      <c r="Y84" s="1342"/>
      <c r="Z84" s="1320"/>
      <c r="AA84" s="1327"/>
      <c r="AB84" s="1320"/>
      <c r="AC84" s="1320"/>
      <c r="AD84" s="1320"/>
    </row>
    <row r="85" ht="9" customHeight="1">
      <c r="A85" s="1337"/>
      <c r="B85" s="1343">
        <v>68</v>
      </c>
      <c r="C85" s="1335"/>
      <c r="D85" s="1353"/>
      <c r="E85" s="1335"/>
      <c r="F85" s="1335"/>
      <c r="G85" s="1335"/>
      <c r="H85" s="1358"/>
      <c r="I85" s="1355" t="str">
        <f t="shared" si="73"/>
        <v>10.2</v>
      </c>
      <c r="J85" s="1355" t="str">
        <f t="shared" si="74"/>
        <v xml:space="preserve">Расчётным путём</v>
      </c>
      <c r="K85" s="1355">
        <f t="shared" si="75"/>
        <v>0</v>
      </c>
      <c r="L85" s="1341" t="str">
        <f t="shared" si="76"/>
        <v>10.2</v>
      </c>
      <c r="M85" s="1341" t="str">
        <f t="shared" si="77"/>
        <v xml:space="preserve">Расчётным путём</v>
      </c>
      <c r="N85" s="1341" t="str">
        <f t="shared" si="78"/>
        <v/>
      </c>
      <c r="O85" s="1356" t="s">
        <v>2110</v>
      </c>
      <c r="P85" s="1356"/>
      <c r="Q85" s="1356"/>
      <c r="R85" s="1356"/>
      <c r="S85" s="1356"/>
      <c r="T85" s="1335" t="s">
        <v>2222</v>
      </c>
      <c r="U85" s="1335"/>
      <c r="V85" s="1335"/>
      <c r="W85" s="1335"/>
      <c r="X85" s="1335"/>
      <c r="Y85" s="1342"/>
      <c r="Z85" s="1320"/>
      <c r="AA85" s="1327"/>
      <c r="AB85" s="1320"/>
      <c r="AC85" s="1320"/>
      <c r="AD85" s="1320"/>
    </row>
    <row r="86" ht="27" customHeight="1">
      <c r="A86" s="1337"/>
      <c r="B86" s="1343">
        <v>69</v>
      </c>
      <c r="C86" s="1335"/>
      <c r="D86" s="1353"/>
      <c r="E86" s="1335"/>
      <c r="F86" s="1335"/>
      <c r="G86" s="1335"/>
      <c r="H86" s="1358"/>
      <c r="I86" s="1355" t="str">
        <f t="shared" si="73"/>
        <v>10.3</v>
      </c>
      <c r="J86" s="1355" t="str">
        <f t="shared" si="74"/>
        <v xml:space="preserve">По нормативам потребления коммунальных услуг и нормативам потребления коммунальных ресурсов</v>
      </c>
      <c r="K86" s="1355">
        <f t="shared" si="75"/>
        <v>0</v>
      </c>
      <c r="L86" s="1341" t="str">
        <f t="shared" si="76"/>
        <v>10.3</v>
      </c>
      <c r="M86" s="1341" t="str">
        <f t="shared" si="77"/>
        <v xml:space="preserve">По нормативам потребления коммунальных услуг и нормативам потребления коммунальных ресурсов</v>
      </c>
      <c r="N86" s="1341" t="str">
        <f t="shared" si="78"/>
        <v/>
      </c>
      <c r="O86" s="1356" t="s">
        <v>2223</v>
      </c>
      <c r="P86" s="1356"/>
      <c r="Q86" s="1356"/>
      <c r="R86" s="1356"/>
      <c r="S86" s="1356"/>
      <c r="T86" s="1335" t="s">
        <v>2224</v>
      </c>
      <c r="U86" s="1335"/>
      <c r="V86" s="1335"/>
      <c r="W86" s="1335"/>
      <c r="X86" s="1335"/>
      <c r="Y86" s="1342"/>
      <c r="Z86" s="1320"/>
      <c r="AA86" s="1327"/>
      <c r="AB86" s="1320"/>
      <c r="AC86" s="1320"/>
      <c r="AD86" s="1320"/>
    </row>
    <row r="87" ht="36" customHeight="1">
      <c r="A87" s="1337"/>
      <c r="B87" s="1343">
        <v>70</v>
      </c>
      <c r="C87" s="1335" t="s">
        <v>2225</v>
      </c>
      <c r="D87" s="1353"/>
      <c r="E87" s="1335"/>
      <c r="F87" s="1335"/>
      <c r="G87" s="1335"/>
      <c r="H87" s="1358"/>
      <c r="I87" s="1355" t="str">
        <f t="shared" si="73"/>
        <v>11</v>
      </c>
      <c r="J87" s="1355" t="str">
        <f t="shared" si="74"/>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5">
        <f t="shared" si="75"/>
        <v>0</v>
      </c>
      <c r="L87" s="1341" t="str">
        <f t="shared" si="76"/>
        <v>11</v>
      </c>
      <c r="M87" s="1341" t="str">
        <f t="shared" si="77"/>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1" t="str">
        <f t="shared" si="78"/>
        <v/>
      </c>
      <c r="O87" s="1356" t="s">
        <v>147</v>
      </c>
      <c r="P87" s="1356"/>
      <c r="Q87" s="1356"/>
      <c r="R87" s="1356"/>
      <c r="S87" s="1356"/>
      <c r="T87" s="1335" t="s">
        <v>2226</v>
      </c>
      <c r="U87" s="1335"/>
      <c r="V87" s="1335"/>
      <c r="W87" s="1335"/>
      <c r="X87" s="1335"/>
      <c r="Y87" s="1342"/>
      <c r="Z87" s="1320"/>
      <c r="AA87" s="1327"/>
      <c r="AB87" s="1320"/>
      <c r="AC87" s="1320"/>
      <c r="AD87" s="1320"/>
    </row>
    <row r="88" ht="18" customHeight="1">
      <c r="A88" s="1337"/>
      <c r="B88" s="1343">
        <v>71</v>
      </c>
      <c r="C88" s="1335" t="s">
        <v>2227</v>
      </c>
      <c r="D88" s="1353"/>
      <c r="E88" s="1335"/>
      <c r="F88" s="1335"/>
      <c r="G88" s="1335"/>
      <c r="H88" s="1358"/>
      <c r="I88" s="1355" t="str">
        <f t="shared" si="73"/>
        <v>12</v>
      </c>
      <c r="J88" s="1355" t="str">
        <f t="shared" si="74"/>
        <v xml:space="preserve">Фактический объем потерь при передаче тепловой энергии</v>
      </c>
      <c r="K88" s="1355">
        <f t="shared" si="75"/>
        <v>0</v>
      </c>
      <c r="L88" s="1341" t="str">
        <f t="shared" si="76"/>
        <v>12</v>
      </c>
      <c r="M88" s="1341" t="str">
        <f t="shared" si="77"/>
        <v xml:space="preserve">Фактический объем потерь при передаче тепловой энергии</v>
      </c>
      <c r="N88" s="1341" t="str">
        <f t="shared" si="78"/>
        <v/>
      </c>
      <c r="O88" s="1356" t="s">
        <v>148</v>
      </c>
      <c r="P88" s="1356"/>
      <c r="Q88" s="1356"/>
      <c r="R88" s="1356"/>
      <c r="S88" s="1356"/>
      <c r="T88" s="1335" t="s">
        <v>661</v>
      </c>
      <c r="U88" s="1335"/>
      <c r="V88" s="1335"/>
      <c r="W88" s="1335"/>
      <c r="X88" s="1335"/>
      <c r="Y88" s="1342"/>
      <c r="Z88" s="1320"/>
      <c r="AA88" s="1327"/>
      <c r="AB88" s="1320"/>
      <c r="AC88" s="1320"/>
      <c r="AD88" s="1320"/>
    </row>
    <row r="89" ht="18" customHeight="1">
      <c r="A89" s="1337"/>
      <c r="B89" s="1343">
        <v>72</v>
      </c>
      <c r="C89" s="1335" t="s">
        <v>2228</v>
      </c>
      <c r="D89" s="1353" t="s">
        <v>2225</v>
      </c>
      <c r="E89" s="1335" t="s">
        <v>2225</v>
      </c>
      <c r="F89" s="1335" t="s">
        <v>2191</v>
      </c>
      <c r="G89" s="1335"/>
      <c r="H89" s="1358"/>
      <c r="I89" s="1355" t="str">
        <f t="shared" si="73"/>
        <v>13</v>
      </c>
      <c r="J89" s="1355" t="str">
        <f t="shared" si="74"/>
        <v xml:space="preserve">Среднесписочная численность основного производственного персонала</v>
      </c>
      <c r="K89" s="1355">
        <f t="shared" si="75"/>
        <v>0</v>
      </c>
      <c r="L89" s="1341" t="str">
        <f t="shared" si="76"/>
        <v>13</v>
      </c>
      <c r="M89" s="1341" t="str">
        <f t="shared" si="77"/>
        <v xml:space="preserve">Среднесписочная численность основного производственного персонала</v>
      </c>
      <c r="N89" s="1341" t="str">
        <f t="shared" si="78"/>
        <v/>
      </c>
      <c r="O89" s="1356" t="s">
        <v>149</v>
      </c>
      <c r="P89" s="1356" t="s">
        <v>148</v>
      </c>
      <c r="Q89" s="1356" t="s">
        <v>148</v>
      </c>
      <c r="R89" s="1356" t="s">
        <v>146</v>
      </c>
      <c r="S89" s="1356"/>
      <c r="T89" s="1335" t="s">
        <v>669</v>
      </c>
      <c r="U89" s="1335" t="s">
        <v>669</v>
      </c>
      <c r="V89" s="1335" t="s">
        <v>669</v>
      </c>
      <c r="W89" s="1335" t="s">
        <v>669</v>
      </c>
      <c r="X89" s="1335"/>
      <c r="Y89" s="1342"/>
      <c r="Z89" s="1320"/>
      <c r="AA89" s="1327"/>
      <c r="AB89" s="1320"/>
      <c r="AC89" s="1320"/>
      <c r="AD89" s="1320"/>
    </row>
    <row r="90" ht="27" customHeight="1">
      <c r="A90" s="1337"/>
      <c r="B90" s="1343">
        <v>73</v>
      </c>
      <c r="C90" s="1335" t="s">
        <v>2229</v>
      </c>
      <c r="D90" s="1353"/>
      <c r="E90" s="1335"/>
      <c r="F90" s="1335"/>
      <c r="G90" s="1335"/>
      <c r="H90" s="1358"/>
      <c r="I90" s="1355" t="str">
        <f t="shared" si="73"/>
        <v>14</v>
      </c>
      <c r="J90" s="1355" t="str">
        <f t="shared" si="74"/>
        <v xml:space="preserve">Среднесписочная численность административно-управленческого персонала</v>
      </c>
      <c r="K90" s="1355">
        <f t="shared" si="75"/>
        <v>0</v>
      </c>
      <c r="L90" s="1341" t="str">
        <f t="shared" si="76"/>
        <v>14</v>
      </c>
      <c r="M90" s="1341" t="str">
        <f t="shared" si="77"/>
        <v xml:space="preserve">Среднесписочная численность административно-управленческого персонала</v>
      </c>
      <c r="N90" s="1341" t="str">
        <f t="shared" si="78"/>
        <v/>
      </c>
      <c r="O90" s="1356" t="s">
        <v>150</v>
      </c>
      <c r="P90" s="1356"/>
      <c r="Q90" s="1356"/>
      <c r="R90" s="1356"/>
      <c r="S90" s="1356"/>
      <c r="T90" s="1335" t="s">
        <v>671</v>
      </c>
      <c r="U90" s="1335"/>
      <c r="V90" s="1335"/>
      <c r="W90" s="1335"/>
      <c r="X90" s="1335"/>
      <c r="Y90" s="1342"/>
      <c r="Z90" s="1320"/>
      <c r="AA90" s="1327"/>
      <c r="AB90" s="1320"/>
      <c r="AC90" s="1320"/>
      <c r="AD90" s="1320"/>
    </row>
    <row r="91" ht="18" customHeight="1">
      <c r="A91" s="1337"/>
      <c r="B91" s="1343">
        <v>74</v>
      </c>
      <c r="C91" s="1335"/>
      <c r="D91" s="1353" t="s">
        <v>2227</v>
      </c>
      <c r="E91" s="1335" t="s">
        <v>2227</v>
      </c>
      <c r="F91" s="1335"/>
      <c r="G91" s="1335"/>
      <c r="H91" s="1358"/>
      <c r="I91" s="1355">
        <f t="shared" si="73"/>
        <v>0</v>
      </c>
      <c r="J91" s="1355">
        <f t="shared" si="74"/>
        <v>0</v>
      </c>
      <c r="K91" s="1355">
        <f t="shared" si="75"/>
        <v>0</v>
      </c>
      <c r="L91" s="1341" t="str">
        <f t="shared" si="76"/>
        <v/>
      </c>
      <c r="M91" s="1341" t="str">
        <f t="shared" si="77"/>
        <v/>
      </c>
      <c r="N91" s="1341" t="str">
        <f t="shared" si="78"/>
        <v/>
      </c>
      <c r="O91" s="1356"/>
      <c r="P91" s="1356" t="s">
        <v>149</v>
      </c>
      <c r="Q91" s="1356" t="s">
        <v>149</v>
      </c>
      <c r="R91" s="1356"/>
      <c r="S91" s="1356"/>
      <c r="T91" s="1335"/>
      <c r="U91" s="1335" t="s">
        <v>2230</v>
      </c>
      <c r="V91" s="1335" t="s">
        <v>2230</v>
      </c>
      <c r="W91" s="1335"/>
      <c r="X91" s="1335"/>
      <c r="Y91" s="1342"/>
      <c r="Z91" s="1320"/>
      <c r="AA91" s="1327"/>
      <c r="AB91" s="1320"/>
      <c r="AC91" s="1320"/>
      <c r="AD91" s="1320"/>
    </row>
    <row r="92" ht="27" customHeight="1">
      <c r="A92" s="1337"/>
      <c r="B92" s="1343">
        <v>75</v>
      </c>
      <c r="C92" s="1335"/>
      <c r="D92" s="1353" t="s">
        <v>2228</v>
      </c>
      <c r="E92" s="1335"/>
      <c r="F92" s="1335"/>
      <c r="G92" s="1335"/>
      <c r="H92" s="1358"/>
      <c r="I92" s="1355">
        <f t="shared" si="73"/>
        <v>0</v>
      </c>
      <c r="J92" s="1355">
        <f t="shared" si="74"/>
        <v>0</v>
      </c>
      <c r="K92" s="1355">
        <f t="shared" si="75"/>
        <v>0</v>
      </c>
      <c r="L92" s="1341" t="str">
        <f t="shared" si="76"/>
        <v/>
      </c>
      <c r="M92" s="1341" t="str">
        <f t="shared" si="77"/>
        <v/>
      </c>
      <c r="N92" s="1341" t="str">
        <f t="shared" si="78"/>
        <v/>
      </c>
      <c r="O92" s="1356"/>
      <c r="P92" s="1356" t="s">
        <v>150</v>
      </c>
      <c r="Q92" s="1356"/>
      <c r="R92" s="1356"/>
      <c r="S92" s="1356"/>
      <c r="T92" s="1335"/>
      <c r="U92" s="1335" t="s">
        <v>2231</v>
      </c>
      <c r="V92" s="1335"/>
      <c r="W92" s="1335"/>
      <c r="X92" s="1335"/>
      <c r="Y92" s="1342"/>
      <c r="Z92" s="1320"/>
      <c r="AA92" s="1327" t="s">
        <v>2232</v>
      </c>
      <c r="AB92" s="1320"/>
      <c r="AC92" s="1320"/>
      <c r="AD92" s="1320"/>
    </row>
    <row r="93" ht="27" customHeight="1">
      <c r="A93" s="1337"/>
      <c r="B93" s="1343">
        <v>76</v>
      </c>
      <c r="C93" s="1335"/>
      <c r="D93" s="1353"/>
      <c r="E93" s="1335"/>
      <c r="F93" s="1335"/>
      <c r="G93" s="1335"/>
      <c r="H93" s="1358"/>
      <c r="I93" s="1355">
        <f t="shared" si="73"/>
        <v>0</v>
      </c>
      <c r="J93" s="1355">
        <f t="shared" si="74"/>
        <v>0</v>
      </c>
      <c r="K93" s="1355">
        <f t="shared" si="75"/>
        <v>0</v>
      </c>
      <c r="L93" s="1341" t="str">
        <f t="shared" si="76"/>
        <v/>
      </c>
      <c r="M93" s="1341" t="str">
        <f t="shared" si="77"/>
        <v/>
      </c>
      <c r="N93" s="1341" t="str">
        <f t="shared" si="78"/>
        <v/>
      </c>
      <c r="O93" s="1356"/>
      <c r="P93" s="1356" t="s">
        <v>2138</v>
      </c>
      <c r="Q93" s="1356"/>
      <c r="R93" s="1356"/>
      <c r="S93" s="1356"/>
      <c r="T93" s="1335"/>
      <c r="U93" s="1335" t="s">
        <v>2233</v>
      </c>
      <c r="V93" s="1335"/>
      <c r="W93" s="1335"/>
      <c r="X93" s="1335"/>
      <c r="Y93" s="1342"/>
      <c r="Z93" s="1320"/>
      <c r="AA93" s="1327" t="s">
        <v>2234</v>
      </c>
      <c r="AB93" s="1320"/>
      <c r="AC93" s="1320"/>
      <c r="AD93" s="1320"/>
    </row>
    <row r="94" ht="45" customHeight="1">
      <c r="A94" s="1337"/>
      <c r="B94" s="1343">
        <v>77</v>
      </c>
      <c r="C94" s="1335"/>
      <c r="D94" s="1353" t="s">
        <v>2229</v>
      </c>
      <c r="E94" s="1335"/>
      <c r="F94" s="1335"/>
      <c r="G94" s="1335"/>
      <c r="H94" s="1358"/>
      <c r="I94" s="1355">
        <f t="shared" si="73"/>
        <v>0</v>
      </c>
      <c r="J94" s="1355">
        <f t="shared" si="74"/>
        <v>0</v>
      </c>
      <c r="K94" s="1355">
        <f t="shared" si="75"/>
        <v>0</v>
      </c>
      <c r="L94" s="1341" t="str">
        <f t="shared" si="76"/>
        <v/>
      </c>
      <c r="M94" s="1341" t="str">
        <f t="shared" si="77"/>
        <v/>
      </c>
      <c r="N94" s="1341" t="str">
        <f t="shared" si="78"/>
        <v/>
      </c>
      <c r="O94" s="1356"/>
      <c r="P94" s="1356" t="s">
        <v>1502</v>
      </c>
      <c r="Q94" s="1356"/>
      <c r="R94" s="1356"/>
      <c r="S94" s="1356"/>
      <c r="T94" s="1335"/>
      <c r="U94" s="1335" t="s">
        <v>2235</v>
      </c>
      <c r="V94" s="1335"/>
      <c r="W94" s="1335"/>
      <c r="X94" s="1335"/>
      <c r="Y94" s="1342"/>
      <c r="Z94" s="1320"/>
      <c r="AA94" s="1327" t="s">
        <v>2236</v>
      </c>
      <c r="AB94" s="1320"/>
      <c r="AC94" s="1320"/>
      <c r="AD94" s="1320"/>
    </row>
    <row r="95" ht="99" customHeight="1">
      <c r="A95" s="1337"/>
      <c r="B95" s="1343">
        <v>78</v>
      </c>
      <c r="C95" s="1335" t="s">
        <v>2237</v>
      </c>
      <c r="D95" s="1353"/>
      <c r="E95" s="1335"/>
      <c r="F95" s="1335"/>
      <c r="G95" s="1335"/>
      <c r="H95" s="1358"/>
      <c r="I95" s="1355" t="str">
        <f t="shared" si="73"/>
        <v>15</v>
      </c>
      <c r="J95" s="1355" t="str">
        <f t="shared" si="74"/>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5">
        <f t="shared" si="75"/>
        <v>0</v>
      </c>
      <c r="L95" s="1341" t="str">
        <f t="shared" si="76"/>
        <v>15</v>
      </c>
      <c r="M95" s="1341" t="str">
        <f t="shared" si="77"/>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1" t="str">
        <f t="shared" si="78"/>
        <v/>
      </c>
      <c r="O95" s="1356" t="s">
        <v>1502</v>
      </c>
      <c r="P95" s="1356"/>
      <c r="Q95" s="1356"/>
      <c r="R95" s="1356"/>
      <c r="S95" s="1356"/>
      <c r="T95" s="1335" t="s">
        <v>2238</v>
      </c>
      <c r="U95" s="1335"/>
      <c r="V95" s="1335"/>
      <c r="W95" s="1335"/>
      <c r="X95" s="1335"/>
      <c r="Y95" s="1342"/>
      <c r="Z95" s="1320"/>
      <c r="AA95" s="1327"/>
      <c r="AB95" s="1320"/>
      <c r="AC95" s="1320"/>
      <c r="AD95" s="1320"/>
    </row>
    <row r="96" ht="99" customHeight="1">
      <c r="A96" s="1337"/>
      <c r="B96" s="1343">
        <v>79</v>
      </c>
      <c r="C96" s="1335" t="s">
        <v>1194</v>
      </c>
      <c r="D96" s="1353"/>
      <c r="E96" s="1335"/>
      <c r="F96" s="1335"/>
      <c r="G96" s="1335"/>
      <c r="H96" s="1358"/>
      <c r="I96" s="1355" t="str">
        <f t="shared" si="73"/>
        <v>16</v>
      </c>
      <c r="J96" s="1355" t="str">
        <f t="shared" si="74"/>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5" t="str">
        <f t="shared" si="75"/>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1" t="str">
        <f t="shared" si="76"/>
        <v>16</v>
      </c>
      <c r="M96" s="1341" t="str">
        <f t="shared" si="77"/>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1" t="str">
        <f t="shared" si="78"/>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6" t="s">
        <v>1507</v>
      </c>
      <c r="P96" s="1356"/>
      <c r="Q96" s="1356"/>
      <c r="R96" s="1356"/>
      <c r="S96" s="1356"/>
      <c r="T96" s="1335" t="s">
        <v>2239</v>
      </c>
      <c r="U96" s="1335"/>
      <c r="V96" s="1335"/>
      <c r="W96" s="1335"/>
      <c r="X96" s="1335"/>
      <c r="Y96" s="1342"/>
      <c r="Z96" s="1320" t="s">
        <v>2240</v>
      </c>
      <c r="AA96" s="1327"/>
      <c r="AB96" s="1320"/>
      <c r="AC96" s="1320"/>
      <c r="AD96" s="1320"/>
    </row>
    <row r="97" ht="63" customHeight="1">
      <c r="A97" s="1337"/>
      <c r="B97" s="1343">
        <v>80</v>
      </c>
      <c r="C97" s="1335" t="s">
        <v>2241</v>
      </c>
      <c r="D97" s="1353"/>
      <c r="E97" s="1335"/>
      <c r="F97" s="1335"/>
      <c r="G97" s="1335"/>
      <c r="H97" s="1358"/>
      <c r="I97" s="1355" t="str">
        <f t="shared" si="73"/>
        <v>17</v>
      </c>
      <c r="J97" s="1355" t="str">
        <f t="shared" si="74"/>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5" t="str">
        <f t="shared" si="75"/>
        <v xml:space="preserve">Регулируемыми организациями указывается информация с по договорам, заключенным в рамках осуществления регулируемой деятельности.</v>
      </c>
      <c r="L97" s="1341" t="str">
        <f t="shared" si="76"/>
        <v>17</v>
      </c>
      <c r="M97" s="1341" t="str">
        <f t="shared" si="77"/>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1" t="str">
        <f t="shared" si="78"/>
        <v xml:space="preserve">Регулируемыми организациями указывается информация с по договорам, заключенным в рамках осуществления регулируемой деятельности.</v>
      </c>
      <c r="O97" s="1356" t="s">
        <v>1518</v>
      </c>
      <c r="P97" s="1356"/>
      <c r="Q97" s="1356"/>
      <c r="R97" s="1356"/>
      <c r="S97" s="1356"/>
      <c r="T97" s="1335" t="s">
        <v>2242</v>
      </c>
      <c r="U97" s="1335"/>
      <c r="V97" s="1335"/>
      <c r="W97" s="1335"/>
      <c r="X97" s="1335"/>
      <c r="Y97" s="1342"/>
      <c r="Z97" s="1320" t="s">
        <v>2243</v>
      </c>
      <c r="AA97" s="1327"/>
      <c r="AB97" s="1320"/>
      <c r="AC97" s="1320"/>
      <c r="AD97" s="1320"/>
    </row>
    <row r="98" ht="63" customHeight="1">
      <c r="A98" s="1337"/>
      <c r="B98" s="1343">
        <v>81</v>
      </c>
      <c r="C98" s="1335" t="s">
        <v>2244</v>
      </c>
      <c r="D98" s="1353"/>
      <c r="E98" s="1335"/>
      <c r="F98" s="1335"/>
      <c r="G98" s="1335"/>
      <c r="H98" s="1358"/>
      <c r="I98" s="1355" t="str">
        <f t="shared" si="73"/>
        <v>18</v>
      </c>
      <c r="J98" s="1355" t="str">
        <f t="shared" si="74"/>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5" t="str">
        <f t="shared" si="75"/>
        <v xml:space="preserve">Регулируемыми организациями указывается информация с по договорам, заключенным в рамках осуществления регулируемой деятельности.</v>
      </c>
      <c r="L98" s="1341" t="str">
        <f t="shared" si="76"/>
        <v>18</v>
      </c>
      <c r="M98" s="1341" t="str">
        <f t="shared" si="77"/>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1" t="str">
        <f t="shared" si="78"/>
        <v xml:space="preserve">Регулируемыми организациями указывается информация с по договорам, заключенным в рамках осуществления регулируемой деятельности.</v>
      </c>
      <c r="O98" s="1356" t="s">
        <v>1532</v>
      </c>
      <c r="P98" s="1356"/>
      <c r="Q98" s="1356"/>
      <c r="R98" s="1356"/>
      <c r="S98" s="1356"/>
      <c r="T98" s="1335" t="s">
        <v>2245</v>
      </c>
      <c r="U98" s="1335"/>
      <c r="V98" s="1335"/>
      <c r="W98" s="1335"/>
      <c r="X98" s="1335"/>
      <c r="Y98" s="1342"/>
      <c r="Z98" s="1320" t="s">
        <v>2243</v>
      </c>
      <c r="AA98" s="1327"/>
      <c r="AB98" s="1320"/>
      <c r="AC98" s="1320"/>
      <c r="AD98" s="1320"/>
    </row>
    <row r="99" ht="90" customHeight="1">
      <c r="A99" s="1337"/>
      <c r="B99" s="1343">
        <v>82</v>
      </c>
      <c r="C99" s="1335" t="s">
        <v>2246</v>
      </c>
      <c r="D99" s="1353"/>
      <c r="E99" s="1335"/>
      <c r="F99" s="1335"/>
      <c r="G99" s="1335"/>
      <c r="H99" s="1358"/>
      <c r="I99" s="1355" t="str">
        <f t="shared" si="73"/>
        <v>19</v>
      </c>
      <c r="J99" s="1355" t="str">
        <f t="shared" si="74"/>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5" t="str">
        <f t="shared" si="75"/>
        <v xml:space="preserve">Указывается ссылка на документ, предварительно загруженный в хранилище файлов ФГИС ЕИАС.</v>
      </c>
      <c r="L99" s="1341" t="str">
        <f t="shared" si="76"/>
        <v>19</v>
      </c>
      <c r="M99" s="1341" t="str">
        <f t="shared" si="77"/>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1" t="str">
        <f t="shared" si="78"/>
        <v xml:space="preserve">Указывается ссылка на документ, предварительно загруженный в хранилище файлов ФГИС ЕИАС.</v>
      </c>
      <c r="O99" s="1356" t="s">
        <v>1544</v>
      </c>
      <c r="P99" s="1356"/>
      <c r="Q99" s="1356"/>
      <c r="R99" s="1356"/>
      <c r="S99" s="1356"/>
      <c r="T99" s="1335" t="s">
        <v>2247</v>
      </c>
      <c r="U99" s="1335"/>
      <c r="V99" s="1335"/>
      <c r="W99" s="1335"/>
      <c r="X99" s="1335"/>
      <c r="Y99" s="1342"/>
      <c r="Z99" s="1320" t="s">
        <v>626</v>
      </c>
      <c r="AA99" s="1327"/>
      <c r="AB99" s="1320"/>
      <c r="AC99" s="1320"/>
      <c r="AD99" s="1320"/>
    </row>
    <row r="100" ht="27" customHeight="1">
      <c r="A100" s="1337"/>
      <c r="B100" s="1343">
        <v>83</v>
      </c>
      <c r="C100" s="1335"/>
      <c r="D100" s="1353"/>
      <c r="E100" s="1335"/>
      <c r="F100" s="1335"/>
      <c r="G100" s="1335"/>
      <c r="H100" s="1358"/>
      <c r="I100" s="1355" t="str">
        <f t="shared" ref="I100:I101" si="79">INDEX(TEMPLATE_NUMBER_POINT_FHD,B100,MATCH(TEMPLATE_SPHERE,TEMPLATE_SPHERE_LIST_FOR_NOTE,0))</f>
        <v>19.1</v>
      </c>
      <c r="J100" s="1355" t="str">
        <f t="shared" ref="J100:J101" si="80">INDEX(TEMPLATE_DATA_POINT_FHD,B100,MATCH(TEMPLATE_SPHERE,TEMPLATE_SPHERE_LIST_FOR_NOTE,0))</f>
        <v xml:space="preserve">Информация о показателях физического износа объектов теплоснабжения</v>
      </c>
      <c r="K100" s="1355" t="str">
        <f t="shared" ref="K100:K101" si="81">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1" t="str">
        <f t="shared" ref="L100:L101" si="82">IF(I100=0,"",I100)</f>
        <v>19.1</v>
      </c>
      <c r="M100" s="1341" t="str">
        <f t="shared" ref="M100:M101" si="83">IF(J100=0,"",J100)</f>
        <v xml:space="preserve">Информация о показателях физического износа объектов теплоснабжения</v>
      </c>
      <c r="N100" s="1341" t="str">
        <f t="shared" ref="N100:N101" si="84">IF(K100=0,"",K100)</f>
        <v xml:space="preserve">Указывается ссылка на документ, предварительно загруженный в хранилище файлов ФГИС ЕИАС.</v>
      </c>
      <c r="O100" s="1356" t="s">
        <v>2248</v>
      </c>
      <c r="P100" s="1356"/>
      <c r="Q100" s="1356"/>
      <c r="R100" s="1356"/>
      <c r="S100" s="1356"/>
      <c r="T100" s="1335" t="s">
        <v>2249</v>
      </c>
      <c r="U100" s="1335"/>
      <c r="V100" s="1335"/>
      <c r="W100" s="1335"/>
      <c r="X100" s="1335"/>
      <c r="Y100" s="1342"/>
      <c r="Z100" s="1320" t="s">
        <v>626</v>
      </c>
      <c r="AA100" s="1327"/>
      <c r="AB100" s="1320"/>
      <c r="AC100" s="1320"/>
      <c r="AD100" s="1320"/>
    </row>
    <row r="101" ht="27" customHeight="1">
      <c r="A101" s="1337"/>
      <c r="B101" s="1343">
        <v>84</v>
      </c>
      <c r="C101" s="1335"/>
      <c r="D101" s="1353"/>
      <c r="E101" s="1335"/>
      <c r="F101" s="1335"/>
      <c r="G101" s="1335"/>
      <c r="H101" s="1358"/>
      <c r="I101" s="1355" t="str">
        <f t="shared" si="79"/>
        <v>19.2</v>
      </c>
      <c r="J101" s="1355" t="str">
        <f t="shared" si="80"/>
        <v xml:space="preserve">Информация о показателях энергетической эффективности объектов теплоснабжения</v>
      </c>
      <c r="K101" s="1355" t="str">
        <f t="shared" si="81"/>
        <v xml:space="preserve">Указывается ссылка на документ, предварительно загруженный в хранилище файлов ФГИС ЕИАС.</v>
      </c>
      <c r="L101" s="1341" t="str">
        <f t="shared" si="82"/>
        <v>19.2</v>
      </c>
      <c r="M101" s="1341" t="str">
        <f t="shared" si="83"/>
        <v xml:space="preserve">Информация о показателях энергетической эффективности объектов теплоснабжения</v>
      </c>
      <c r="N101" s="1341" t="str">
        <f t="shared" si="84"/>
        <v xml:space="preserve">Указывается ссылка на документ, предварительно загруженный в хранилище файлов ФГИС ЕИАС.</v>
      </c>
      <c r="O101" s="1356" t="s">
        <v>2250</v>
      </c>
      <c r="P101" s="1356"/>
      <c r="Q101" s="1356"/>
      <c r="R101" s="1356"/>
      <c r="S101" s="1356"/>
      <c r="T101" s="1335" t="s">
        <v>2251</v>
      </c>
      <c r="U101" s="1335"/>
      <c r="V101" s="1335"/>
      <c r="W101" s="1335"/>
      <c r="X101" s="1335"/>
      <c r="Y101" s="1342"/>
      <c r="Z101" s="1320" t="s">
        <v>626</v>
      </c>
      <c r="AA101" s="1327"/>
      <c r="AB101" s="1320"/>
      <c r="AC101" s="1320"/>
      <c r="AD101" s="1320"/>
    </row>
    <row r="102" ht="9" customHeight="1">
      <c r="A102" s="1337"/>
      <c r="B102" s="1337"/>
      <c r="C102" s="1335"/>
      <c r="D102" s="1335"/>
      <c r="E102" s="1335"/>
      <c r="F102" s="1335"/>
      <c r="G102" s="1335"/>
      <c r="H102" s="1358"/>
      <c r="I102" s="1358"/>
      <c r="J102" s="1358"/>
      <c r="K102" s="1358"/>
      <c r="L102" s="1358"/>
      <c r="M102" s="1335"/>
      <c r="N102" s="1363"/>
      <c r="O102" s="1356"/>
      <c r="P102" s="1356"/>
      <c r="Q102" s="1356"/>
      <c r="R102" s="1356"/>
      <c r="S102" s="1335"/>
      <c r="T102" s="1335"/>
      <c r="U102" s="1335"/>
      <c r="V102" s="1335"/>
      <c r="W102" s="1335"/>
      <c r="X102" s="1335"/>
      <c r="Y102" s="1342"/>
      <c r="Z102" s="1320"/>
      <c r="AA102" s="1327"/>
      <c r="AB102" s="1320"/>
      <c r="AC102" s="1320"/>
      <c r="AD102" s="1320"/>
    </row>
    <row r="103" ht="9" customHeight="1">
      <c r="A103" s="1337"/>
      <c r="B103" s="1337"/>
      <c r="C103" s="1335"/>
      <c r="D103" s="1335"/>
      <c r="E103" s="1335"/>
      <c r="F103" s="1335"/>
      <c r="G103" s="1335"/>
      <c r="H103" s="1358"/>
      <c r="I103" s="1358"/>
      <c r="J103" s="1358"/>
      <c r="K103" s="1358"/>
      <c r="L103" s="1358"/>
      <c r="M103" s="1335"/>
      <c r="N103" s="1363"/>
      <c r="O103" s="1356"/>
      <c r="P103" s="1356"/>
      <c r="Q103" s="1356"/>
      <c r="R103" s="1356"/>
      <c r="S103" s="1335"/>
      <c r="T103" s="1335"/>
      <c r="U103" s="1335"/>
      <c r="V103" s="1335"/>
      <c r="W103" s="1335"/>
      <c r="X103" s="1335"/>
      <c r="Y103" s="1342"/>
      <c r="Z103" s="1320"/>
      <c r="AA103" s="1327"/>
      <c r="AB103" s="1320"/>
      <c r="AC103" s="1320"/>
      <c r="AD103" s="1320"/>
    </row>
    <row r="104" ht="9" customHeight="1">
      <c r="A104" s="1337"/>
      <c r="B104" s="1337"/>
      <c r="C104" s="1335"/>
      <c r="D104" s="1335"/>
      <c r="E104" s="1335"/>
      <c r="F104" s="1335"/>
      <c r="G104" s="1335"/>
      <c r="H104" s="1358"/>
      <c r="I104" s="1358"/>
      <c r="J104" s="1358"/>
      <c r="K104" s="1358"/>
      <c r="L104" s="1358"/>
      <c r="M104" s="1335"/>
      <c r="N104" s="1363"/>
      <c r="O104" s="1356"/>
      <c r="P104" s="1356"/>
      <c r="Q104" s="1356"/>
      <c r="R104" s="1356"/>
      <c r="S104" s="1335"/>
      <c r="T104" s="1335"/>
      <c r="U104" s="1335"/>
      <c r="V104" s="1335"/>
      <c r="W104" s="1335"/>
      <c r="X104" s="1335"/>
      <c r="Y104" s="1342"/>
      <c r="Z104" s="1320"/>
      <c r="AA104" s="1327"/>
      <c r="AB104" s="1320"/>
      <c r="AC104" s="1320"/>
      <c r="AD104" s="1320"/>
    </row>
    <row r="105" ht="9" customHeight="1">
      <c r="A105" s="1337"/>
      <c r="B105" s="1337"/>
      <c r="C105" s="1335"/>
      <c r="D105" s="1335"/>
      <c r="E105" s="1335"/>
      <c r="F105" s="1335"/>
      <c r="G105" s="1335"/>
      <c r="H105" s="1358"/>
      <c r="I105" s="1358"/>
      <c r="J105" s="1358"/>
      <c r="K105" s="1358"/>
      <c r="L105" s="1358"/>
      <c r="M105" s="1335"/>
      <c r="N105" s="1363"/>
      <c r="O105" s="1356"/>
      <c r="P105" s="1356"/>
      <c r="Q105" s="1356"/>
      <c r="R105" s="1356"/>
      <c r="S105" s="1335"/>
      <c r="T105" s="1335"/>
      <c r="U105" s="1335"/>
      <c r="V105" s="1335"/>
      <c r="W105" s="1335"/>
      <c r="X105" s="1335"/>
      <c r="Y105" s="1342"/>
      <c r="Z105" s="1320"/>
      <c r="AA105" s="1327"/>
      <c r="AB105" s="1320"/>
      <c r="AC105" s="1320"/>
      <c r="AD105" s="1320"/>
    </row>
    <row r="106" ht="9" customHeight="1">
      <c r="A106" s="1337"/>
      <c r="B106" s="1337"/>
      <c r="C106" s="1335"/>
      <c r="D106" s="1335"/>
      <c r="E106" s="1335"/>
      <c r="F106" s="1335"/>
      <c r="G106" s="1335"/>
      <c r="H106" s="1358"/>
      <c r="I106" s="1358"/>
      <c r="J106" s="1358"/>
      <c r="K106" s="1358"/>
      <c r="L106" s="1358"/>
      <c r="M106" s="1335"/>
      <c r="N106" s="1363"/>
      <c r="O106" s="1356"/>
      <c r="P106" s="1356"/>
      <c r="Q106" s="1356"/>
      <c r="R106" s="1356"/>
      <c r="S106" s="1335"/>
      <c r="T106" s="1335"/>
      <c r="U106" s="1335"/>
      <c r="V106" s="1335"/>
      <c r="W106" s="1335"/>
      <c r="X106" s="1335"/>
      <c r="Y106" s="1342"/>
      <c r="Z106" s="1320"/>
      <c r="AA106" s="1327"/>
      <c r="AB106" s="1320"/>
      <c r="AC106" s="1320"/>
      <c r="AD106" s="1320"/>
    </row>
    <row r="107" ht="9" customHeight="1">
      <c r="A107" s="1337"/>
      <c r="B107" s="1337"/>
      <c r="C107" s="1335"/>
      <c r="D107" s="1335"/>
      <c r="E107" s="1335"/>
      <c r="F107" s="1335"/>
      <c r="G107" s="1335"/>
      <c r="H107" s="1358"/>
      <c r="I107" s="1358"/>
      <c r="J107" s="1358"/>
      <c r="K107" s="1358"/>
      <c r="L107" s="1358"/>
      <c r="M107" s="1335"/>
      <c r="N107" s="1363"/>
      <c r="O107" s="1356"/>
      <c r="P107" s="1356"/>
      <c r="Q107" s="1356"/>
      <c r="R107" s="1356"/>
      <c r="S107" s="1335"/>
      <c r="T107" s="1335"/>
      <c r="U107" s="1335"/>
      <c r="V107" s="1335"/>
      <c r="W107" s="1335"/>
      <c r="X107" s="1335"/>
      <c r="Y107" s="1342"/>
      <c r="Z107" s="1320"/>
      <c r="AA107" s="1327"/>
      <c r="AB107" s="1320"/>
      <c r="AC107" s="1320"/>
      <c r="AD107" s="1320"/>
    </row>
    <row r="108" ht="9" customHeight="1">
      <c r="A108" s="1337"/>
      <c r="B108" s="1337"/>
      <c r="C108" s="1335"/>
      <c r="D108" s="1335"/>
      <c r="E108" s="1335"/>
      <c r="F108" s="1335"/>
      <c r="G108" s="1335"/>
      <c r="H108" s="1358"/>
      <c r="I108" s="1358"/>
      <c r="J108" s="1358"/>
      <c r="K108" s="1358"/>
      <c r="L108" s="1358"/>
      <c r="M108" s="1335"/>
      <c r="N108" s="1363"/>
      <c r="O108" s="1356"/>
      <c r="P108" s="1356"/>
      <c r="Q108" s="1356"/>
      <c r="R108" s="1356"/>
      <c r="S108" s="1335"/>
      <c r="T108" s="1335"/>
      <c r="U108" s="1335"/>
      <c r="V108" s="1335"/>
      <c r="W108" s="1335"/>
      <c r="X108" s="1335"/>
      <c r="Y108" s="1342"/>
      <c r="Z108" s="1320"/>
      <c r="AA108" s="1327"/>
      <c r="AB108" s="1320"/>
      <c r="AC108" s="1320"/>
      <c r="AD108" s="1320"/>
    </row>
    <row r="109" ht="9" customHeight="1">
      <c r="A109" s="1337"/>
      <c r="B109" s="1337"/>
      <c r="C109" s="1335"/>
      <c r="D109" s="1335"/>
      <c r="E109" s="1335"/>
      <c r="F109" s="1335"/>
      <c r="G109" s="1335"/>
      <c r="H109" s="1358"/>
      <c r="I109" s="1358"/>
      <c r="J109" s="1358"/>
      <c r="K109" s="1358"/>
      <c r="L109" s="1358"/>
      <c r="M109" s="1335"/>
      <c r="N109" s="1363"/>
      <c r="O109" s="1356"/>
      <c r="P109" s="1356"/>
      <c r="Q109" s="1356"/>
      <c r="R109" s="1356"/>
      <c r="S109" s="1335"/>
      <c r="T109" s="1335"/>
      <c r="U109" s="1335"/>
      <c r="V109" s="1335"/>
      <c r="W109" s="1335"/>
      <c r="X109" s="1335"/>
      <c r="Y109" s="1342"/>
      <c r="Z109" s="1320"/>
      <c r="AA109" s="1327"/>
      <c r="AB109" s="1320"/>
      <c r="AC109" s="1320"/>
      <c r="AD109" s="1320"/>
    </row>
    <row r="110" ht="9" customHeight="1">
      <c r="A110" s="1337"/>
      <c r="B110" s="1337"/>
      <c r="C110" s="1335"/>
      <c r="D110" s="1335"/>
      <c r="E110" s="1335"/>
      <c r="F110" s="1335"/>
      <c r="G110" s="1335"/>
      <c r="H110" s="1358"/>
      <c r="I110" s="1358"/>
      <c r="J110" s="1358"/>
      <c r="K110" s="1358"/>
      <c r="L110" s="1358"/>
      <c r="M110" s="1335"/>
      <c r="N110" s="1363"/>
      <c r="O110" s="1356"/>
      <c r="P110" s="1356"/>
      <c r="Q110" s="1356"/>
      <c r="R110" s="1356"/>
      <c r="S110" s="1335"/>
      <c r="T110" s="1335"/>
      <c r="U110" s="1335"/>
      <c r="V110" s="1335"/>
      <c r="W110" s="1335"/>
      <c r="X110" s="1335"/>
      <c r="Y110" s="1342"/>
      <c r="Z110" s="1320"/>
      <c r="AA110" s="1327"/>
      <c r="AB110" s="1320"/>
      <c r="AC110" s="1320"/>
      <c r="AD110" s="1320"/>
    </row>
    <row r="111" ht="9" customHeight="1">
      <c r="A111" s="1337"/>
      <c r="B111" s="1337"/>
      <c r="C111" s="1335"/>
      <c r="D111" s="1335"/>
      <c r="E111" s="1335"/>
      <c r="F111" s="1335"/>
      <c r="G111" s="1335"/>
      <c r="H111" s="1358"/>
      <c r="I111" s="1358"/>
      <c r="J111" s="1358"/>
      <c r="K111" s="1358"/>
      <c r="L111" s="1358"/>
      <c r="M111" s="1335"/>
      <c r="N111" s="1363"/>
      <c r="O111" s="1356"/>
      <c r="P111" s="1356"/>
      <c r="Q111" s="1356"/>
      <c r="R111" s="1356"/>
      <c r="S111" s="1335"/>
      <c r="T111" s="1335"/>
      <c r="U111" s="1335"/>
      <c r="V111" s="1335"/>
      <c r="W111" s="1335"/>
      <c r="X111" s="1335"/>
      <c r="Y111" s="1342"/>
      <c r="Z111" s="1320"/>
      <c r="AA111" s="1327"/>
      <c r="AB111" s="1320"/>
      <c r="AC111" s="1320"/>
      <c r="AD111" s="1320"/>
    </row>
    <row r="112" ht="9" customHeight="1">
      <c r="A112" s="1337"/>
      <c r="B112" s="1337"/>
      <c r="C112" s="1335"/>
      <c r="D112" s="1335"/>
      <c r="E112" s="1335"/>
      <c r="F112" s="1335"/>
      <c r="G112" s="1335"/>
      <c r="H112" s="1358"/>
      <c r="I112" s="1358"/>
      <c r="J112" s="1358"/>
      <c r="K112" s="1358"/>
      <c r="L112" s="1358"/>
      <c r="M112" s="1335"/>
      <c r="N112" s="1363"/>
      <c r="O112" s="1356"/>
      <c r="P112" s="1356"/>
      <c r="Q112" s="1356"/>
      <c r="R112" s="1356"/>
      <c r="S112" s="1335"/>
      <c r="T112" s="1335"/>
      <c r="U112" s="1335"/>
      <c r="V112" s="1335"/>
      <c r="W112" s="1335"/>
      <c r="X112" s="1335"/>
      <c r="Y112" s="1342"/>
      <c r="Z112" s="1320"/>
      <c r="AA112" s="1327"/>
      <c r="AB112" s="1320"/>
      <c r="AC112" s="1320"/>
      <c r="AD112" s="1320"/>
    </row>
    <row r="113" ht="9" customHeight="1">
      <c r="A113" s="1337"/>
      <c r="B113" s="1337"/>
      <c r="C113" s="1335"/>
      <c r="D113" s="1335"/>
      <c r="E113" s="1335"/>
      <c r="F113" s="1335"/>
      <c r="G113" s="1335"/>
      <c r="H113" s="1358"/>
      <c r="I113" s="1358"/>
      <c r="J113" s="1358"/>
      <c r="K113" s="1358"/>
      <c r="L113" s="1358"/>
      <c r="M113" s="1335"/>
      <c r="N113" s="1363"/>
      <c r="O113" s="1356"/>
      <c r="P113" s="1356"/>
      <c r="Q113" s="1356"/>
      <c r="R113" s="1356"/>
      <c r="S113" s="1335"/>
      <c r="T113" s="1335"/>
      <c r="U113" s="1335"/>
      <c r="V113" s="1335"/>
      <c r="W113" s="1335"/>
      <c r="X113" s="1335"/>
      <c r="Y113" s="1342"/>
      <c r="Z113" s="1320"/>
      <c r="AA113" s="1327"/>
      <c r="AB113" s="1320"/>
      <c r="AC113" s="1320"/>
      <c r="AD113" s="1320"/>
    </row>
    <row r="114" ht="9" customHeight="1">
      <c r="A114" s="1337"/>
      <c r="B114" s="1337"/>
      <c r="C114" s="1335"/>
      <c r="D114" s="1335"/>
      <c r="E114" s="1335"/>
      <c r="F114" s="1335"/>
      <c r="G114" s="1335"/>
      <c r="H114" s="1358"/>
      <c r="I114" s="1358"/>
      <c r="J114" s="1358"/>
      <c r="K114" s="1358"/>
      <c r="L114" s="1358"/>
      <c r="M114" s="1335"/>
      <c r="N114" s="1363"/>
      <c r="O114" s="1356"/>
      <c r="P114" s="1356"/>
      <c r="Q114" s="1356"/>
      <c r="R114" s="1356"/>
      <c r="S114" s="1335"/>
      <c r="T114" s="1335"/>
      <c r="U114" s="1335"/>
      <c r="V114" s="1335"/>
      <c r="W114" s="1335"/>
      <c r="X114" s="1335"/>
      <c r="Y114" s="1342"/>
      <c r="Z114" s="1320"/>
      <c r="AA114" s="1327"/>
      <c r="AB114" s="1320"/>
      <c r="AC114" s="1320"/>
      <c r="AD114" s="1320"/>
    </row>
    <row r="115" ht="9" customHeight="1">
      <c r="A115" s="1337"/>
      <c r="B115" s="1337"/>
      <c r="C115" s="1335"/>
      <c r="D115" s="1335"/>
      <c r="E115" s="1335"/>
      <c r="F115" s="1335"/>
      <c r="G115" s="1335"/>
      <c r="H115" s="1358"/>
      <c r="I115" s="1358"/>
      <c r="J115" s="1358"/>
      <c r="K115" s="1358"/>
      <c r="L115" s="1358"/>
      <c r="M115" s="1335"/>
      <c r="N115" s="1363"/>
      <c r="O115" s="1356"/>
      <c r="P115" s="1356"/>
      <c r="Q115" s="1356"/>
      <c r="R115" s="1356"/>
      <c r="S115" s="1335"/>
      <c r="T115" s="1335"/>
      <c r="U115" s="1335"/>
      <c r="V115" s="1335"/>
      <c r="W115" s="1335"/>
      <c r="X115" s="1335"/>
      <c r="Y115" s="1342"/>
      <c r="Z115" s="1320"/>
      <c r="AA115" s="1327"/>
      <c r="AB115" s="1320"/>
      <c r="AC115" s="1320"/>
      <c r="AD115" s="1320"/>
    </row>
    <row r="116" ht="9" customHeight="1">
      <c r="A116" s="1337"/>
      <c r="B116" s="1337"/>
      <c r="C116" s="1335"/>
      <c r="D116" s="1335"/>
      <c r="E116" s="1335"/>
      <c r="F116" s="1335"/>
      <c r="G116" s="1335"/>
      <c r="H116" s="1358"/>
      <c r="I116" s="1358"/>
      <c r="J116" s="1358"/>
      <c r="K116" s="1358"/>
      <c r="L116" s="1358"/>
      <c r="M116" s="1335"/>
      <c r="N116" s="1363"/>
      <c r="O116" s="1356"/>
      <c r="P116" s="1356"/>
      <c r="Q116" s="1356"/>
      <c r="R116" s="1356"/>
      <c r="S116" s="1335"/>
      <c r="T116" s="1335"/>
      <c r="U116" s="1335"/>
      <c r="V116" s="1335"/>
      <c r="W116" s="1335"/>
      <c r="X116" s="1335"/>
      <c r="Y116" s="1342"/>
      <c r="Z116" s="1320"/>
      <c r="AA116" s="1327"/>
      <c r="AB116" s="1320"/>
      <c r="AC116" s="1320"/>
      <c r="AD116" s="1320"/>
    </row>
    <row r="117" ht="9" customHeight="1">
      <c r="A117" s="1337"/>
      <c r="B117" s="1337"/>
      <c r="C117" s="1335"/>
      <c r="D117" s="1335"/>
      <c r="E117" s="1335"/>
      <c r="F117" s="1335"/>
      <c r="G117" s="1335"/>
      <c r="H117" s="1358"/>
      <c r="I117" s="1358"/>
      <c r="J117" s="1358"/>
      <c r="K117" s="1358"/>
      <c r="L117" s="1358"/>
      <c r="M117" s="1335"/>
      <c r="N117" s="1363"/>
      <c r="O117" s="1356"/>
      <c r="P117" s="1356"/>
      <c r="Q117" s="1356"/>
      <c r="R117" s="1356"/>
      <c r="S117" s="1335"/>
      <c r="T117" s="1335"/>
      <c r="U117" s="1335"/>
      <c r="V117" s="1335"/>
      <c r="W117" s="1335"/>
      <c r="X117" s="1335"/>
      <c r="Y117" s="1342"/>
      <c r="Z117" s="1320"/>
      <c r="AA117" s="1327"/>
      <c r="AB117" s="1320"/>
      <c r="AC117" s="1320"/>
      <c r="AD117" s="1320"/>
    </row>
    <row r="118" ht="9" customHeight="1">
      <c r="A118" s="1337"/>
      <c r="B118" s="1337"/>
      <c r="C118" s="1335"/>
      <c r="D118" s="1335"/>
      <c r="E118" s="1335"/>
      <c r="F118" s="1335"/>
      <c r="G118" s="1335"/>
      <c r="H118" s="1358"/>
      <c r="I118" s="1358"/>
      <c r="J118" s="1358"/>
      <c r="K118" s="1358"/>
      <c r="L118" s="1358"/>
      <c r="M118" s="1335"/>
      <c r="N118" s="1363"/>
      <c r="O118" s="1356"/>
      <c r="P118" s="1356"/>
      <c r="Q118" s="1356"/>
      <c r="R118" s="1356"/>
      <c r="S118" s="1335"/>
      <c r="T118" s="1335"/>
      <c r="U118" s="1335"/>
      <c r="V118" s="1335"/>
      <c r="W118" s="1335"/>
      <c r="X118" s="1335"/>
      <c r="Y118" s="1342"/>
      <c r="Z118" s="1320"/>
      <c r="AA118" s="1327"/>
      <c r="AB118" s="1320"/>
      <c r="AC118" s="1320"/>
      <c r="AD118" s="1320"/>
    </row>
    <row r="119" ht="9" customHeight="1">
      <c r="A119" s="1337"/>
      <c r="B119" s="1337"/>
      <c r="C119" s="1335"/>
      <c r="D119" s="1335"/>
      <c r="E119" s="1335"/>
      <c r="F119" s="1335"/>
      <c r="G119" s="1335"/>
      <c r="H119" s="1358"/>
      <c r="I119" s="1358"/>
      <c r="J119" s="1358"/>
      <c r="K119" s="1358"/>
      <c r="L119" s="1358"/>
      <c r="M119" s="1335"/>
      <c r="N119" s="1363"/>
      <c r="O119" s="1356"/>
      <c r="P119" s="1356"/>
      <c r="Q119" s="1356"/>
      <c r="R119" s="1356"/>
      <c r="S119" s="1335"/>
      <c r="T119" s="1335"/>
      <c r="U119" s="1335"/>
      <c r="V119" s="1335"/>
      <c r="W119" s="1335"/>
      <c r="X119" s="1335"/>
      <c r="Y119" s="1342"/>
      <c r="Z119" s="1320"/>
      <c r="AA119" s="1327"/>
      <c r="AB119" s="1320"/>
      <c r="AC119" s="1320"/>
      <c r="AD119" s="1320"/>
    </row>
    <row r="120" ht="9" customHeight="1">
      <c r="A120" s="1337"/>
      <c r="B120" s="1337"/>
      <c r="C120" s="1335"/>
      <c r="D120" s="1335"/>
      <c r="E120" s="1335"/>
      <c r="F120" s="1335"/>
      <c r="G120" s="1335"/>
      <c r="H120" s="1358"/>
      <c r="I120" s="1358"/>
      <c r="J120" s="1358"/>
      <c r="K120" s="1358"/>
      <c r="L120" s="1358"/>
      <c r="M120" s="1335"/>
      <c r="N120" s="1363"/>
      <c r="O120" s="1356"/>
      <c r="P120" s="1356"/>
      <c r="Q120" s="1356"/>
      <c r="R120" s="1356"/>
      <c r="S120" s="1335"/>
      <c r="T120" s="1335"/>
      <c r="U120" s="1335"/>
      <c r="V120" s="1335"/>
      <c r="W120" s="1335"/>
      <c r="X120" s="1335"/>
      <c r="Y120" s="1342"/>
      <c r="Z120" s="1320"/>
      <c r="AA120" s="1327"/>
      <c r="AB120" s="1320"/>
      <c r="AC120" s="1320"/>
      <c r="AD120" s="1320"/>
    </row>
    <row r="121" ht="9" customHeight="1">
      <c r="A121" s="1337"/>
      <c r="B121" s="1337"/>
      <c r="C121" s="1335"/>
      <c r="D121" s="1335"/>
      <c r="E121" s="1335"/>
      <c r="F121" s="1335"/>
      <c r="G121" s="1335"/>
      <c r="H121" s="1358"/>
      <c r="I121" s="1358"/>
      <c r="J121" s="1358"/>
      <c r="K121" s="1358"/>
      <c r="L121" s="1358"/>
      <c r="M121" s="1335"/>
      <c r="N121" s="1363"/>
      <c r="O121" s="1356"/>
      <c r="P121" s="1356"/>
      <c r="Q121" s="1356"/>
      <c r="R121" s="1356"/>
      <c r="S121" s="1335"/>
      <c r="T121" s="1335"/>
      <c r="U121" s="1335"/>
      <c r="V121" s="1335"/>
      <c r="W121" s="1335"/>
      <c r="X121" s="1335"/>
      <c r="Y121" s="1342"/>
      <c r="Z121" s="1320"/>
      <c r="AA121" s="1327"/>
      <c r="AB121" s="1320"/>
      <c r="AC121" s="1320"/>
      <c r="AD121" s="1320"/>
    </row>
    <row r="122" ht="9" customHeight="1">
      <c r="A122" s="1337"/>
      <c r="B122" s="1337"/>
      <c r="C122" s="1335"/>
      <c r="D122" s="1335"/>
      <c r="E122" s="1335"/>
      <c r="F122" s="1335"/>
      <c r="G122" s="1335"/>
      <c r="H122" s="1358"/>
      <c r="I122" s="1358"/>
      <c r="J122" s="1358"/>
      <c r="K122" s="1358"/>
      <c r="L122" s="1358"/>
      <c r="M122" s="1335"/>
      <c r="N122" s="1363"/>
      <c r="O122" s="1356"/>
      <c r="P122" s="1356"/>
      <c r="Q122" s="1356"/>
      <c r="R122" s="1356"/>
      <c r="S122" s="1335"/>
      <c r="T122" s="1335"/>
      <c r="U122" s="1335"/>
      <c r="V122" s="1335"/>
      <c r="W122" s="1335"/>
      <c r="X122" s="1335"/>
      <c r="Y122" s="1342"/>
      <c r="Z122" s="1320"/>
      <c r="AA122" s="1327"/>
      <c r="AB122" s="1320"/>
      <c r="AC122" s="1320"/>
      <c r="AD122" s="1320"/>
    </row>
    <row r="123" ht="9" customHeight="1">
      <c r="A123" s="1337"/>
      <c r="B123" s="1337"/>
      <c r="C123" s="1335"/>
      <c r="D123" s="1335"/>
      <c r="E123" s="1335"/>
      <c r="F123" s="1335"/>
      <c r="G123" s="1335"/>
      <c r="H123" s="1358"/>
      <c r="I123" s="1358"/>
      <c r="J123" s="1358"/>
      <c r="K123" s="1358"/>
      <c r="L123" s="1358"/>
      <c r="M123" s="1335"/>
      <c r="N123" s="1363"/>
      <c r="O123" s="1356"/>
      <c r="P123" s="1356"/>
      <c r="Q123" s="1356"/>
      <c r="R123" s="1356"/>
      <c r="S123" s="1335"/>
      <c r="T123" s="1335"/>
      <c r="U123" s="1335"/>
      <c r="V123" s="1335"/>
      <c r="W123" s="1335"/>
      <c r="X123" s="1335"/>
      <c r="Y123" s="1342"/>
      <c r="Z123" s="1320"/>
      <c r="AA123" s="1327"/>
      <c r="AB123" s="1320"/>
      <c r="AC123" s="1320"/>
      <c r="AD123" s="1320"/>
    </row>
    <row r="124" ht="9" customHeight="1">
      <c r="A124" s="1337"/>
      <c r="B124" s="1337"/>
      <c r="C124" s="1335"/>
      <c r="D124" s="1335"/>
      <c r="E124" s="1335"/>
      <c r="F124" s="1335"/>
      <c r="G124" s="1335"/>
      <c r="H124" s="1358"/>
      <c r="I124" s="1358"/>
      <c r="J124" s="1358"/>
      <c r="K124" s="1358"/>
      <c r="L124" s="1358"/>
      <c r="M124" s="1335"/>
      <c r="N124" s="1363"/>
      <c r="O124" s="1356"/>
      <c r="P124" s="1356"/>
      <c r="Q124" s="1356"/>
      <c r="R124" s="1356"/>
      <c r="S124" s="1335"/>
      <c r="T124" s="1335"/>
      <c r="U124" s="1335"/>
      <c r="V124" s="1335"/>
      <c r="W124" s="1335"/>
      <c r="X124" s="1335"/>
      <c r="Y124" s="1342"/>
      <c r="Z124" s="1320"/>
      <c r="AA124" s="1327"/>
      <c r="AB124" s="1320"/>
      <c r="AC124" s="1320"/>
      <c r="AD124" s="1320"/>
    </row>
    <row r="125" ht="9" customHeight="1">
      <c r="A125" s="1337"/>
      <c r="B125" s="1337"/>
      <c r="C125" s="1335"/>
      <c r="D125" s="1335"/>
      <c r="E125" s="1335"/>
      <c r="F125" s="1335"/>
      <c r="G125" s="1335"/>
      <c r="H125" s="1358"/>
      <c r="I125" s="1358"/>
      <c r="J125" s="1358"/>
      <c r="K125" s="1358"/>
      <c r="L125" s="1358"/>
      <c r="M125" s="1335"/>
      <c r="N125" s="1363"/>
      <c r="O125" s="1356"/>
      <c r="P125" s="1356"/>
      <c r="Q125" s="1356"/>
      <c r="R125" s="1356"/>
      <c r="S125" s="1335"/>
      <c r="T125" s="1335"/>
      <c r="U125" s="1335"/>
      <c r="V125" s="1335"/>
      <c r="W125" s="1335"/>
      <c r="X125" s="1335"/>
      <c r="Y125" s="1342"/>
      <c r="Z125" s="1320"/>
      <c r="AA125" s="1327"/>
      <c r="AB125" s="1320"/>
      <c r="AC125" s="1320"/>
      <c r="AD125" s="1320"/>
    </row>
    <row r="126" ht="9" customHeight="1">
      <c r="A126" s="1337"/>
      <c r="B126" s="1337"/>
      <c r="C126" s="1335"/>
      <c r="D126" s="1335"/>
      <c r="E126" s="1335"/>
      <c r="F126" s="1335"/>
      <c r="G126" s="1335"/>
      <c r="H126" s="1358"/>
      <c r="I126" s="1358"/>
      <c r="J126" s="1358"/>
      <c r="K126" s="1358"/>
      <c r="L126" s="1358"/>
      <c r="M126" s="1335"/>
      <c r="N126" s="1363"/>
      <c r="O126" s="1356"/>
      <c r="P126" s="1356"/>
      <c r="Q126" s="1356"/>
      <c r="R126" s="1356"/>
      <c r="S126" s="1335"/>
      <c r="T126" s="1335"/>
      <c r="U126" s="1335"/>
      <c r="V126" s="1335"/>
      <c r="W126" s="1335"/>
      <c r="X126" s="1335"/>
      <c r="Y126" s="1342"/>
      <c r="Z126" s="1320"/>
      <c r="AA126" s="1327"/>
      <c r="AB126" s="1320"/>
      <c r="AC126" s="1320"/>
      <c r="AD126" s="1320"/>
    </row>
    <row r="127" ht="9" customHeight="1">
      <c r="A127" s="1337"/>
      <c r="B127" s="1337"/>
      <c r="C127" s="1335"/>
      <c r="D127" s="1335"/>
      <c r="E127" s="1335"/>
      <c r="F127" s="1335"/>
      <c r="G127" s="1335"/>
      <c r="H127" s="1358"/>
      <c r="I127" s="1358"/>
      <c r="J127" s="1358"/>
      <c r="K127" s="1358"/>
      <c r="L127" s="1358"/>
      <c r="M127" s="1335"/>
      <c r="N127" s="1363"/>
      <c r="O127" s="1356"/>
      <c r="P127" s="1356"/>
      <c r="Q127" s="1356"/>
      <c r="R127" s="1356"/>
      <c r="S127" s="1335"/>
      <c r="T127" s="1335"/>
      <c r="U127" s="1335"/>
      <c r="V127" s="1335"/>
      <c r="W127" s="1335"/>
      <c r="X127" s="1335"/>
      <c r="Y127" s="1342"/>
      <c r="Z127" s="1320"/>
      <c r="AA127" s="1327"/>
      <c r="AB127" s="1320"/>
      <c r="AC127" s="1320"/>
      <c r="AD127" s="1320"/>
    </row>
    <row r="128" ht="9" customHeight="1">
      <c r="A128" s="1337"/>
      <c r="B128" s="1337"/>
      <c r="C128" s="1335"/>
      <c r="D128" s="1335"/>
      <c r="E128" s="1335"/>
      <c r="F128" s="1335"/>
      <c r="G128" s="1335"/>
      <c r="H128" s="1358"/>
      <c r="I128" s="1358"/>
      <c r="J128" s="1358"/>
      <c r="K128" s="1358"/>
      <c r="L128" s="1358"/>
      <c r="M128" s="1335"/>
      <c r="N128" s="1363"/>
      <c r="O128" s="1356"/>
      <c r="P128" s="1356"/>
      <c r="Q128" s="1356"/>
      <c r="R128" s="1356"/>
      <c r="S128" s="1335"/>
      <c r="T128" s="1335"/>
      <c r="U128" s="1335"/>
      <c r="V128" s="1335"/>
      <c r="W128" s="1335"/>
      <c r="X128" s="1335"/>
      <c r="Y128" s="1342"/>
      <c r="Z128" s="1320"/>
      <c r="AA128" s="1327"/>
      <c r="AB128" s="1320"/>
      <c r="AC128" s="1320"/>
      <c r="AD128" s="1320"/>
    </row>
    <row r="129" ht="9" customHeight="1">
      <c r="A129" s="1337"/>
      <c r="B129" s="1337"/>
      <c r="C129" s="1335"/>
      <c r="D129" s="1335"/>
      <c r="E129" s="1335"/>
      <c r="F129" s="1335"/>
      <c r="G129" s="1335"/>
      <c r="H129" s="1358"/>
      <c r="I129" s="1358"/>
      <c r="J129" s="1358"/>
      <c r="K129" s="1358"/>
      <c r="L129" s="1358"/>
      <c r="M129" s="1335"/>
      <c r="N129" s="1363"/>
      <c r="O129" s="1356"/>
      <c r="P129" s="1356"/>
      <c r="Q129" s="1356"/>
      <c r="R129" s="1356"/>
      <c r="S129" s="1335"/>
      <c r="T129" s="1335"/>
      <c r="U129" s="1335"/>
      <c r="V129" s="1335"/>
      <c r="W129" s="1335"/>
      <c r="X129" s="1335"/>
      <c r="Y129" s="1342"/>
      <c r="Z129" s="1320"/>
      <c r="AA129" s="1327"/>
      <c r="AB129" s="1320"/>
      <c r="AC129" s="1320"/>
      <c r="AD129" s="1320"/>
    </row>
    <row r="130" ht="9" customHeight="1">
      <c r="A130" s="1337"/>
      <c r="B130" s="1337"/>
      <c r="C130" s="1335"/>
      <c r="D130" s="1335"/>
      <c r="E130" s="1335"/>
      <c r="F130" s="1335"/>
      <c r="G130" s="1335"/>
      <c r="H130" s="1358"/>
      <c r="I130" s="1358"/>
      <c r="J130" s="1358"/>
      <c r="K130" s="1358"/>
      <c r="L130" s="1358"/>
      <c r="M130" s="1335"/>
      <c r="N130" s="1363"/>
      <c r="O130" s="1364"/>
      <c r="P130" s="1364"/>
      <c r="Q130" s="1364"/>
      <c r="R130" s="1364"/>
      <c r="S130" s="1335"/>
      <c r="T130" s="1335"/>
      <c r="U130" s="1335"/>
      <c r="V130" s="1335"/>
      <c r="W130" s="1335"/>
      <c r="X130" s="1335"/>
      <c r="Y130" s="1342"/>
      <c r="Z130" s="1320"/>
      <c r="AA130" s="1327"/>
      <c r="AB130" s="1320"/>
      <c r="AC130" s="1320"/>
      <c r="AD130" s="1320"/>
    </row>
    <row r="131" ht="9" customHeight="1">
      <c r="A131" s="1337"/>
      <c r="B131" s="1337"/>
      <c r="C131" s="1335"/>
      <c r="D131" s="1335"/>
      <c r="E131" s="1335"/>
      <c r="F131" s="1335"/>
      <c r="G131" s="1335"/>
      <c r="H131" s="1358"/>
      <c r="I131" s="1358"/>
      <c r="J131" s="1358"/>
      <c r="K131" s="1358"/>
      <c r="L131" s="1358"/>
      <c r="M131" s="1335"/>
      <c r="N131" s="1363"/>
      <c r="O131" s="1365"/>
      <c r="P131" s="1365"/>
      <c r="Q131" s="1365"/>
      <c r="R131" s="1365"/>
      <c r="S131" s="1335"/>
      <c r="T131" s="1335"/>
      <c r="U131" s="1335"/>
      <c r="V131" s="1335"/>
      <c r="W131" s="1335"/>
      <c r="X131" s="1335"/>
      <c r="Y131" s="1342"/>
      <c r="Z131" s="1320"/>
      <c r="AA131" s="1327"/>
      <c r="AB131" s="1320"/>
      <c r="AC131" s="1320"/>
      <c r="AD131" s="1320"/>
    </row>
    <row r="132" ht="9" customHeight="1">
      <c r="A132" s="1337"/>
      <c r="B132" s="1337"/>
      <c r="C132" s="1335"/>
      <c r="D132" s="1335"/>
      <c r="E132" s="1335"/>
      <c r="F132" s="1335"/>
      <c r="G132" s="1335"/>
      <c r="H132" s="1358"/>
      <c r="I132" s="1358"/>
      <c r="J132" s="1358"/>
      <c r="K132" s="1358"/>
      <c r="L132" s="1358"/>
      <c r="M132" s="1335"/>
      <c r="N132" s="1363"/>
      <c r="O132" s="1364"/>
      <c r="P132" s="1364"/>
      <c r="Q132" s="1364"/>
      <c r="R132" s="1364"/>
      <c r="S132" s="1335"/>
      <c r="T132" s="1335"/>
      <c r="U132" s="1335"/>
      <c r="V132" s="1335"/>
      <c r="W132" s="1335"/>
      <c r="X132" s="1335"/>
      <c r="Y132" s="1342"/>
      <c r="Z132" s="1320"/>
      <c r="AA132" s="1327"/>
      <c r="AB132" s="1320"/>
      <c r="AC132" s="1320"/>
      <c r="AD132" s="1320"/>
    </row>
    <row r="133" ht="9" customHeight="1">
      <c r="A133" s="1337"/>
      <c r="B133" s="1337"/>
      <c r="C133" s="1335"/>
      <c r="D133" s="1335"/>
      <c r="E133" s="1335"/>
      <c r="F133" s="1335"/>
      <c r="G133" s="1335"/>
      <c r="H133" s="1358"/>
      <c r="I133" s="1358"/>
      <c r="J133" s="1358"/>
      <c r="K133" s="1358"/>
      <c r="L133" s="1358"/>
      <c r="M133" s="1335"/>
      <c r="N133" s="1363"/>
      <c r="O133" s="1365"/>
      <c r="P133" s="1365"/>
      <c r="Q133" s="1365"/>
      <c r="R133" s="1365"/>
      <c r="S133" s="1335"/>
      <c r="T133" s="1335"/>
      <c r="U133" s="1335"/>
      <c r="V133" s="1335"/>
      <c r="W133" s="1335"/>
      <c r="X133" s="1335"/>
      <c r="Y133" s="1342"/>
      <c r="Z133" s="1320"/>
      <c r="AA133" s="1327"/>
      <c r="AB133" s="1320"/>
      <c r="AC133" s="1320"/>
      <c r="AD133" s="1320"/>
    </row>
    <row r="134" ht="9" customHeight="1">
      <c r="A134" s="1337"/>
      <c r="B134" s="1337"/>
      <c r="C134" s="1335"/>
      <c r="D134" s="1335"/>
      <c r="E134" s="1335"/>
      <c r="F134" s="1335"/>
      <c r="G134" s="1335"/>
      <c r="H134" s="1358"/>
      <c r="I134" s="1358"/>
      <c r="J134" s="1358"/>
      <c r="K134" s="1358"/>
      <c r="L134" s="1358"/>
      <c r="M134" s="1335"/>
      <c r="N134" s="1363"/>
      <c r="O134" s="1356"/>
      <c r="P134" s="1356"/>
      <c r="Q134" s="1356"/>
      <c r="R134" s="1356"/>
      <c r="S134" s="1335"/>
      <c r="T134" s="1335"/>
      <c r="U134" s="1335"/>
      <c r="V134" s="1335"/>
      <c r="W134" s="1335"/>
      <c r="X134" s="1335"/>
      <c r="Y134" s="1342"/>
      <c r="Z134" s="1320"/>
      <c r="AA134" s="1327"/>
      <c r="AB134" s="1320"/>
      <c r="AC134" s="1320"/>
      <c r="AD134" s="1320"/>
    </row>
    <row r="135" ht="9" customHeight="1">
      <c r="A135" s="1337"/>
      <c r="B135" s="1337"/>
      <c r="C135" s="1335"/>
      <c r="D135" s="1335"/>
      <c r="E135" s="1335"/>
      <c r="F135" s="1335"/>
      <c r="G135" s="1335"/>
      <c r="H135" s="1358"/>
      <c r="I135" s="1358"/>
      <c r="J135" s="1358"/>
      <c r="K135" s="1358"/>
      <c r="L135" s="1358"/>
      <c r="M135" s="1335"/>
      <c r="N135" s="1363"/>
      <c r="O135" s="1356"/>
      <c r="P135" s="1356"/>
      <c r="Q135" s="1356"/>
      <c r="R135" s="1356"/>
      <c r="S135" s="1335"/>
      <c r="T135" s="1335"/>
      <c r="U135" s="1335"/>
      <c r="V135" s="1335"/>
      <c r="W135" s="1335"/>
      <c r="X135" s="1335"/>
      <c r="Y135" s="1342"/>
      <c r="Z135" s="1320"/>
      <c r="AA135" s="1327"/>
      <c r="AB135" s="1320"/>
      <c r="AC135" s="1320"/>
      <c r="AD135" s="1320"/>
    </row>
    <row r="136" ht="9" customHeight="1">
      <c r="A136" s="1337"/>
      <c r="B136" s="1337"/>
      <c r="C136" s="1335"/>
      <c r="D136" s="1335"/>
      <c r="E136" s="1335"/>
      <c r="F136" s="1335"/>
      <c r="G136" s="1335"/>
      <c r="H136" s="1358"/>
      <c r="I136" s="1358"/>
      <c r="J136" s="1358"/>
      <c r="K136" s="1358"/>
      <c r="L136" s="1358"/>
      <c r="M136" s="1335"/>
      <c r="N136" s="1363"/>
      <c r="O136" s="1356"/>
      <c r="P136" s="1356"/>
      <c r="Q136" s="1356"/>
      <c r="R136" s="1356"/>
      <c r="S136" s="1335"/>
      <c r="T136" s="1335"/>
      <c r="U136" s="1335"/>
      <c r="V136" s="1335"/>
      <c r="W136" s="1335"/>
      <c r="X136" s="1335"/>
      <c r="Y136" s="1342"/>
      <c r="Z136" s="1320"/>
      <c r="AA136" s="1327"/>
      <c r="AB136" s="1320"/>
      <c r="AC136" s="1320"/>
      <c r="AD136" s="1320"/>
    </row>
    <row r="137" ht="9" customHeight="1">
      <c r="A137" s="1337"/>
      <c r="B137" s="1337"/>
      <c r="C137" s="1335"/>
      <c r="D137" s="1335"/>
      <c r="E137" s="1335"/>
      <c r="F137" s="1335"/>
      <c r="G137" s="1335"/>
      <c r="H137" s="1358"/>
      <c r="I137" s="1358"/>
      <c r="J137" s="1358"/>
      <c r="K137" s="1358"/>
      <c r="L137" s="1358"/>
      <c r="M137" s="1335"/>
      <c r="N137" s="1363"/>
      <c r="O137" s="1366"/>
      <c r="P137" s="1366"/>
      <c r="Q137" s="1366"/>
      <c r="R137" s="1366"/>
      <c r="S137" s="1335"/>
      <c r="T137" s="1335"/>
      <c r="U137" s="1335"/>
      <c r="V137" s="1335"/>
      <c r="W137" s="1335"/>
      <c r="X137" s="1335"/>
      <c r="Y137" s="1342"/>
      <c r="Z137" s="1320"/>
      <c r="AA137" s="1327"/>
      <c r="AB137" s="1320"/>
      <c r="AC137" s="1320"/>
      <c r="AD137" s="1320"/>
    </row>
    <row r="138" ht="9" customHeight="1">
      <c r="A138" s="1337"/>
      <c r="B138" s="1337"/>
      <c r="C138" s="1335"/>
      <c r="D138" s="1335"/>
      <c r="E138" s="1335"/>
      <c r="F138" s="1335"/>
      <c r="G138" s="1335"/>
      <c r="H138" s="1358"/>
      <c r="I138" s="1358"/>
      <c r="J138" s="1358"/>
      <c r="K138" s="1358"/>
      <c r="L138" s="1358"/>
      <c r="M138" s="1335"/>
      <c r="N138" s="1363"/>
      <c r="O138" s="1359"/>
      <c r="P138" s="1359"/>
      <c r="Q138" s="1359"/>
      <c r="R138" s="1359"/>
      <c r="S138" s="1335"/>
      <c r="T138" s="1335"/>
      <c r="U138" s="1335"/>
      <c r="V138" s="1335"/>
      <c r="W138" s="1335"/>
      <c r="X138" s="1335"/>
      <c r="Y138" s="1342"/>
      <c r="Z138" s="1320"/>
      <c r="AA138" s="1327"/>
      <c r="AB138" s="1320"/>
      <c r="AC138" s="1320"/>
      <c r="AD138" s="1320"/>
    </row>
    <row r="139" ht="9" customHeight="1">
      <c r="A139" s="1337"/>
      <c r="B139" s="1337"/>
      <c r="C139" s="1335"/>
      <c r="D139" s="1335"/>
      <c r="E139" s="1335"/>
      <c r="F139" s="1335"/>
      <c r="G139" s="1335"/>
      <c r="H139" s="1358"/>
      <c r="I139" s="1358"/>
      <c r="J139" s="1358"/>
      <c r="K139" s="1358"/>
      <c r="L139" s="1358"/>
      <c r="M139" s="1335"/>
      <c r="N139" s="1363"/>
      <c r="O139" s="1335"/>
      <c r="P139" s="1335"/>
      <c r="Q139" s="1335"/>
      <c r="R139" s="1335"/>
      <c r="S139" s="1335"/>
      <c r="T139" s="1335"/>
      <c r="U139" s="1335"/>
      <c r="V139" s="1335"/>
      <c r="W139" s="1335"/>
      <c r="X139" s="1335"/>
      <c r="Y139" s="1342"/>
      <c r="Z139" s="1320"/>
      <c r="AA139" s="1327"/>
      <c r="AB139" s="1320"/>
      <c r="AC139" s="1320"/>
      <c r="AD139" s="1320"/>
    </row>
    <row r="140" ht="9" customHeight="1">
      <c r="A140" s="1337"/>
      <c r="B140" s="1337"/>
      <c r="C140" s="1335"/>
      <c r="D140" s="1335"/>
      <c r="E140" s="1335"/>
      <c r="F140" s="1335"/>
      <c r="G140" s="1335"/>
      <c r="H140" s="1358"/>
      <c r="I140" s="1358"/>
      <c r="J140" s="1358"/>
      <c r="K140" s="1358"/>
      <c r="L140" s="1358"/>
      <c r="M140" s="1335"/>
      <c r="N140" s="1363"/>
      <c r="O140" s="1335"/>
      <c r="P140" s="1335"/>
      <c r="Q140" s="1335"/>
      <c r="R140" s="1335"/>
      <c r="S140" s="1335"/>
      <c r="T140" s="1335"/>
      <c r="U140" s="1335"/>
      <c r="V140" s="1335"/>
      <c r="W140" s="1335"/>
      <c r="X140" s="1335"/>
      <c r="Y140" s="1342"/>
      <c r="Z140" s="1320"/>
      <c r="AA140" s="1327"/>
      <c r="AB140" s="1320"/>
      <c r="AC140" s="1320"/>
      <c r="AD140" s="1320"/>
    </row>
    <row r="141" ht="9" customHeight="1">
      <c r="A141" s="1337"/>
      <c r="B141" s="1337"/>
      <c r="C141" s="1335"/>
      <c r="D141" s="1335"/>
      <c r="E141" s="1335"/>
      <c r="F141" s="1335"/>
      <c r="G141" s="1335"/>
      <c r="H141" s="1358"/>
      <c r="I141" s="1358"/>
      <c r="J141" s="1358"/>
      <c r="K141" s="1358"/>
      <c r="L141" s="1358"/>
      <c r="M141" s="1335"/>
      <c r="N141" s="1363"/>
      <c r="O141" s="1335"/>
      <c r="P141" s="1335"/>
      <c r="Q141" s="1335"/>
      <c r="R141" s="1335"/>
      <c r="S141" s="1335"/>
      <c r="T141" s="1335"/>
      <c r="U141" s="1335"/>
      <c r="V141" s="1335"/>
      <c r="W141" s="1335"/>
      <c r="X141" s="1335"/>
      <c r="Y141" s="1342"/>
      <c r="Z141" s="1320"/>
      <c r="AA141" s="1327"/>
      <c r="AB141" s="1320"/>
      <c r="AC141" s="1320"/>
      <c r="AD141" s="1320"/>
    </row>
    <row r="142" ht="9" customHeight="1">
      <c r="A142" s="1337"/>
      <c r="B142" s="1337"/>
      <c r="C142" s="1335"/>
      <c r="D142" s="1335"/>
      <c r="E142" s="1335"/>
      <c r="F142" s="1335"/>
      <c r="G142" s="1335"/>
      <c r="H142" s="1358"/>
      <c r="I142" s="1358"/>
      <c r="J142" s="1358"/>
      <c r="K142" s="1358"/>
      <c r="L142" s="1358"/>
      <c r="M142" s="1335"/>
      <c r="N142" s="1363"/>
      <c r="O142" s="1335"/>
      <c r="P142" s="1335"/>
      <c r="Q142" s="1335"/>
      <c r="R142" s="1335"/>
      <c r="S142" s="1335"/>
      <c r="T142" s="1335"/>
      <c r="U142" s="1335"/>
      <c r="V142" s="1335"/>
      <c r="W142" s="1335"/>
      <c r="X142" s="1335"/>
      <c r="Y142" s="1342"/>
      <c r="Z142" s="1320"/>
      <c r="AA142" s="1327"/>
      <c r="AB142" s="1320"/>
      <c r="AC142" s="1320"/>
      <c r="AD142" s="1320"/>
    </row>
    <row r="143" ht="9" customHeight="1">
      <c r="A143" s="1337"/>
      <c r="B143" s="1337"/>
      <c r="C143" s="1335"/>
      <c r="D143" s="1335"/>
      <c r="E143" s="1335"/>
      <c r="F143" s="1335"/>
      <c r="G143" s="1335"/>
      <c r="H143" s="1358"/>
      <c r="I143" s="1358"/>
      <c r="J143" s="1358"/>
      <c r="K143" s="1358"/>
      <c r="L143" s="1358"/>
      <c r="M143" s="1335"/>
      <c r="N143" s="1363"/>
      <c r="O143" s="1335"/>
      <c r="P143" s="1335"/>
      <c r="Q143" s="1335"/>
      <c r="R143" s="1335"/>
      <c r="S143" s="1335"/>
      <c r="T143" s="1335"/>
      <c r="U143" s="1335"/>
      <c r="V143" s="1335"/>
      <c r="W143" s="1335"/>
      <c r="X143" s="1335"/>
      <c r="Y143" s="1342"/>
      <c r="Z143" s="1320"/>
      <c r="AA143" s="1327"/>
      <c r="AB143" s="1320"/>
      <c r="AC143" s="1320"/>
      <c r="AD143" s="1320"/>
    </row>
    <row r="144" ht="9" customHeight="1">
      <c r="A144" s="1337"/>
      <c r="B144" s="1337"/>
      <c r="C144" s="1335"/>
      <c r="D144" s="1335"/>
      <c r="E144" s="1335"/>
      <c r="F144" s="1335"/>
      <c r="G144" s="1335"/>
      <c r="H144" s="1358"/>
      <c r="I144" s="1358"/>
      <c r="J144" s="1358"/>
      <c r="K144" s="1358"/>
      <c r="L144" s="1358"/>
      <c r="M144" s="1335"/>
      <c r="N144" s="1363"/>
      <c r="O144" s="1335"/>
      <c r="P144" s="1335"/>
      <c r="Q144" s="1335"/>
      <c r="R144" s="1335"/>
      <c r="S144" s="1335"/>
      <c r="T144" s="1335"/>
      <c r="U144" s="1335"/>
      <c r="V144" s="1335"/>
      <c r="W144" s="1335"/>
      <c r="X144" s="1335"/>
      <c r="Y144" s="1342"/>
      <c r="Z144" s="1320"/>
      <c r="AA144" s="1327"/>
      <c r="AB144" s="1320"/>
      <c r="AC144" s="1320"/>
      <c r="AD144" s="1320"/>
    </row>
    <row r="145" ht="9" customHeight="1">
      <c r="A145" s="1337"/>
      <c r="B145" s="1337"/>
      <c r="C145" s="1335"/>
      <c r="D145" s="1335"/>
      <c r="E145" s="1335"/>
      <c r="F145" s="1335"/>
      <c r="G145" s="1335"/>
      <c r="H145" s="1358"/>
      <c r="I145" s="1358"/>
      <c r="J145" s="1358"/>
      <c r="K145" s="1358"/>
      <c r="L145" s="1358"/>
      <c r="M145" s="1335"/>
      <c r="N145" s="1363"/>
      <c r="O145" s="1335"/>
      <c r="P145" s="1335"/>
      <c r="Q145" s="1335"/>
      <c r="R145" s="1335"/>
      <c r="S145" s="1335"/>
      <c r="T145" s="1335"/>
      <c r="U145" s="1335"/>
      <c r="V145" s="1335"/>
      <c r="W145" s="1335"/>
      <c r="X145" s="1335"/>
      <c r="Y145" s="1342"/>
      <c r="Z145" s="1320"/>
      <c r="AA145" s="1327"/>
      <c r="AB145" s="1320"/>
      <c r="AC145" s="1320"/>
      <c r="AD145" s="1320"/>
    </row>
    <row r="146" ht="9" customHeight="1">
      <c r="A146" s="1337"/>
      <c r="B146" s="1337"/>
      <c r="C146" s="1335"/>
      <c r="D146" s="1335"/>
      <c r="E146" s="1335"/>
      <c r="F146" s="1335"/>
      <c r="G146" s="1335"/>
      <c r="H146" s="1358"/>
      <c r="I146" s="1358"/>
      <c r="J146" s="1358"/>
      <c r="K146" s="1358"/>
      <c r="L146" s="1358"/>
      <c r="M146" s="1335"/>
      <c r="N146" s="1363"/>
      <c r="O146" s="1335"/>
      <c r="P146" s="1335"/>
      <c r="Q146" s="1335"/>
      <c r="R146" s="1335"/>
      <c r="S146" s="1335"/>
      <c r="T146" s="1335"/>
      <c r="U146" s="1335"/>
      <c r="V146" s="1335"/>
      <c r="W146" s="1335"/>
      <c r="X146" s="1335"/>
      <c r="Y146" s="1342"/>
      <c r="Z146" s="1320"/>
      <c r="AA146" s="1327"/>
      <c r="AB146" s="1320"/>
      <c r="AC146" s="1320"/>
      <c r="AD146" s="1320"/>
    </row>
    <row r="147" ht="9" customHeight="1">
      <c r="A147" s="1337"/>
      <c r="B147" s="1337"/>
      <c r="C147" s="1337"/>
      <c r="D147" s="1337"/>
      <c r="E147" s="1337"/>
      <c r="F147" s="1337"/>
      <c r="G147" s="1337"/>
      <c r="H147" s="1337"/>
      <c r="I147" s="1337"/>
      <c r="J147" s="1337"/>
      <c r="K147" s="1337"/>
      <c r="L147" s="1337"/>
      <c r="M147" s="1337"/>
      <c r="N147" s="1337"/>
      <c r="O147" s="1337"/>
      <c r="P147" s="1337"/>
      <c r="Q147" s="1337"/>
      <c r="R147" s="1337"/>
      <c r="S147" s="1337"/>
      <c r="T147" s="1337"/>
      <c r="U147" s="1337"/>
      <c r="V147" s="1337"/>
      <c r="W147" s="1337"/>
      <c r="X147" s="1337"/>
      <c r="Y147" s="1337"/>
      <c r="Z147" s="1337"/>
      <c r="AA147" s="1337"/>
      <c r="AB147" s="1337"/>
      <c r="AC147" s="1337"/>
      <c r="AD147" s="1337"/>
    </row>
    <row r="148" ht="90" customHeight="1">
      <c r="A148" s="1337" t="s">
        <v>1698</v>
      </c>
      <c r="B148" s="1337"/>
      <c r="C148" s="1335" t="s">
        <v>2252</v>
      </c>
      <c r="D148" s="1335" t="s">
        <v>1600</v>
      </c>
      <c r="E148" s="1335" t="s">
        <v>1700</v>
      </c>
      <c r="F148" s="1335" t="s">
        <v>2253</v>
      </c>
      <c r="G148" s="1335"/>
      <c r="H148" s="1335"/>
      <c r="I148" s="1367"/>
      <c r="J148" s="1367"/>
      <c r="K148" s="1367"/>
      <c r="L148" s="1367"/>
      <c r="M148" s="1368"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8"/>
      <c r="O148" s="1335"/>
      <c r="P148" s="1341"/>
      <c r="Q148" s="1341"/>
      <c r="R148" s="1341"/>
      <c r="S148" s="1335"/>
      <c r="T148" s="1335" t="s">
        <v>2254</v>
      </c>
      <c r="U148" s="134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1"/>
      <c r="W148" s="1341"/>
      <c r="X148" s="1335" t="s">
        <v>2255</v>
      </c>
      <c r="Y148" s="1342"/>
      <c r="Z148" s="1320"/>
      <c r="AA148" s="1327"/>
      <c r="AB148" s="1320"/>
      <c r="AC148" s="1320"/>
      <c r="AD148" s="1320"/>
    </row>
    <row r="149" ht="9" customHeight="1">
      <c r="A149" s="1337"/>
      <c r="B149" s="1337"/>
      <c r="C149" s="1337"/>
      <c r="D149" s="1337"/>
      <c r="E149" s="1337"/>
      <c r="F149" s="1337"/>
      <c r="G149" s="1337"/>
      <c r="H149" s="1337"/>
      <c r="I149" s="1337"/>
      <c r="J149" s="1337"/>
      <c r="K149" s="1337"/>
      <c r="L149" s="1337"/>
      <c r="M149" s="1337"/>
      <c r="N149" s="1337"/>
      <c r="O149" s="1337"/>
      <c r="P149" s="1337"/>
      <c r="Q149" s="1337"/>
      <c r="R149" s="1337"/>
      <c r="S149" s="1337"/>
      <c r="T149" s="1337"/>
      <c r="U149" s="1337"/>
      <c r="V149" s="1337"/>
      <c r="W149" s="1337"/>
      <c r="X149" s="1337"/>
      <c r="Y149" s="1337"/>
      <c r="Z149" s="1337"/>
      <c r="AA149" s="1337"/>
      <c r="AB149" s="1337"/>
      <c r="AC149" s="1337"/>
      <c r="AD149" s="1337"/>
    </row>
    <row r="150" ht="9" customHeight="1">
      <c r="A150" s="1337" t="s">
        <v>1702</v>
      </c>
      <c r="B150" s="1337"/>
      <c r="C150" s="1335"/>
      <c r="D150" s="1335"/>
      <c r="E150" s="1335"/>
      <c r="F150" s="1335"/>
      <c r="G150" s="1335"/>
      <c r="H150" s="1335"/>
      <c r="I150" s="1335"/>
      <c r="J150" s="1335"/>
      <c r="K150" s="1335"/>
      <c r="L150" s="1335"/>
      <c r="M150" s="1335"/>
      <c r="N150" s="1335"/>
      <c r="O150" s="1335"/>
      <c r="P150" s="1335"/>
      <c r="Q150" s="1335"/>
      <c r="R150" s="1335"/>
      <c r="S150" s="1335"/>
      <c r="T150" s="1335"/>
      <c r="U150" s="1335"/>
      <c r="V150" s="1335"/>
      <c r="W150" s="1335"/>
      <c r="X150" s="1335"/>
      <c r="Y150" s="1342"/>
      <c r="Z150" s="1320"/>
      <c r="AA150" s="1327"/>
      <c r="AB150" s="1320"/>
      <c r="AC150" s="1320"/>
      <c r="AD150" s="1320"/>
    </row>
    <row r="151" ht="9" customHeight="1">
      <c r="A151" s="1337"/>
      <c r="B151" s="1337"/>
      <c r="C151" s="1337"/>
      <c r="D151" s="1337"/>
      <c r="E151" s="1337"/>
      <c r="F151" s="1337"/>
      <c r="G151" s="1337"/>
      <c r="H151" s="1337"/>
      <c r="I151" s="1337"/>
      <c r="J151" s="1337"/>
      <c r="K151" s="1337"/>
      <c r="L151" s="1337"/>
      <c r="M151" s="1337"/>
      <c r="N151" s="1337"/>
      <c r="O151" s="1337"/>
      <c r="P151" s="1337"/>
      <c r="Q151" s="1337"/>
      <c r="R151" s="1337"/>
      <c r="S151" s="1337"/>
      <c r="T151" s="1337"/>
      <c r="U151" s="1337"/>
      <c r="V151" s="1337"/>
      <c r="W151" s="1337"/>
      <c r="X151" s="1337"/>
      <c r="Y151" s="1337"/>
      <c r="Z151" s="1337"/>
      <c r="AA151" s="1337"/>
      <c r="AB151" s="1337"/>
      <c r="AC151" s="1337"/>
      <c r="AD151" s="1337"/>
    </row>
    <row r="152" ht="9" customHeight="1">
      <c r="A152" s="1337" t="s">
        <v>1705</v>
      </c>
      <c r="B152" s="1337"/>
      <c r="C152" s="1335"/>
      <c r="D152" s="1335"/>
      <c r="E152" s="1335"/>
      <c r="F152" s="1335"/>
      <c r="G152" s="1335"/>
      <c r="H152" s="1335"/>
      <c r="I152" s="1335"/>
      <c r="J152" s="1335"/>
      <c r="K152" s="1335"/>
      <c r="L152" s="1335"/>
      <c r="M152" s="1335"/>
      <c r="N152" s="1335"/>
      <c r="O152" s="1335"/>
      <c r="P152" s="1335"/>
      <c r="Q152" s="1335"/>
      <c r="R152" s="1335"/>
      <c r="S152" s="1335"/>
      <c r="T152" s="1335"/>
      <c r="U152" s="1335"/>
      <c r="V152" s="1335"/>
      <c r="W152" s="1335"/>
      <c r="X152" s="1335"/>
      <c r="Y152" s="1342"/>
      <c r="Z152" s="1320"/>
      <c r="AA152" s="1327"/>
      <c r="AB152" s="1320"/>
      <c r="AC152" s="1320"/>
      <c r="AD152" s="1320"/>
    </row>
    <row r="153" ht="9" customHeight="1">
      <c r="A153" s="1337"/>
      <c r="B153" s="1337"/>
      <c r="C153" s="1337"/>
      <c r="D153" s="1337"/>
      <c r="E153" s="1337"/>
      <c r="F153" s="1337"/>
      <c r="G153" s="1337"/>
      <c r="H153" s="1337"/>
      <c r="I153" s="1337"/>
      <c r="J153" s="1337"/>
      <c r="K153" s="1337"/>
      <c r="L153" s="1337"/>
      <c r="M153" s="1337"/>
      <c r="N153" s="1337"/>
      <c r="O153" s="1337"/>
      <c r="P153" s="1337"/>
      <c r="Q153" s="1337"/>
      <c r="R153" s="1337"/>
      <c r="S153" s="1337"/>
      <c r="T153" s="1337"/>
      <c r="U153" s="1337"/>
      <c r="V153" s="1337"/>
      <c r="W153" s="1337"/>
      <c r="X153" s="1337"/>
      <c r="Y153" s="1337"/>
      <c r="Z153" s="1337"/>
      <c r="AA153" s="1337"/>
      <c r="AB153" s="1337"/>
      <c r="AC153" s="1337"/>
      <c r="AD153" s="1337"/>
    </row>
    <row r="154" ht="9" customHeight="1">
      <c r="A154" s="1337" t="s">
        <v>1710</v>
      </c>
      <c r="B154" s="1337"/>
      <c r="C154" s="1335"/>
      <c r="D154" s="1335"/>
      <c r="E154" s="1335"/>
      <c r="F154" s="1335"/>
      <c r="G154" s="1335"/>
      <c r="H154" s="1335"/>
      <c r="I154" s="1335"/>
      <c r="J154" s="1335"/>
      <c r="K154" s="1335"/>
      <c r="L154" s="1335"/>
      <c r="M154" s="1335"/>
      <c r="N154" s="1335"/>
      <c r="O154" s="1335"/>
      <c r="P154" s="1335"/>
      <c r="Q154" s="1335"/>
      <c r="R154" s="1335"/>
      <c r="S154" s="1335"/>
      <c r="T154" s="1335"/>
      <c r="U154" s="1335"/>
      <c r="V154" s="1335"/>
      <c r="W154" s="1335"/>
      <c r="X154" s="1335"/>
      <c r="Y154" s="1342"/>
      <c r="Z154" s="1320"/>
      <c r="AA154" s="1327"/>
      <c r="AB154" s="1320"/>
      <c r="AC154" s="1320"/>
      <c r="AD154" s="1320"/>
    </row>
  </sheetData>
  <sheetProtection autoFilter="0" deleteColumns="1" deleteRows="1" formatCells="1" formatColumns="1" formatRows="1" insertColumns="1" insertHyperlinks="1" insertRows="1" objects="0" pivotTables="1" scenarios="0" selectLockedCells="0" selectUnlockedCells="0" sheet="1" sort="1"/>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78"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39"/>
      <c r="K4" s="539"/>
      <c r="L4" s="540"/>
      <c r="M4" s="91"/>
      <c r="N4" s="91"/>
      <c r="O4" s="50"/>
      <c r="P4" s="50"/>
      <c r="Q4" s="50"/>
      <c r="R4" s="50"/>
      <c r="S4" s="50"/>
      <c r="T4" s="50"/>
      <c r="U4" s="50"/>
      <c r="V4" s="50"/>
      <c r="AD4" s="50">
        <v>14</v>
      </c>
    </row>
    <row r="5" ht="67.200000000000003" customHeight="1">
      <c r="J5" s="539"/>
      <c r="K5" s="539"/>
      <c r="L5" s="1369" t="s">
        <v>2256</v>
      </c>
      <c r="M5" s="1369"/>
      <c r="N5" s="1369"/>
      <c r="O5" s="1369"/>
      <c r="P5" s="1369"/>
      <c r="Q5" s="1369"/>
      <c r="R5" s="1369"/>
      <c r="S5" s="1369"/>
      <c r="T5" s="1369"/>
      <c r="U5" s="1369"/>
      <c r="V5" s="240"/>
      <c r="AD5" s="50">
        <v>64</v>
      </c>
    </row>
    <row r="6" ht="14.65" customHeight="1">
      <c r="J6" s="539"/>
      <c r="K6" s="539"/>
      <c r="L6" s="1370" t="str">
        <f>IF(org=0,"Не определено",org)</f>
        <v xml:space="preserve">АО "ДГК" СП "Биробиджанская ТЭЦ"</v>
      </c>
      <c r="M6" s="1370"/>
      <c r="N6" s="1370"/>
      <c r="O6" s="1370"/>
      <c r="P6" s="1370"/>
      <c r="Q6" s="1370"/>
      <c r="R6" s="1370"/>
      <c r="S6" s="1370"/>
      <c r="T6" s="1370"/>
      <c r="U6" s="1370"/>
      <c r="V6" s="240"/>
      <c r="AD6" s="50">
        <v>14</v>
      </c>
    </row>
    <row r="7" ht="14.65" customHeight="1">
      <c r="J7" s="539"/>
      <c r="K7" s="539"/>
      <c r="L7" s="540"/>
      <c r="M7" s="91"/>
      <c r="N7" s="91"/>
      <c r="O7" s="541"/>
      <c r="P7" s="541"/>
      <c r="Q7" s="541"/>
      <c r="R7" s="541"/>
      <c r="S7" s="541"/>
      <c r="T7" s="541"/>
      <c r="U7" s="541"/>
      <c r="V7" s="541"/>
      <c r="W7" s="50"/>
      <c r="AD7" s="50">
        <v>14</v>
      </c>
    </row>
    <row r="8" s="184" customFormat="1" ht="48.25" customHeight="1">
      <c r="A8" s="151"/>
      <c r="B8" s="151"/>
      <c r="C8" s="151"/>
      <c r="D8" s="151"/>
      <c r="E8" s="151"/>
      <c r="F8" s="151"/>
      <c r="G8" s="151"/>
      <c r="H8" s="151"/>
      <c r="L8" s="1106"/>
      <c r="M8" s="542" t="s">
        <v>41</v>
      </c>
      <c r="N8" s="1090"/>
      <c r="O8" s="544" t="str">
        <f>IF(TITLE_NAME_OR_PR_CHANGE="",IF(TITLE_NAME_OR_PR="","",TITLE_NAME_OR_PR),TITLE_NAME_OR_PR_CHANGE)</f>
        <v/>
      </c>
      <c r="P8" s="544"/>
      <c r="Q8" s="544"/>
      <c r="R8" s="544"/>
      <c r="S8" s="544"/>
      <c r="T8" s="544"/>
      <c r="U8" s="544"/>
      <c r="V8" s="50"/>
      <c r="W8" s="50"/>
      <c r="X8" s="545"/>
      <c r="Y8" s="129"/>
      <c r="Z8" s="129"/>
      <c r="AA8" s="129"/>
      <c r="AB8" s="129"/>
      <c r="AC8" s="129"/>
      <c r="AD8" s="184">
        <v>46</v>
      </c>
    </row>
    <row r="9" s="184" customFormat="1" ht="24" customHeight="1">
      <c r="A9" s="151"/>
      <c r="B9" s="151"/>
      <c r="C9" s="151"/>
      <c r="D9" s="151"/>
      <c r="E9" s="151"/>
      <c r="F9" s="151"/>
      <c r="G9" s="151"/>
      <c r="H9" s="151"/>
      <c r="L9" s="1106"/>
      <c r="M9" s="542" t="s">
        <v>418</v>
      </c>
      <c r="N9" s="1090"/>
      <c r="O9" s="544" t="str">
        <f>IF(TITLE_DATE_CHANGE_PERIOD="",IF(TITLE_DATE_PR="","",TITLE_DATE_PR),TITLE_DATE_CHANGE_PERIOD)</f>
        <v/>
      </c>
      <c r="P9" s="544"/>
      <c r="Q9" s="544"/>
      <c r="R9" s="544"/>
      <c r="S9" s="544"/>
      <c r="T9" s="544"/>
      <c r="U9" s="544"/>
      <c r="V9" s="50"/>
      <c r="W9" s="50"/>
      <c r="X9" s="545"/>
      <c r="Y9" s="129"/>
      <c r="Z9" s="129"/>
      <c r="AA9" s="129"/>
      <c r="AB9" s="129"/>
      <c r="AC9" s="129"/>
      <c r="AD9" s="184">
        <v>23</v>
      </c>
    </row>
    <row r="10" s="184" customFormat="1" ht="24" customHeight="1">
      <c r="A10" s="151"/>
      <c r="B10" s="151"/>
      <c r="C10" s="151"/>
      <c r="D10" s="151"/>
      <c r="E10" s="151"/>
      <c r="F10" s="151"/>
      <c r="G10" s="151"/>
      <c r="H10" s="151"/>
      <c r="L10" s="86"/>
      <c r="M10" s="542" t="s">
        <v>419</v>
      </c>
      <c r="N10" s="1090"/>
      <c r="O10" s="544" t="str">
        <f>IF(TITLE_NUMBER_PR_CHANGE="",IF(TITLE_NUMBER_PR="","",TITLE_NUMBER_PR),TITLE_NUMBER_PR_CHANGE)</f>
        <v/>
      </c>
      <c r="P10" s="544"/>
      <c r="Q10" s="544"/>
      <c r="R10" s="544"/>
      <c r="S10" s="544"/>
      <c r="T10" s="544"/>
      <c r="U10" s="544"/>
      <c r="V10" s="50"/>
      <c r="W10" s="50"/>
      <c r="X10" s="545"/>
      <c r="Y10" s="129"/>
      <c r="Z10" s="129"/>
      <c r="AA10" s="129"/>
      <c r="AB10" s="129"/>
      <c r="AC10" s="129"/>
      <c r="AD10" s="184">
        <v>23</v>
      </c>
    </row>
    <row r="11" s="184" customFormat="1" ht="24" customHeight="1">
      <c r="A11" s="151"/>
      <c r="B11" s="151"/>
      <c r="C11" s="151"/>
      <c r="D11" s="151"/>
      <c r="E11" s="151"/>
      <c r="F11" s="151"/>
      <c r="G11" s="151"/>
      <c r="H11" s="151"/>
      <c r="L11" s="86"/>
      <c r="M11" s="542" t="s">
        <v>42</v>
      </c>
      <c r="N11" s="1090"/>
      <c r="O11" s="544" t="str">
        <f>IF(TITLE_IST_PUB_CHANGE="",IF(TITLE_IST_PUB="","",TITLE_IST_PUB),TITLE_IST_PUB_CHANGE)</f>
        <v/>
      </c>
      <c r="P11" s="544"/>
      <c r="Q11" s="544"/>
      <c r="R11" s="544"/>
      <c r="S11" s="544"/>
      <c r="T11" s="544"/>
      <c r="U11" s="544"/>
      <c r="V11" s="50"/>
      <c r="W11" s="50"/>
      <c r="X11" s="545"/>
      <c r="Y11" s="129"/>
      <c r="Z11" s="129"/>
      <c r="AA11" s="129"/>
      <c r="AB11" s="129"/>
      <c r="AC11" s="129"/>
      <c r="AD11" s="184">
        <v>23</v>
      </c>
    </row>
    <row r="12" s="184" customFormat="1" ht="11.25" hidden="1" customHeight="1">
      <c r="A12" s="151"/>
      <c r="B12" s="151"/>
      <c r="C12" s="151"/>
      <c r="D12" s="151"/>
      <c r="E12" s="151"/>
      <c r="F12" s="151"/>
      <c r="G12" s="151"/>
      <c r="H12" s="151"/>
      <c r="L12" s="140"/>
      <c r="M12" s="140"/>
      <c r="N12" s="140"/>
      <c r="O12" s="50"/>
      <c r="P12" s="50"/>
      <c r="Q12" s="50"/>
      <c r="R12" s="50"/>
      <c r="S12" s="50"/>
      <c r="T12" s="50"/>
      <c r="U12" s="50"/>
      <c r="V12" s="57" t="s">
        <v>422</v>
      </c>
      <c r="Y12" s="129"/>
      <c r="Z12" s="129"/>
      <c r="AA12" s="129"/>
      <c r="AB12" s="129"/>
      <c r="AC12" s="129"/>
      <c r="AD12" s="184">
        <v>0</v>
      </c>
    </row>
    <row r="13" ht="14.65" customHeight="1">
      <c r="J13" s="539"/>
      <c r="K13" s="539"/>
      <c r="L13" s="540"/>
      <c r="M13" s="91"/>
      <c r="N13" s="547"/>
      <c r="O13" s="548"/>
      <c r="P13" s="548"/>
      <c r="Q13" s="548"/>
      <c r="R13" s="548"/>
      <c r="S13" s="548"/>
      <c r="T13" s="548"/>
      <c r="U13" s="548"/>
      <c r="V13" s="548"/>
      <c r="AD13" s="50">
        <v>14</v>
      </c>
    </row>
    <row r="14" ht="14.65" customHeight="1">
      <c r="J14" s="539"/>
      <c r="K14" s="539"/>
      <c r="L14" s="157" t="s">
        <v>295</v>
      </c>
      <c r="M14" s="157"/>
      <c r="N14" s="157"/>
      <c r="O14" s="157"/>
      <c r="P14" s="157"/>
      <c r="Q14" s="157"/>
      <c r="R14" s="157"/>
      <c r="S14" s="157"/>
      <c r="T14" s="157"/>
      <c r="U14" s="157"/>
      <c r="V14" s="157"/>
      <c r="W14" s="157"/>
      <c r="X14" s="157" t="s">
        <v>296</v>
      </c>
      <c r="AD14" s="50">
        <v>14</v>
      </c>
    </row>
    <row r="15" ht="14.65" customHeight="1">
      <c r="J15" s="539"/>
      <c r="K15" s="539"/>
      <c r="L15" s="484" t="s">
        <v>88</v>
      </c>
      <c r="M15" s="347" t="s">
        <v>423</v>
      </c>
      <c r="N15" s="549"/>
      <c r="O15" s="550" t="s">
        <v>2257</v>
      </c>
      <c r="P15" s="551"/>
      <c r="Q15" s="551"/>
      <c r="R15" s="551"/>
      <c r="S15" s="551"/>
      <c r="T15" s="551"/>
      <c r="U15" s="552"/>
      <c r="V15" s="553" t="s">
        <v>425</v>
      </c>
      <c r="W15" s="554" t="s">
        <v>1191</v>
      </c>
      <c r="X15" s="157"/>
      <c r="AD15" s="50">
        <v>14</v>
      </c>
    </row>
    <row r="16" ht="35.649999999999999" customHeight="1">
      <c r="J16" s="539"/>
      <c r="K16" s="539"/>
      <c r="L16" s="484"/>
      <c r="M16" s="347"/>
      <c r="N16" s="555"/>
      <c r="O16" s="307" t="s">
        <v>428</v>
      </c>
      <c r="P16" s="307" t="s">
        <v>429</v>
      </c>
      <c r="Q16" s="73" t="s">
        <v>430</v>
      </c>
      <c r="R16" s="72"/>
      <c r="S16" s="73" t="s">
        <v>444</v>
      </c>
      <c r="T16" s="145"/>
      <c r="U16" s="72"/>
      <c r="V16" s="557"/>
      <c r="W16" s="558"/>
      <c r="X16" s="157"/>
      <c r="AD16" s="50">
        <v>34</v>
      </c>
    </row>
    <row r="17" ht="35.649999999999999" customHeight="1">
      <c r="A17" s="151" t="s">
        <v>131</v>
      </c>
      <c r="B17" s="151" t="s">
        <v>132</v>
      </c>
      <c r="C17" s="151" t="s">
        <v>133</v>
      </c>
      <c r="D17" s="151" t="s">
        <v>134</v>
      </c>
      <c r="E17" s="151"/>
      <c r="J17" s="539"/>
      <c r="K17" s="539"/>
      <c r="L17" s="484"/>
      <c r="M17" s="347"/>
      <c r="N17" s="559"/>
      <c r="O17" s="162"/>
      <c r="P17" s="162"/>
      <c r="Q17" s="246" t="s">
        <v>439</v>
      </c>
      <c r="R17" s="246" t="s">
        <v>440</v>
      </c>
      <c r="S17" s="246" t="s">
        <v>441</v>
      </c>
      <c r="T17" s="415" t="s">
        <v>442</v>
      </c>
      <c r="U17" s="417"/>
      <c r="V17" s="561"/>
      <c r="W17" s="562"/>
      <c r="X17" s="157"/>
      <c r="AD17" s="50">
        <v>34</v>
      </c>
    </row>
    <row r="18" s="131" customFormat="1" ht="11.5" customHeight="1">
      <c r="A18" s="151"/>
      <c r="B18" s="151"/>
      <c r="C18" s="151"/>
      <c r="D18" s="151"/>
      <c r="E18" s="151"/>
      <c r="F18" s="61"/>
      <c r="G18" s="61"/>
      <c r="H18" s="61"/>
      <c r="I18" s="563"/>
      <c r="J18" s="564"/>
      <c r="K18" s="565">
        <v>1</v>
      </c>
      <c r="L18" s="566" t="s">
        <v>106</v>
      </c>
      <c r="M18" s="567" t="s">
        <v>107</v>
      </c>
      <c r="N18" s="568" t="str">
        <f ca="1">OFFSET(N18,0,-1)</f>
        <v>2</v>
      </c>
      <c r="O18" s="569">
        <f ca="1">OFFSET(O18,0,-1)+1</f>
        <v>3</v>
      </c>
      <c r="P18" s="569"/>
      <c r="Q18" s="569">
        <f ca="1">OFFSET(Q18,0,-1)+1</f>
        <v>1</v>
      </c>
      <c r="R18" s="569">
        <f ca="1">OFFSET(R18,0,-1)+1</f>
        <v>2</v>
      </c>
      <c r="S18" s="569">
        <f ca="1">OFFSET(S18,0,-1)+1</f>
        <v>3</v>
      </c>
      <c r="T18" s="569">
        <f ca="1">OFFSET(T18,0,-1)+1</f>
        <v>4</v>
      </c>
      <c r="U18" s="569"/>
      <c r="V18" s="569">
        <f ca="1">OFFSET(V18,0,-2)+1</f>
        <v>5</v>
      </c>
      <c r="W18" s="568">
        <f ca="1">OFFSET(W18,0,-1)</f>
        <v>5</v>
      </c>
      <c r="X18" s="569">
        <f ca="1">OFFSET(X18,0,-1)+1</f>
        <v>6</v>
      </c>
      <c r="Y18" s="57"/>
      <c r="Z18" s="57"/>
      <c r="AA18" s="57"/>
      <c r="AB18" s="57"/>
      <c r="AC18" s="57"/>
      <c r="AD18" s="131">
        <v>11</v>
      </c>
    </row>
    <row r="19" ht="21" customHeight="1">
      <c r="A19" s="479" t="s">
        <v>165</v>
      </c>
      <c r="B19" s="479" t="s">
        <v>166</v>
      </c>
      <c r="C19" s="479" t="s">
        <v>167</v>
      </c>
      <c r="D19" s="479" t="s">
        <v>168</v>
      </c>
      <c r="E19" s="479"/>
      <c r="F19" s="482"/>
      <c r="G19" s="482"/>
      <c r="H19" s="482"/>
      <c r="I19" s="60"/>
      <c r="J19" s="143"/>
      <c r="K19" s="483"/>
      <c r="L19" s="484">
        <f>INDEX(PT_DIFFERENTIATION_NUM_NTAR,MATCH(A19,PT_DIFFERENTIATION_NTAR_ID,0))</f>
        <v>0</v>
      </c>
      <c r="M19" s="485" t="s">
        <v>120</v>
      </c>
      <c r="N19" s="486"/>
      <c r="O19" s="1371" t="str">
        <f>INDEX(PT_DIFFERENTIATION_NTAR,MATCH(A19,PT_DIFFERENTIATION_NTAR_ID,0))</f>
        <v/>
      </c>
      <c r="P19" s="1371"/>
      <c r="Q19" s="1371"/>
      <c r="R19" s="1371"/>
      <c r="S19" s="1371"/>
      <c r="T19" s="1371"/>
      <c r="U19" s="1371"/>
      <c r="V19" s="1371"/>
      <c r="W19" s="1371"/>
      <c r="X19" s="490" t="s">
        <v>391</v>
      </c>
      <c r="Z19" s="129"/>
      <c r="AA19" s="129" t="str">
        <f t="shared" ref="AA19:AA32" si="85">IF(M19="","",M19)</f>
        <v xml:space="preserve">Наименование тарифа</v>
      </c>
      <c r="AB19" s="129"/>
      <c r="AC19" s="129"/>
      <c r="AD19" s="50">
        <v>20</v>
      </c>
    </row>
    <row r="20" ht="21" customHeight="1">
      <c r="A20" s="479" t="s">
        <v>165</v>
      </c>
      <c r="B20" s="479" t="s">
        <v>166</v>
      </c>
      <c r="C20" s="479" t="s">
        <v>167</v>
      </c>
      <c r="D20" s="479" t="s">
        <v>168</v>
      </c>
      <c r="E20" s="479"/>
      <c r="F20" s="482"/>
      <c r="G20" s="482"/>
      <c r="H20" s="482"/>
      <c r="I20" s="51"/>
      <c r="J20" s="492"/>
      <c r="K20" s="493"/>
      <c r="L20" s="484" t="str">
        <f>INDEX(PT_DIFFERENTIATION_NUM_TER,MATCH(B19,PT_DIFFERENTIATION_TER_ID,0))</f>
        <v>.</v>
      </c>
      <c r="M20" s="494" t="s">
        <v>392</v>
      </c>
      <c r="N20" s="486"/>
      <c r="O20" s="1371" t="str">
        <f>INDEX(PT_DIFFERENTIATION_TER,MATCH(B19,PT_DIFFERENTIATION_TER_ID,0))</f>
        <v/>
      </c>
      <c r="P20" s="1371"/>
      <c r="Q20" s="1371"/>
      <c r="R20" s="1371"/>
      <c r="S20" s="1371"/>
      <c r="T20" s="1371"/>
      <c r="U20" s="1371"/>
      <c r="V20" s="1371"/>
      <c r="W20" s="1371"/>
      <c r="X20" s="490" t="s">
        <v>393</v>
      </c>
      <c r="Z20" s="129"/>
      <c r="AA20" s="129" t="str">
        <f t="shared" si="85"/>
        <v xml:space="preserve">Территория действия тарифа</v>
      </c>
      <c r="AB20" s="129"/>
      <c r="AC20" s="129"/>
      <c r="AD20" s="50">
        <v>20</v>
      </c>
    </row>
    <row r="21" ht="24" customHeight="1">
      <c r="A21" s="479" t="s">
        <v>165</v>
      </c>
      <c r="B21" s="479" t="s">
        <v>166</v>
      </c>
      <c r="C21" s="479" t="s">
        <v>167</v>
      </c>
      <c r="D21" s="479" t="s">
        <v>168</v>
      </c>
      <c r="E21" s="479"/>
      <c r="F21" s="482"/>
      <c r="G21" s="482"/>
      <c r="H21" s="482"/>
      <c r="I21" s="495"/>
      <c r="J21" s="492"/>
      <c r="K21" s="493"/>
      <c r="L21" s="484" t="str">
        <f>INDEX(PT_DIFFERENTIATION_NUM_CS,MATCH(C19,PT_DIFFERENTIATION_CS_ID,0))</f>
        <v>..</v>
      </c>
      <c r="M21" s="496" t="s">
        <v>394</v>
      </c>
      <c r="N21" s="486"/>
      <c r="O21" s="1371" t="str">
        <f>INDEX(PT_DIFFERENTIATION_CS,MATCH(C19,PT_DIFFERENTIATION_CS_ID,0))</f>
        <v/>
      </c>
      <c r="P21" s="1371"/>
      <c r="Q21" s="1371"/>
      <c r="R21" s="1371"/>
      <c r="S21" s="1371"/>
      <c r="T21" s="1371"/>
      <c r="U21" s="1371"/>
      <c r="V21" s="1371"/>
      <c r="W21" s="1371"/>
      <c r="X21" s="490" t="s">
        <v>395</v>
      </c>
      <c r="Z21" s="129"/>
      <c r="AA21" s="129" t="str">
        <f t="shared" si="85"/>
        <v xml:space="preserve">Наименование системы теплоснабжения </v>
      </c>
      <c r="AB21" s="129"/>
      <c r="AC21" s="129"/>
      <c r="AD21" s="50">
        <v>23</v>
      </c>
    </row>
    <row r="22" ht="21" customHeight="1">
      <c r="A22" s="479" t="s">
        <v>165</v>
      </c>
      <c r="B22" s="479" t="s">
        <v>166</v>
      </c>
      <c r="C22" s="479" t="s">
        <v>167</v>
      </c>
      <c r="D22" s="479" t="s">
        <v>168</v>
      </c>
      <c r="E22" s="479"/>
      <c r="F22" s="482"/>
      <c r="G22" s="482"/>
      <c r="H22" s="482"/>
      <c r="I22" s="495"/>
      <c r="J22" s="492"/>
      <c r="K22" s="493"/>
      <c r="L22" s="484" t="str">
        <f>INDEX(PT_DIFFERENTIATION_NUM_IST_TE,MATCH(D19,PT_DIFFERENTIATION_IST_TE_ID,0))</f>
        <v>...</v>
      </c>
      <c r="M22" s="497" t="s">
        <v>396</v>
      </c>
      <c r="N22" s="486"/>
      <c r="O22" s="1371" t="str">
        <f>INDEX(PT_DIFFERENTIATION_IST_TE,MATCH(D19,PT_DIFFERENTIATION_IST_TE_ID,0))</f>
        <v/>
      </c>
      <c r="P22" s="1371"/>
      <c r="Q22" s="1371"/>
      <c r="R22" s="1371"/>
      <c r="S22" s="1371"/>
      <c r="T22" s="1371"/>
      <c r="U22" s="1371"/>
      <c r="V22" s="1371"/>
      <c r="W22" s="1371"/>
      <c r="X22" s="490" t="s">
        <v>397</v>
      </c>
      <c r="Z22" s="129"/>
      <c r="AA22" s="129" t="str">
        <f t="shared" si="85"/>
        <v xml:space="preserve">Источник тепловой энергии  </v>
      </c>
      <c r="AB22" s="129"/>
      <c r="AC22" s="129"/>
      <c r="AD22" s="50">
        <v>20</v>
      </c>
    </row>
    <row r="23" ht="96.75" customHeight="1">
      <c r="A23" s="479" t="s">
        <v>165</v>
      </c>
      <c r="B23" s="479" t="s">
        <v>166</v>
      </c>
      <c r="C23" s="479" t="s">
        <v>167</v>
      </c>
      <c r="D23" s="479" t="s">
        <v>168</v>
      </c>
      <c r="E23" s="479"/>
      <c r="F23" s="114" t="str">
        <f>L22&amp;".1"</f>
        <v>....1</v>
      </c>
      <c r="I23" s="132">
        <v>1</v>
      </c>
      <c r="J23" s="132"/>
      <c r="K23" s="499"/>
      <c r="L23" s="484" t="str">
        <f>$F$23</f>
        <v>....1</v>
      </c>
      <c r="M23" s="500" t="s">
        <v>399</v>
      </c>
      <c r="N23" s="486"/>
      <c r="O23" s="607"/>
      <c r="P23" s="607"/>
      <c r="Q23" s="607"/>
      <c r="R23" s="607"/>
      <c r="S23" s="607"/>
      <c r="T23" s="607"/>
      <c r="U23" s="607"/>
      <c r="V23" s="607"/>
      <c r="W23" s="607"/>
      <c r="X23" s="490" t="s">
        <v>400</v>
      </c>
      <c r="Z23" s="129"/>
      <c r="AA23" s="129" t="str">
        <f t="shared" si="85"/>
        <v xml:space="preserve">Схема подключения теплопотребляющей установки к коллектору источника тепловой энергии</v>
      </c>
      <c r="AB23" s="129"/>
      <c r="AC23" s="129"/>
      <c r="AD23" s="50">
        <v>92</v>
      </c>
    </row>
    <row r="24" ht="86.25" customHeight="1">
      <c r="A24" s="479" t="s">
        <v>165</v>
      </c>
      <c r="B24" s="479" t="s">
        <v>166</v>
      </c>
      <c r="C24" s="479" t="s">
        <v>167</v>
      </c>
      <c r="D24" s="479" t="s">
        <v>168</v>
      </c>
      <c r="E24" s="479"/>
      <c r="F24" s="114"/>
      <c r="G24" s="114" t="str">
        <f>F23&amp;".1"</f>
        <v>....1.1</v>
      </c>
      <c r="I24" s="132"/>
      <c r="J24" s="132">
        <v>1</v>
      </c>
      <c r="K24" s="504"/>
      <c r="L24" s="484" t="str">
        <f>$G$24</f>
        <v>....1.1</v>
      </c>
      <c r="M24" s="505" t="s">
        <v>402</v>
      </c>
      <c r="N24" s="486"/>
      <c r="O24" s="431"/>
      <c r="P24" s="501"/>
      <c r="Q24" s="501"/>
      <c r="R24" s="501"/>
      <c r="S24" s="501"/>
      <c r="T24" s="501"/>
      <c r="U24" s="501"/>
      <c r="V24" s="501"/>
      <c r="W24" s="502"/>
      <c r="X24" s="490" t="s">
        <v>403</v>
      </c>
      <c r="Z24" s="129"/>
      <c r="AA24" s="129" t="str">
        <f t="shared" si="85"/>
        <v xml:space="preserve">Группа потребителей</v>
      </c>
      <c r="AB24" s="129"/>
      <c r="AC24" s="129"/>
      <c r="AD24" s="50">
        <v>82</v>
      </c>
    </row>
    <row r="25" ht="11.5" customHeight="1">
      <c r="A25" s="479" t="s">
        <v>165</v>
      </c>
      <c r="B25" s="479" t="s">
        <v>166</v>
      </c>
      <c r="C25" s="479" t="s">
        <v>167</v>
      </c>
      <c r="D25" s="479" t="s">
        <v>168</v>
      </c>
      <c r="E25" s="479"/>
      <c r="F25" s="114"/>
      <c r="G25" s="114"/>
      <c r="H25" s="114" t="str">
        <f>G24&amp;".1"</f>
        <v>....1.1.1</v>
      </c>
      <c r="I25" s="132"/>
      <c r="J25" s="132"/>
      <c r="K25" s="504">
        <v>1</v>
      </c>
      <c r="L25" s="484" t="str">
        <f>$H$25</f>
        <v>....1.1.1</v>
      </c>
      <c r="M25" s="506"/>
      <c r="N25" s="486"/>
      <c r="O25" s="507"/>
      <c r="P25" s="508"/>
      <c r="Q25" s="507"/>
      <c r="R25" s="509"/>
      <c r="S25" s="510"/>
      <c r="T25" s="224" t="s">
        <v>65</v>
      </c>
      <c r="U25" s="510"/>
      <c r="V25" s="224" t="s">
        <v>19</v>
      </c>
      <c r="W25" s="508"/>
      <c r="X25" s="511" t="s">
        <v>405</v>
      </c>
      <c r="Y25" s="57" t="e">
        <f>STRCHECKDATE(O26:W26)</f>
        <v>#NAME?</v>
      </c>
      <c r="Z25" s="129"/>
      <c r="AA25" s="129" t="str">
        <f t="shared" si="85"/>
        <v/>
      </c>
      <c r="AB25" s="129"/>
      <c r="AC25" s="129"/>
      <c r="AD25" s="50">
        <v>11</v>
      </c>
    </row>
    <row r="26" ht="11.5" customHeight="1">
      <c r="A26" s="479" t="s">
        <v>165</v>
      </c>
      <c r="B26" s="479" t="s">
        <v>166</v>
      </c>
      <c r="C26" s="479" t="s">
        <v>167</v>
      </c>
      <c r="D26" s="479" t="s">
        <v>168</v>
      </c>
      <c r="E26" s="479"/>
      <c r="F26" s="114"/>
      <c r="G26" s="114"/>
      <c r="H26" s="114"/>
      <c r="I26" s="132"/>
      <c r="J26" s="132"/>
      <c r="K26" s="504"/>
      <c r="L26" s="458"/>
      <c r="M26" s="486"/>
      <c r="N26" s="486"/>
      <c r="O26" s="508"/>
      <c r="P26" s="508"/>
      <c r="Q26" s="508"/>
      <c r="R26" s="512" t="str">
        <f>S25&amp;"-"&amp;U25</f>
        <v>-</v>
      </c>
      <c r="S26" s="513"/>
      <c r="T26" s="224"/>
      <c r="U26" s="513"/>
      <c r="V26" s="224"/>
      <c r="W26" s="508"/>
      <c r="X26" s="514"/>
      <c r="Z26" s="129"/>
      <c r="AA26" s="129" t="str">
        <f t="shared" si="85"/>
        <v/>
      </c>
      <c r="AB26" s="129"/>
      <c r="AC26" s="129"/>
      <c r="AD26" s="50">
        <v>11</v>
      </c>
    </row>
    <row r="27" ht="15.75" customHeight="1">
      <c r="A27" s="479" t="s">
        <v>165</v>
      </c>
      <c r="B27" s="479" t="s">
        <v>166</v>
      </c>
      <c r="C27" s="479" t="s">
        <v>167</v>
      </c>
      <c r="D27" s="479" t="s">
        <v>168</v>
      </c>
      <c r="E27" s="479"/>
      <c r="F27" s="114"/>
      <c r="G27" s="114"/>
      <c r="I27" s="132"/>
      <c r="J27" s="132"/>
      <c r="K27" s="499"/>
      <c r="L27" s="515"/>
      <c r="M27" s="516" t="s">
        <v>406</v>
      </c>
      <c r="N27" s="214"/>
      <c r="O27" s="214"/>
      <c r="P27" s="214"/>
      <c r="Q27" s="214"/>
      <c r="R27" s="214"/>
      <c r="S27" s="214"/>
      <c r="T27" s="214"/>
      <c r="U27" s="214"/>
      <c r="V27" s="214"/>
      <c r="W27" s="517"/>
      <c r="X27" s="518"/>
      <c r="Z27" s="129"/>
      <c r="AA27" s="129" t="str">
        <f t="shared" si="85"/>
        <v xml:space="preserve">Добавить вид теплоносителя (параметры теплоносителя)</v>
      </c>
      <c r="AB27" s="129"/>
      <c r="AC27" s="129"/>
      <c r="AD27" s="50">
        <v>15</v>
      </c>
    </row>
    <row r="28" ht="15.75" customHeight="1">
      <c r="A28" s="479" t="s">
        <v>165</v>
      </c>
      <c r="B28" s="479" t="s">
        <v>166</v>
      </c>
      <c r="C28" s="479" t="s">
        <v>167</v>
      </c>
      <c r="D28" s="479" t="s">
        <v>168</v>
      </c>
      <c r="E28" s="479"/>
      <c r="F28" s="114"/>
      <c r="I28" s="132"/>
      <c r="J28" s="132"/>
      <c r="K28" s="499"/>
      <c r="L28" s="515"/>
      <c r="M28" s="519" t="s">
        <v>407</v>
      </c>
      <c r="N28" s="214"/>
      <c r="O28" s="214"/>
      <c r="P28" s="214"/>
      <c r="Q28" s="214"/>
      <c r="R28" s="214"/>
      <c r="S28" s="214"/>
      <c r="T28" s="214"/>
      <c r="U28" s="214"/>
      <c r="V28" s="520"/>
      <c r="W28" s="214"/>
      <c r="X28" s="521"/>
      <c r="Z28" s="129"/>
      <c r="AA28" s="129" t="str">
        <f t="shared" si="85"/>
        <v xml:space="preserve">Добавить группу потребителей</v>
      </c>
      <c r="AB28" s="129"/>
      <c r="AC28" s="129"/>
      <c r="AD28" s="50">
        <v>15</v>
      </c>
    </row>
    <row r="29" ht="14.65" customHeight="1">
      <c r="A29" s="479" t="s">
        <v>165</v>
      </c>
      <c r="B29" s="479" t="s">
        <v>166</v>
      </c>
      <c r="C29" s="479" t="s">
        <v>167</v>
      </c>
      <c r="D29" s="479" t="s">
        <v>168</v>
      </c>
      <c r="E29" s="479"/>
      <c r="F29" s="482"/>
      <c r="G29" s="482"/>
      <c r="H29" s="53"/>
      <c r="I29" s="143"/>
      <c r="J29" s="522"/>
      <c r="K29" s="483"/>
      <c r="L29" s="515"/>
      <c r="M29" s="523" t="s">
        <v>408</v>
      </c>
      <c r="N29" s="214"/>
      <c r="O29" s="214"/>
      <c r="P29" s="214"/>
      <c r="Q29" s="214"/>
      <c r="R29" s="214"/>
      <c r="S29" s="214"/>
      <c r="T29" s="214"/>
      <c r="U29" s="214"/>
      <c r="V29" s="520"/>
      <c r="W29" s="214"/>
      <c r="X29" s="521"/>
      <c r="Z29" s="129"/>
      <c r="AA29" s="129" t="str">
        <f t="shared" si="85"/>
        <v xml:space="preserve">Добавить схему подключения</v>
      </c>
      <c r="AB29" s="129"/>
      <c r="AC29" s="129"/>
      <c r="AD29" s="50">
        <v>14</v>
      </c>
    </row>
    <row r="30" ht="14.65" customHeight="1">
      <c r="A30" s="479" t="s">
        <v>165</v>
      </c>
      <c r="B30" s="479" t="s">
        <v>166</v>
      </c>
      <c r="C30" s="479" t="s">
        <v>167</v>
      </c>
      <c r="D30" s="479"/>
      <c r="E30" s="479" t="s">
        <v>581</v>
      </c>
      <c r="F30" s="482"/>
      <c r="G30" s="482"/>
      <c r="H30" s="53"/>
      <c r="I30" s="143"/>
      <c r="J30" s="522"/>
      <c r="K30" s="483"/>
      <c r="L30" s="1372"/>
      <c r="M30" s="1373"/>
      <c r="N30" s="1374"/>
      <c r="O30" s="1374"/>
      <c r="P30" s="1374"/>
      <c r="Q30" s="1374"/>
      <c r="R30" s="1374"/>
      <c r="S30" s="1374"/>
      <c r="T30" s="1374"/>
      <c r="U30" s="1374"/>
      <c r="V30" s="1375"/>
      <c r="W30" s="1374"/>
      <c r="X30" s="1376"/>
      <c r="Z30" s="129"/>
      <c r="AA30" s="129" t="str">
        <f t="shared" si="85"/>
        <v/>
      </c>
      <c r="AB30" s="129"/>
      <c r="AC30" s="129"/>
      <c r="AD30" s="50">
        <v>14</v>
      </c>
    </row>
    <row r="31" ht="14.65" customHeight="1">
      <c r="A31" s="479" t="s">
        <v>165</v>
      </c>
      <c r="B31" s="479" t="s">
        <v>166</v>
      </c>
      <c r="C31" s="479"/>
      <c r="D31" s="479"/>
      <c r="E31" s="479" t="s">
        <v>2258</v>
      </c>
      <c r="F31" s="656"/>
      <c r="G31" s="656"/>
      <c r="H31" s="53"/>
      <c r="I31" s="294"/>
      <c r="J31" s="522"/>
      <c r="K31" s="1276"/>
      <c r="L31" s="1372"/>
      <c r="M31" s="1377"/>
      <c r="N31" s="1374"/>
      <c r="O31" s="1374"/>
      <c r="P31" s="1374"/>
      <c r="Q31" s="1374"/>
      <c r="R31" s="1374"/>
      <c r="S31" s="1374"/>
      <c r="T31" s="1374"/>
      <c r="U31" s="1374"/>
      <c r="V31" s="1375"/>
      <c r="W31" s="1374"/>
      <c r="X31" s="1376"/>
      <c r="Z31" s="129"/>
      <c r="AA31" s="129" t="str">
        <f t="shared" si="85"/>
        <v/>
      </c>
      <c r="AB31" s="129"/>
      <c r="AC31" s="129"/>
      <c r="AD31" s="50">
        <v>14</v>
      </c>
    </row>
    <row r="32" ht="14.65" customHeight="1">
      <c r="A32" s="479" t="s">
        <v>2259</v>
      </c>
      <c r="B32" s="479"/>
      <c r="C32" s="479"/>
      <c r="D32" s="479"/>
      <c r="E32" s="479" t="s">
        <v>101</v>
      </c>
      <c r="F32" s="656"/>
      <c r="G32" s="656"/>
      <c r="H32" s="53"/>
      <c r="I32" s="143"/>
      <c r="J32" s="522"/>
      <c r="K32" s="483"/>
      <c r="L32" s="1372"/>
      <c r="M32" s="1378"/>
      <c r="N32" s="1374"/>
      <c r="O32" s="1374"/>
      <c r="P32" s="1374"/>
      <c r="Q32" s="1374"/>
      <c r="R32" s="1374"/>
      <c r="S32" s="1374"/>
      <c r="T32" s="1374"/>
      <c r="U32" s="1374"/>
      <c r="V32" s="1375"/>
      <c r="W32" s="1374"/>
      <c r="X32" s="1376"/>
      <c r="Z32" s="129"/>
      <c r="AA32" s="129" t="str">
        <f t="shared" si="85"/>
        <v/>
      </c>
      <c r="AB32" s="129"/>
      <c r="AC32" s="129"/>
      <c r="AD32" s="50">
        <v>14</v>
      </c>
    </row>
    <row r="33" s="63" customFormat="1" ht="11.5" customHeight="1">
      <c r="A33" s="479"/>
      <c r="B33" s="479"/>
      <c r="C33" s="479"/>
      <c r="D33" s="479"/>
      <c r="E33" s="479" t="s">
        <v>443</v>
      </c>
      <c r="F33" s="656"/>
      <c r="G33" s="1379"/>
      <c r="H33" s="53"/>
      <c r="L33" s="1380"/>
      <c r="M33" s="1381"/>
      <c r="N33" s="1374"/>
      <c r="O33" s="1374"/>
      <c r="P33" s="1374"/>
      <c r="Q33" s="1374"/>
      <c r="R33" s="1374"/>
      <c r="S33" s="1374"/>
      <c r="T33" s="1374"/>
      <c r="U33" s="1374"/>
      <c r="V33" s="1375"/>
      <c r="W33" s="1374"/>
      <c r="X33" s="1376"/>
      <c r="Y33" s="167"/>
      <c r="Z33" s="167"/>
      <c r="AA33" s="167"/>
      <c r="AB33" s="167"/>
      <c r="AC33" s="167"/>
      <c r="AD33" s="63">
        <v>11</v>
      </c>
    </row>
    <row r="34" ht="11.5" customHeight="1">
      <c r="F34" s="53"/>
      <c r="G34" s="53"/>
      <c r="H34" s="53"/>
      <c r="I34" s="50"/>
      <c r="J34" s="50"/>
      <c r="K34" s="50"/>
      <c r="Y34" s="50"/>
      <c r="Z34" s="50"/>
      <c r="AA34" s="50"/>
      <c r="AB34" s="50"/>
      <c r="AC34" s="50"/>
      <c r="AD34" s="50">
        <v>11</v>
      </c>
    </row>
    <row r="35" ht="28.5" customHeight="1">
      <c r="H35" s="53"/>
      <c r="L35" s="574" t="s">
        <v>799</v>
      </c>
      <c r="M35" s="574" t="s">
        <v>2260</v>
      </c>
      <c r="N35" s="574"/>
      <c r="O35" s="574"/>
      <c r="P35" s="574"/>
      <c r="Q35" s="574"/>
      <c r="R35" s="574"/>
      <c r="S35" s="574"/>
      <c r="T35" s="574"/>
      <c r="U35" s="574"/>
      <c r="V35" s="574"/>
      <c r="W35" s="574"/>
      <c r="X35" s="574"/>
      <c r="AD35" s="50">
        <v>27</v>
      </c>
    </row>
    <row r="36" ht="109.2" customHeight="1">
      <c r="H36" s="53"/>
      <c r="I36" s="60"/>
      <c r="M36" s="574" t="s">
        <v>2261</v>
      </c>
      <c r="N36" s="574"/>
      <c r="O36" s="574"/>
      <c r="P36" s="574"/>
      <c r="Q36" s="574"/>
      <c r="R36" s="574"/>
      <c r="S36" s="574"/>
      <c r="T36" s="574"/>
      <c r="U36" s="574"/>
      <c r="V36" s="574"/>
      <c r="W36" s="574"/>
      <c r="X36" s="574"/>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78">
        <v>3</v>
      </c>
      <c r="K41" s="478">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1" deleteRows="1" formatCells="1" formatColumns="0" formatRows="0" insertColumns="1" insertHyperlinks="1" insertRows="1" objects="0" pivotTables="1" scenarios="0" selectLockedCells="0" selectUnlockedCells="0" sheet="1" sort="1"/>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90076-00F2-4679-966A-001300540088}"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700080-0002-41BD-8F1E-0037001F00A5}"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C50027-005C-45F9-B9E0-005B00C100C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FF00F0-00E5-4F77-98A0-001100F60031}"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33" width="15.00390625"/>
    <col customWidth="1" hidden="1" min="2" max="2" style="334" width="15.00390625"/>
    <col customWidth="1" min="3" max="3" style="335" width="3.00390625"/>
    <col customWidth="1" min="4" max="4" style="336" width="6.00390625"/>
    <col customWidth="1" min="5" max="5" style="335" width="52.00390625"/>
    <col customWidth="1" min="6" max="6" style="335" width="48.00390625"/>
    <col customWidth="1" min="7" max="7" style="335" width="121.00390625"/>
    <col customWidth="1" min="8" max="8" style="335" width="8.00390625"/>
    <col customWidth="1" min="9" max="9" style="335" width="64.00390625"/>
    <col hidden="1" min="10" max="10" style="335" width="9.140625"/>
  </cols>
  <sheetData>
    <row r="1" ht="11.25" hidden="1" customHeight="1">
      <c r="A1" s="333" t="s">
        <v>294</v>
      </c>
      <c r="J1" s="335" t="s">
        <v>14</v>
      </c>
    </row>
    <row r="2" ht="11.25" hidden="1" customHeight="1">
      <c r="J2" s="335">
        <v>0</v>
      </c>
    </row>
    <row r="3" s="337" customFormat="1" ht="11.5" customHeight="1">
      <c r="A3" s="333"/>
      <c r="B3" s="334"/>
      <c r="D3" s="338"/>
      <c r="J3" s="337">
        <v>11</v>
      </c>
    </row>
    <row r="4" ht="27.300000000000001" customHeight="1">
      <c r="D4" s="236"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7"/>
      <c r="F4" s="238"/>
      <c r="I4" s="339"/>
      <c r="J4" s="335">
        <v>26</v>
      </c>
    </row>
    <row r="5" ht="18" customHeight="1">
      <c r="D5" s="303" t="str">
        <f>IF(org=0,"Не определено",org)</f>
        <v xml:space="preserve">АО "ДГК" СП "Биробиджанская ТЭЦ"</v>
      </c>
      <c r="E5" s="303"/>
      <c r="F5" s="303"/>
      <c r="I5" s="339"/>
      <c r="J5" s="335">
        <v>17</v>
      </c>
    </row>
    <row r="6" s="337" customFormat="1" ht="11.5" customHeight="1">
      <c r="A6" s="333"/>
      <c r="B6" s="334"/>
      <c r="D6" s="340"/>
      <c r="E6" s="340"/>
      <c r="F6" s="341"/>
      <c r="G6" s="340"/>
      <c r="J6" s="337">
        <v>11</v>
      </c>
    </row>
    <row r="7" ht="11.25" hidden="1" customHeight="1">
      <c r="A7" s="91"/>
      <c r="B7" s="342"/>
      <c r="C7" s="91"/>
      <c r="D7" s="83"/>
      <c r="E7" s="343"/>
      <c r="F7" s="343"/>
      <c r="J7" s="335">
        <v>0</v>
      </c>
    </row>
    <row r="8" ht="11.5" customHeight="1">
      <c r="A8" s="91"/>
      <c r="B8" s="342"/>
      <c r="C8" s="91"/>
      <c r="D8" s="344" t="s">
        <v>295</v>
      </c>
      <c r="E8" s="345"/>
      <c r="F8" s="345"/>
      <c r="G8" s="346" t="s">
        <v>296</v>
      </c>
      <c r="J8" s="335">
        <v>11</v>
      </c>
    </row>
    <row r="9" ht="11.5" customHeight="1">
      <c r="A9" s="91"/>
      <c r="B9" s="342"/>
      <c r="C9" s="91"/>
      <c r="D9" s="345" t="s">
        <v>88</v>
      </c>
      <c r="E9" s="346" t="s">
        <v>297</v>
      </c>
      <c r="F9" s="346" t="s">
        <v>298</v>
      </c>
      <c r="G9" s="347"/>
      <c r="J9" s="335">
        <v>11</v>
      </c>
    </row>
    <row r="10" ht="12" hidden="1" customHeight="1">
      <c r="A10" s="91"/>
      <c r="B10" s="342"/>
      <c r="C10" s="91"/>
      <c r="D10" s="348"/>
      <c r="E10" s="348"/>
      <c r="F10" s="348"/>
      <c r="G10" s="348"/>
      <c r="J10" s="335">
        <v>0</v>
      </c>
    </row>
    <row r="11" ht="22.5" hidden="1" customHeight="1">
      <c r="A11" s="91"/>
      <c r="B11" s="342"/>
      <c r="C11" s="91"/>
      <c r="D11" s="349" t="s">
        <v>106</v>
      </c>
      <c r="E11" s="350" t="s">
        <v>299</v>
      </c>
      <c r="F11" s="351" t="str">
        <f>IF(region_name="","",region_name)</f>
        <v xml:space="preserve">Еврейская автономная область</v>
      </c>
      <c r="G11" s="350" t="s">
        <v>300</v>
      </c>
      <c r="H11" s="352"/>
      <c r="J11" s="335">
        <v>0</v>
      </c>
    </row>
    <row r="12" ht="22.5" hidden="1" customHeight="1">
      <c r="A12" s="91"/>
      <c r="B12" s="342"/>
      <c r="C12" s="91"/>
      <c r="D12" s="353" t="s">
        <v>106</v>
      </c>
      <c r="E12" s="3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46" t="s">
        <v>301</v>
      </c>
      <c r="G12" s="355"/>
      <c r="H12" s="352"/>
      <c r="J12" s="335">
        <v>0</v>
      </c>
    </row>
    <row r="13" ht="23.25" customHeight="1">
      <c r="A13" s="91"/>
      <c r="B13" s="342"/>
      <c r="C13" s="91"/>
      <c r="D13" s="353" t="s">
        <v>106</v>
      </c>
      <c r="E13" s="356" t="str">
        <f>"Наименование юридического лица"&amp;IF(TEMPLATE_SPHERE="TKO"," (индивидуального предпринимателя)","")</f>
        <v xml:space="preserve">Наименование юридического лица</v>
      </c>
      <c r="F13" s="357"/>
      <c r="G13" s="3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52"/>
      <c r="J13" s="335">
        <v>22</v>
      </c>
    </row>
    <row r="14" ht="22.5" hidden="1" customHeight="1">
      <c r="A14" s="91"/>
      <c r="B14" s="342"/>
      <c r="C14" s="91"/>
      <c r="D14" s="349" t="s">
        <v>302</v>
      </c>
      <c r="E14" s="358" t="s">
        <v>303</v>
      </c>
      <c r="F14" s="351" t="str">
        <f>IF(inn="","",inn)</f>
        <v>1434031363</v>
      </c>
      <c r="G14" s="350" t="s">
        <v>304</v>
      </c>
      <c r="H14" s="352"/>
      <c r="J14" s="335">
        <v>0</v>
      </c>
    </row>
    <row r="15" ht="22.5" hidden="1" customHeight="1">
      <c r="A15" s="91"/>
      <c r="B15" s="342"/>
      <c r="C15" s="91"/>
      <c r="D15" s="349" t="s">
        <v>305</v>
      </c>
      <c r="E15" s="358" t="s">
        <v>306</v>
      </c>
      <c r="F15" s="351" t="str">
        <f>IF(kpp="","",kpp)</f>
        <v>790145002</v>
      </c>
      <c r="G15" s="350" t="s">
        <v>307</v>
      </c>
      <c r="H15" s="352"/>
      <c r="J15" s="335">
        <v>0</v>
      </c>
    </row>
    <row r="16" ht="39" customHeight="1">
      <c r="A16" s="91"/>
      <c r="B16" s="342"/>
      <c r="C16" s="91"/>
      <c r="D16" s="353" t="s">
        <v>107</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57"/>
      <c r="G16" s="354"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52"/>
      <c r="J16" s="335">
        <v>37</v>
      </c>
    </row>
    <row r="17" ht="23.25" customHeight="1">
      <c r="A17" s="91"/>
      <c r="B17" s="342"/>
      <c r="C17" s="91"/>
      <c r="D17" s="353" t="s">
        <v>90</v>
      </c>
      <c r="E17" s="356" t="str">
        <f>"Дата присвоения ОГРН"&amp;IF(TEMPLATE_SPHERE="TKO",""," (ОГРНИП)")</f>
        <v xml:space="preserve">Дата присвоения ОГРН (ОГРНИП)</v>
      </c>
      <c r="F17" s="89" t="s">
        <v>22</v>
      </c>
      <c r="G17" s="354" t="str">
        <f>"Дата присвоения ОГРН"&amp;IF(TEMPLATE_SPHERE="TKO",""," (ОГРНИП)")&amp;" указывается в виде «ДД.ММ.ГГГГ»."</f>
        <v xml:space="preserve">Дата присвоения ОГРН (ОГРНИП) указывается в виде «ДД.ММ.ГГГГ».</v>
      </c>
      <c r="H17" s="352"/>
      <c r="J17" s="335">
        <v>22</v>
      </c>
    </row>
    <row r="18" ht="71.25" customHeight="1">
      <c r="A18" s="91"/>
      <c r="B18" s="342"/>
      <c r="C18" s="91"/>
      <c r="D18" s="353" t="s">
        <v>91</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7"/>
      <c r="G18" s="355"/>
      <c r="H18" s="352"/>
      <c r="J18" s="335">
        <v>68</v>
      </c>
    </row>
    <row r="19" ht="22.5" hidden="1" customHeight="1">
      <c r="A19" s="359" t="s">
        <v>308</v>
      </c>
      <c r="B19" s="342"/>
      <c r="C19" s="360"/>
      <c r="D19" s="353" t="str">
        <f>A19</f>
        <v>5.1</v>
      </c>
      <c r="E19" s="356" t="s">
        <v>309</v>
      </c>
      <c r="F19" s="246" t="s">
        <v>301</v>
      </c>
      <c r="G19" s="354" t="s">
        <v>310</v>
      </c>
      <c r="H19" s="352"/>
      <c r="I19" s="361"/>
      <c r="J19" s="335">
        <v>0</v>
      </c>
    </row>
    <row r="20" ht="24" hidden="1" customHeight="1">
      <c r="A20" s="359"/>
      <c r="B20" s="342"/>
      <c r="C20" s="360"/>
      <c r="D20" s="362" t="str">
        <f>D19&amp;".1"</f>
        <v>5.1.1</v>
      </c>
      <c r="E20" s="363" t="s">
        <v>311</v>
      </c>
      <c r="F20" s="364" t="s">
        <v>22</v>
      </c>
      <c r="G20" s="355"/>
      <c r="H20" s="352"/>
      <c r="I20" s="361"/>
      <c r="J20" s="335">
        <v>0</v>
      </c>
    </row>
    <row r="21" ht="22.5" hidden="1" customHeight="1">
      <c r="A21" s="359"/>
      <c r="B21" s="342"/>
      <c r="C21" s="360"/>
      <c r="D21" s="362" t="str">
        <f>D19&amp;".2"</f>
        <v>5.1.2</v>
      </c>
      <c r="E21" s="363" t="s">
        <v>312</v>
      </c>
      <c r="F21" s="96" t="s">
        <v>22</v>
      </c>
      <c r="G21" s="354" t="s">
        <v>313</v>
      </c>
      <c r="H21" s="352"/>
      <c r="I21" s="361"/>
      <c r="J21" s="335">
        <v>0</v>
      </c>
    </row>
    <row r="22" ht="22.5" hidden="1" customHeight="1">
      <c r="A22" s="359"/>
      <c r="B22" s="342"/>
      <c r="C22" s="360"/>
      <c r="D22" s="362" t="str">
        <f>D19&amp;".3"</f>
        <v>5.1.3</v>
      </c>
      <c r="E22" s="363" t="s">
        <v>314</v>
      </c>
      <c r="F22" s="364" t="s">
        <v>22</v>
      </c>
      <c r="G22" s="355"/>
      <c r="H22" s="352"/>
      <c r="I22" s="361"/>
      <c r="J22" s="335">
        <v>0</v>
      </c>
    </row>
    <row r="23" ht="22.5" hidden="1" customHeight="1">
      <c r="A23" s="359"/>
      <c r="B23" s="342"/>
      <c r="C23" s="360"/>
      <c r="D23" s="362" t="str">
        <f>D19&amp;".4"</f>
        <v>5.1.4</v>
      </c>
      <c r="E23" s="363" t="s">
        <v>315</v>
      </c>
      <c r="F23" s="364" t="s">
        <v>22</v>
      </c>
      <c r="G23" s="354" t="s">
        <v>316</v>
      </c>
      <c r="H23" s="352"/>
      <c r="I23" s="361"/>
      <c r="J23" s="335">
        <v>0</v>
      </c>
    </row>
    <row r="24" ht="22.5" hidden="1" customHeight="1">
      <c r="A24" s="365"/>
      <c r="B24" s="342"/>
      <c r="C24" s="366"/>
      <c r="D24" s="367"/>
      <c r="E24" s="172" t="s">
        <v>317</v>
      </c>
      <c r="F24" s="368"/>
      <c r="G24" s="369"/>
      <c r="H24" s="352"/>
      <c r="I24" s="361"/>
      <c r="J24" s="335">
        <v>0</v>
      </c>
    </row>
    <row r="25" s="334" customFormat="1" ht="24.75" hidden="1" customHeight="1">
      <c r="A25" s="91"/>
      <c r="B25" s="342"/>
      <c r="C25" s="342"/>
      <c r="D25" s="370" t="s">
        <v>90</v>
      </c>
      <c r="E25" s="371" t="s">
        <v>318</v>
      </c>
      <c r="F25" s="158" t="s">
        <v>301</v>
      </c>
      <c r="G25" s="371"/>
      <c r="J25" s="334">
        <v>0</v>
      </c>
    </row>
    <row r="26" s="334" customFormat="1" ht="11.25" hidden="1" customHeight="1">
      <c r="A26" s="91"/>
      <c r="B26" s="342"/>
      <c r="C26" s="342"/>
      <c r="D26" s="370" t="s">
        <v>319</v>
      </c>
      <c r="E26" s="372" t="s">
        <v>320</v>
      </c>
      <c r="F26" s="158" t="s">
        <v>301</v>
      </c>
      <c r="G26" s="371"/>
      <c r="J26" s="334">
        <v>0</v>
      </c>
    </row>
    <row r="27" s="334" customFormat="1" ht="11.25" hidden="1" customHeight="1">
      <c r="A27" s="91"/>
      <c r="B27" s="342"/>
      <c r="C27" s="342"/>
      <c r="D27" s="370" t="s">
        <v>321</v>
      </c>
      <c r="E27" s="373" t="s">
        <v>322</v>
      </c>
      <c r="F27" s="374"/>
      <c r="G27" s="3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34">
        <v>0</v>
      </c>
    </row>
    <row r="28" s="334" customFormat="1" ht="11.25" hidden="1" customHeight="1">
      <c r="A28" s="91"/>
      <c r="B28" s="342"/>
      <c r="C28" s="342"/>
      <c r="D28" s="370" t="s">
        <v>323</v>
      </c>
      <c r="E28" s="373" t="s">
        <v>324</v>
      </c>
      <c r="F28" s="374"/>
      <c r="G28" s="3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34">
        <v>0</v>
      </c>
    </row>
    <row r="29" s="334" customFormat="1" ht="11.25" hidden="1" customHeight="1">
      <c r="A29" s="91"/>
      <c r="B29" s="342"/>
      <c r="C29" s="342"/>
      <c r="D29" s="370" t="s">
        <v>325</v>
      </c>
      <c r="E29" s="373" t="s">
        <v>326</v>
      </c>
      <c r="F29" s="374"/>
      <c r="G29" s="3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34">
        <v>0</v>
      </c>
    </row>
    <row r="30" s="334" customFormat="1" ht="11.25" hidden="1" customHeight="1">
      <c r="A30" s="91"/>
      <c r="B30" s="342"/>
      <c r="C30" s="342"/>
      <c r="D30" s="370" t="s">
        <v>327</v>
      </c>
      <c r="E30" s="372" t="s">
        <v>328</v>
      </c>
      <c r="F30" s="374"/>
      <c r="G30" s="371"/>
      <c r="J30" s="334">
        <v>0</v>
      </c>
    </row>
    <row r="31" s="334" customFormat="1" ht="11.25" hidden="1" customHeight="1">
      <c r="A31" s="91"/>
      <c r="B31" s="342"/>
      <c r="C31" s="342"/>
      <c r="D31" s="370" t="s">
        <v>329</v>
      </c>
      <c r="E31" s="372" t="s">
        <v>330</v>
      </c>
      <c r="F31" s="374"/>
      <c r="G31" s="371"/>
      <c r="J31" s="334">
        <v>0</v>
      </c>
    </row>
    <row r="32" s="334" customFormat="1" ht="11.25" hidden="1" customHeight="1">
      <c r="A32" s="91"/>
      <c r="B32" s="342"/>
      <c r="C32" s="342"/>
      <c r="D32" s="370" t="s">
        <v>331</v>
      </c>
      <c r="E32" s="372" t="s">
        <v>332</v>
      </c>
      <c r="F32" s="374"/>
      <c r="G32" s="371"/>
      <c r="J32" s="334">
        <v>0</v>
      </c>
    </row>
    <row r="33" ht="24" customHeight="1">
      <c r="A33" s="91" t="str">
        <f>IF(TEMPLATE_SPHERE="HEAT","6","5")</f>
        <v>6</v>
      </c>
      <c r="B33" s="342"/>
      <c r="C33" s="91"/>
      <c r="D33" s="362"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6" t="s">
        <v>301</v>
      </c>
      <c r="G33" s="355"/>
      <c r="H33" s="352"/>
      <c r="J33" s="335">
        <v>23</v>
      </c>
    </row>
    <row r="34" ht="23.25" customHeight="1">
      <c r="A34" s="91"/>
      <c r="B34" s="342"/>
      <c r="C34" s="91"/>
      <c r="D34" s="362" t="str">
        <f>D33&amp;".1"</f>
        <v>6.1</v>
      </c>
      <c r="E34" s="356" t="str">
        <f>"фамилия"&amp;IF(TEMPLATE_SPHERE&lt;&gt;"HEAT"," руководителя","")</f>
        <v>фамилия</v>
      </c>
      <c r="F34" s="357"/>
      <c r="G34" s="3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52"/>
      <c r="J34" s="335">
        <v>22</v>
      </c>
    </row>
    <row r="35" ht="23.25" customHeight="1">
      <c r="A35" s="91"/>
      <c r="B35" s="342"/>
      <c r="C35" s="91"/>
      <c r="D35" s="362" t="str">
        <f>D33&amp;".2"</f>
        <v>6.2</v>
      </c>
      <c r="E35" s="356" t="str">
        <f>"имя"&amp;IF(TEMPLATE_SPHERE&lt;&gt;"HEAT"," руководителя","")</f>
        <v>имя</v>
      </c>
      <c r="F35" s="357"/>
      <c r="G35" s="3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52"/>
      <c r="J35" s="335">
        <v>22</v>
      </c>
    </row>
    <row r="36" ht="24" customHeight="1">
      <c r="A36" s="91"/>
      <c r="B36" s="342"/>
      <c r="C36" s="91"/>
      <c r="D36" s="362" t="str">
        <f>D33&amp;".3"</f>
        <v>6.3</v>
      </c>
      <c r="E36" s="356" t="str">
        <f>"отчество"&amp;IF(TEMPLATE_SPHERE&lt;&gt;"HEAT"," руководителя","")</f>
        <v>отчество</v>
      </c>
      <c r="F36" s="376"/>
      <c r="G36" s="3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52"/>
      <c r="J36" s="335">
        <v>23</v>
      </c>
    </row>
    <row r="37" ht="35.649999999999999" customHeight="1">
      <c r="A37" s="91"/>
      <c r="B37" s="342"/>
      <c r="C37" s="91"/>
      <c r="D37" s="362">
        <f>D33+1</f>
        <v>7</v>
      </c>
      <c r="E37" s="375"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57"/>
      <c r="G37" s="354" t="s">
        <v>333</v>
      </c>
      <c r="H37" s="352"/>
      <c r="J37" s="335">
        <v>34</v>
      </c>
    </row>
    <row r="38" ht="35.649999999999999" customHeight="1">
      <c r="A38" s="91"/>
      <c r="B38" s="342"/>
      <c r="C38" s="91"/>
      <c r="D38" s="362">
        <f t="shared" ref="D38:D39" si="0">D37+1</f>
        <v>8</v>
      </c>
      <c r="E38" s="375"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57"/>
      <c r="G38" s="354" t="s">
        <v>333</v>
      </c>
      <c r="H38" s="352"/>
      <c r="J38" s="335">
        <v>34</v>
      </c>
    </row>
    <row r="39" ht="23.25" customHeight="1">
      <c r="A39" s="91"/>
      <c r="B39" s="342"/>
      <c r="C39" s="91"/>
      <c r="D39" s="362">
        <f t="shared" si="0"/>
        <v>9</v>
      </c>
      <c r="E39" s="377"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6" t="s">
        <v>301</v>
      </c>
      <c r="G39" s="3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52"/>
      <c r="J39" s="335">
        <v>22</v>
      </c>
    </row>
    <row r="40" ht="22.5" hidden="1" customHeight="1">
      <c r="A40" s="91"/>
      <c r="B40" s="342"/>
      <c r="C40" s="91"/>
      <c r="D40" s="362" t="str">
        <f>D39&amp;".0"</f>
        <v>9.0</v>
      </c>
      <c r="E40" s="379"/>
      <c r="F40" s="364"/>
      <c r="G40" s="380"/>
      <c r="H40" s="352"/>
      <c r="J40" s="335">
        <v>0</v>
      </c>
    </row>
    <row r="41" ht="23.25" customHeight="1">
      <c r="A41" s="91"/>
      <c r="B41" s="91"/>
      <c r="C41" s="381"/>
      <c r="D41" s="362" t="str">
        <f>D39&amp;".1"</f>
        <v>9.1</v>
      </c>
      <c r="E41" s="382"/>
      <c r="F41" s="383"/>
      <c r="G41" s="380"/>
      <c r="H41" s="352"/>
      <c r="J41" s="335">
        <v>22</v>
      </c>
    </row>
    <row r="42" ht="15.75" customHeight="1">
      <c r="A42" s="91"/>
      <c r="B42" s="342"/>
      <c r="C42" s="91"/>
      <c r="D42" s="367"/>
      <c r="E42" s="172" t="s">
        <v>334</v>
      </c>
      <c r="F42" s="369"/>
      <c r="G42" s="384"/>
      <c r="H42" s="385"/>
      <c r="J42" s="335">
        <v>15</v>
      </c>
    </row>
    <row r="43" ht="27.300000000000001" customHeight="1">
      <c r="A43" s="91"/>
      <c r="B43" s="342"/>
      <c r="C43" s="91"/>
      <c r="D43" s="362">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86"/>
      <c r="G43" s="3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52"/>
      <c r="J43" s="335">
        <v>26</v>
      </c>
    </row>
    <row r="44" ht="23.25" customHeight="1">
      <c r="A44" s="91"/>
      <c r="B44" s="342"/>
      <c r="C44" s="91"/>
      <c r="D44" s="362">
        <f t="shared" ref="D44:D45" si="1">D43+1</f>
        <v>11</v>
      </c>
      <c r="E44" s="375"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87"/>
      <c r="G44" s="355" t="s">
        <v>335</v>
      </c>
      <c r="H44" s="352"/>
      <c r="J44" s="335">
        <v>22</v>
      </c>
    </row>
    <row r="45" ht="23.25" customHeight="1">
      <c r="A45" s="91"/>
      <c r="B45" s="342"/>
      <c r="C45" s="91"/>
      <c r="D45" s="362">
        <f t="shared" si="1"/>
        <v>12</v>
      </c>
      <c r="E45" s="375" t="s">
        <v>336</v>
      </c>
      <c r="F45" s="246" t="s">
        <v>301</v>
      </c>
      <c r="G45" s="377" t="str">
        <f>IF(TEMPLATE_SPHERE="TKO","Указывается режим работы организации.","")</f>
        <v/>
      </c>
      <c r="H45" s="352"/>
      <c r="J45" s="335">
        <v>22</v>
      </c>
    </row>
    <row r="46" ht="24" customHeight="1">
      <c r="A46" s="91"/>
      <c r="B46" s="342"/>
      <c r="C46" s="91"/>
      <c r="D46" s="362" t="str">
        <f>D45&amp;".1"</f>
        <v>12.1</v>
      </c>
      <c r="E46" s="356" t="str">
        <f>"режим работы регулируемой организации"&amp;IF(TEMPLATE_SPHERE="HEAT",", ЕТО, ТО","")</f>
        <v xml:space="preserve">режим работы регулируемой организации, ЕТО, ТО</v>
      </c>
      <c r="F46" s="388"/>
      <c r="G46" s="377" t="s">
        <v>337</v>
      </c>
      <c r="H46" s="352"/>
      <c r="J46" s="335">
        <v>23</v>
      </c>
    </row>
    <row r="47" ht="24" customHeight="1">
      <c r="A47" s="359"/>
      <c r="B47" s="342"/>
      <c r="C47" s="366"/>
      <c r="D47" s="362" t="str">
        <f>D45&amp;".2"</f>
        <v>12.2</v>
      </c>
      <c r="E47" s="356" t="s">
        <v>338</v>
      </c>
      <c r="F47" s="388"/>
      <c r="G47" s="377" t="s">
        <v>339</v>
      </c>
      <c r="H47" s="352"/>
      <c r="J47" s="335">
        <v>23</v>
      </c>
    </row>
    <row r="48" ht="24" customHeight="1">
      <c r="A48" s="359"/>
      <c r="B48" s="342"/>
      <c r="C48" s="366"/>
      <c r="D48" s="362" t="str">
        <f>D45&amp;".3"</f>
        <v>12.3</v>
      </c>
      <c r="E48" s="356" t="s">
        <v>340</v>
      </c>
      <c r="F48" s="388"/>
      <c r="G48" s="377" t="s">
        <v>341</v>
      </c>
      <c r="H48" s="352"/>
      <c r="J48" s="335">
        <v>23</v>
      </c>
    </row>
    <row r="49" ht="24" customHeight="1">
      <c r="A49" s="359"/>
      <c r="B49" s="342"/>
      <c r="C49" s="366"/>
      <c r="D49" s="362" t="str">
        <f>IF(TEMPLATE_SPHERE="TKO",D45&amp;".0",D45&amp;".4")</f>
        <v>12.4</v>
      </c>
      <c r="E49" s="389" t="s">
        <v>342</v>
      </c>
      <c r="F49" s="390"/>
      <c r="G49" s="391" t="s">
        <v>343</v>
      </c>
      <c r="H49" s="352"/>
      <c r="J49" s="335">
        <v>23</v>
      </c>
    </row>
    <row r="50" ht="24" customHeight="1">
      <c r="A50" s="91"/>
      <c r="B50" s="342"/>
      <c r="C50" s="91"/>
      <c r="D50" s="367"/>
      <c r="E50" s="172" t="s">
        <v>344</v>
      </c>
      <c r="F50" s="368"/>
      <c r="G50" s="391" t="s">
        <v>345</v>
      </c>
      <c r="H50" s="385"/>
      <c r="J50" s="335">
        <v>23</v>
      </c>
    </row>
    <row r="51" ht="24" customHeight="1">
      <c r="A51" s="359"/>
      <c r="B51" s="342"/>
      <c r="C51" s="366"/>
      <c r="D51" s="362">
        <f>D45+1</f>
        <v>13</v>
      </c>
      <c r="E51" s="392" t="s">
        <v>346</v>
      </c>
      <c r="F51" s="388"/>
      <c r="G51" s="3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52"/>
      <c r="J51" s="335">
        <v>23</v>
      </c>
    </row>
    <row r="52" ht="11.5" customHeight="1">
      <c r="A52" s="91"/>
      <c r="B52" s="342"/>
      <c r="C52" s="91"/>
      <c r="J52" s="335">
        <v>11</v>
      </c>
    </row>
    <row r="53" s="394" customFormat="1" ht="31.5" customHeight="1">
      <c r="A53" s="395"/>
      <c r="B53" s="57"/>
      <c r="C53" s="396"/>
      <c r="D53" s="39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397"/>
      <c r="F53" s="397"/>
      <c r="G53" s="397"/>
      <c r="H53" s="180"/>
      <c r="I53" s="180"/>
      <c r="J53" s="394">
        <v>30</v>
      </c>
    </row>
    <row r="54" s="394" customFormat="1" ht="42" customHeight="1">
      <c r="A54" s="91"/>
      <c r="B54" s="342"/>
      <c r="C54" s="396"/>
      <c r="D54" s="397"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397"/>
      <c r="F54" s="397"/>
      <c r="G54" s="397"/>
      <c r="J54" s="394">
        <v>40</v>
      </c>
    </row>
    <row r="55" ht="11.5" customHeight="1">
      <c r="D55" s="398"/>
      <c r="E55" s="399"/>
      <c r="F55" s="399"/>
      <c r="G55" s="399"/>
      <c r="J55" s="335">
        <v>11</v>
      </c>
    </row>
    <row r="56" ht="28.5" customHeight="1">
      <c r="D56" s="400"/>
      <c r="E56" s="398"/>
      <c r="F56" s="401"/>
      <c r="G56" s="401"/>
      <c r="J56" s="335">
        <v>27</v>
      </c>
    </row>
    <row r="57" ht="11.5" customHeight="1">
      <c r="D57" s="398"/>
      <c r="E57" s="398"/>
      <c r="F57" s="399"/>
      <c r="G57" s="399"/>
      <c r="J57" s="335">
        <v>11</v>
      </c>
    </row>
    <row r="58" ht="40.899999999999999" customHeight="1">
      <c r="D58" s="402"/>
      <c r="E58" s="403"/>
      <c r="F58" s="403"/>
      <c r="G58" s="403"/>
      <c r="J58" s="335">
        <v>39</v>
      </c>
    </row>
    <row r="59" ht="28.5" customHeight="1">
      <c r="D59" s="402"/>
      <c r="E59" s="403"/>
      <c r="F59" s="403"/>
      <c r="G59" s="403"/>
      <c r="J59" s="335">
        <v>27</v>
      </c>
    </row>
    <row r="60" ht="11.25" hidden="1" customHeight="1">
      <c r="A60" s="333" t="s">
        <v>82</v>
      </c>
      <c r="B60" s="334">
        <v>0</v>
      </c>
      <c r="C60" s="335">
        <v>3</v>
      </c>
      <c r="D60" s="336">
        <v>6</v>
      </c>
      <c r="E60" s="335">
        <v>52</v>
      </c>
      <c r="F60" s="335">
        <v>48</v>
      </c>
      <c r="G60" s="335">
        <v>121</v>
      </c>
      <c r="H60" s="335">
        <v>8</v>
      </c>
      <c r="I60" s="335">
        <v>64</v>
      </c>
      <c r="J60" s="335">
        <v>11</v>
      </c>
    </row>
  </sheetData>
  <sheetProtection autoFilter="0" deleteColumns="1" deleteRows="1" formatCells="1" formatColumns="0" formatRows="0" insertColumns="1" insertHyperlinks="1" insertRows="1" objects="0" pivotTables="1" scenarios="0" selectLockedCells="0" selectUnlockedCells="0" sheet="1" sort="1"/>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200CD-00E8-4534-8114-00A100CB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B80077-0038-4A0C-9DC4-004000E7003B}"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3" width="10.57421875"/>
    <col customWidth="1" min="2" max="2" style="183" width="8.7109375"/>
    <col customWidth="1" min="3" max="3" style="183" width="18.140625"/>
    <col customWidth="1" min="4" max="4" style="183" width="12.57421875"/>
  </cols>
  <sheetData>
    <row r="1" ht="11.25" customHeight="1">
      <c r="A1" s="1382" t="s">
        <v>2262</v>
      </c>
      <c r="B1" s="1383" t="s">
        <v>2263</v>
      </c>
      <c r="C1" s="1384" t="s">
        <v>2264</v>
      </c>
      <c r="D1" s="1385"/>
      <c r="E1" s="274" t="s">
        <v>2265</v>
      </c>
    </row>
    <row r="2" ht="11.25" customHeight="1">
      <c r="A2" s="1386"/>
      <c r="B2" s="1387" t="s">
        <v>27</v>
      </c>
      <c r="C2" s="274"/>
      <c r="D2" s="1109"/>
      <c r="E2" s="274"/>
    </row>
    <row r="3" ht="11.25" customHeight="1">
      <c r="A3" s="1388"/>
      <c r="B3" s="1389" t="s">
        <v>33</v>
      </c>
      <c r="C3" s="274"/>
      <c r="D3" s="1109"/>
      <c r="E3" s="274"/>
    </row>
    <row r="4" ht="11.25" customHeight="1">
      <c r="A4" s="1390"/>
      <c r="B4" s="1391" t="s">
        <v>1698</v>
      </c>
      <c r="C4" s="274"/>
      <c r="D4" s="1109"/>
      <c r="E4" s="274"/>
    </row>
    <row r="5" ht="11.25" customHeight="1">
      <c r="A5" s="1392"/>
      <c r="B5" s="1391" t="s">
        <v>1692</v>
      </c>
      <c r="C5" s="1393" t="s">
        <v>2029</v>
      </c>
      <c r="D5" s="1394" t="s">
        <v>2266</v>
      </c>
      <c r="E5" s="274"/>
    </row>
    <row r="6" s="63" customFormat="1" ht="11.25" customHeight="1">
      <c r="A6" s="1395"/>
      <c r="B6" s="1391" t="s">
        <v>1702</v>
      </c>
      <c r="C6" s="274"/>
      <c r="D6" s="1109"/>
      <c r="E6" s="274"/>
    </row>
    <row r="7" ht="11.25" customHeight="1">
      <c r="A7" s="1396"/>
      <c r="B7" s="1391" t="s">
        <v>1710</v>
      </c>
      <c r="C7" s="274"/>
      <c r="D7" s="1109"/>
      <c r="E7" s="274"/>
    </row>
    <row r="8" ht="11.25" customHeight="1">
      <c r="A8" s="1397"/>
      <c r="B8" s="1391" t="s">
        <v>1705</v>
      </c>
      <c r="C8" s="274"/>
      <c r="D8" s="1109"/>
      <c r="E8" s="274"/>
    </row>
  </sheetData>
  <sheetProtection autoFilter="0" deleteColumns="1" deleteRows="1" formatCells="1" formatColumns="0" formatRows="0" insertColumns="1" insertHyperlinks="1" insertRows="1" objects="0" pivotTables="1" scenarios="0" selectLockedCells="0" selectUnlockedCells="0" sheet="1" sort="1"/>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2267</v>
      </c>
      <c r="B1" s="63" t="s">
        <v>2268</v>
      </c>
      <c r="C1" s="63" t="s">
        <v>2269</v>
      </c>
      <c r="D1" s="63" t="s">
        <v>2270</v>
      </c>
      <c r="E1" s="63" t="s">
        <v>2271</v>
      </c>
      <c r="F1" s="63" t="s">
        <v>2272</v>
      </c>
      <c r="G1" s="63" t="s">
        <v>2273</v>
      </c>
      <c r="H1" s="63" t="s">
        <v>2274</v>
      </c>
      <c r="I1" s="63" t="s">
        <v>2275</v>
      </c>
    </row>
    <row r="2" ht="11.25" customHeight="1">
      <c r="A2" s="63" t="s">
        <v>2276</v>
      </c>
      <c r="B2" s="63" t="s">
        <v>16</v>
      </c>
      <c r="C2" s="63" t="s">
        <v>2277</v>
      </c>
      <c r="D2" s="63" t="s">
        <v>2278</v>
      </c>
      <c r="E2" s="63" t="s">
        <v>2279</v>
      </c>
      <c r="F2" s="63" t="s">
        <v>2280</v>
      </c>
      <c r="G2" s="63" t="s">
        <v>2281</v>
      </c>
      <c r="H2" s="63" t="s">
        <v>22</v>
      </c>
      <c r="I2" s="63" t="s">
        <v>803</v>
      </c>
    </row>
    <row r="3" ht="11.25" customHeight="1">
      <c r="A3" s="63" t="s">
        <v>2276</v>
      </c>
      <c r="B3" s="63" t="s">
        <v>16</v>
      </c>
      <c r="C3" s="63" t="s">
        <v>13</v>
      </c>
      <c r="D3" s="63" t="s">
        <v>45</v>
      </c>
      <c r="E3" s="63" t="s">
        <v>48</v>
      </c>
      <c r="F3" s="63" t="s">
        <v>50</v>
      </c>
      <c r="G3" s="63" t="s">
        <v>22</v>
      </c>
      <c r="H3" s="63" t="s">
        <v>22</v>
      </c>
      <c r="I3" s="63" t="s">
        <v>803</v>
      </c>
    </row>
    <row r="4" ht="11.25" customHeight="1">
      <c r="A4" s="63" t="s">
        <v>2276</v>
      </c>
      <c r="B4" s="63" t="s">
        <v>16</v>
      </c>
      <c r="C4" s="63" t="s">
        <v>2282</v>
      </c>
      <c r="D4" s="63" t="s">
        <v>2283</v>
      </c>
      <c r="E4" s="63" t="s">
        <v>2284</v>
      </c>
      <c r="F4" s="63" t="s">
        <v>2285</v>
      </c>
      <c r="G4" s="63" t="s">
        <v>2286</v>
      </c>
      <c r="H4" s="63" t="s">
        <v>22</v>
      </c>
      <c r="I4" s="63" t="s">
        <v>803</v>
      </c>
    </row>
    <row r="5" ht="11.25" customHeight="1">
      <c r="A5" s="63" t="s">
        <v>2276</v>
      </c>
      <c r="B5" s="63" t="s">
        <v>16</v>
      </c>
      <c r="C5" s="63" t="s">
        <v>2287</v>
      </c>
      <c r="D5" s="63" t="s">
        <v>2288</v>
      </c>
      <c r="E5" s="63" t="s">
        <v>2289</v>
      </c>
      <c r="F5" s="63" t="s">
        <v>2290</v>
      </c>
      <c r="G5" s="63" t="s">
        <v>2291</v>
      </c>
      <c r="H5" s="63" t="s">
        <v>22</v>
      </c>
      <c r="I5" s="63" t="s">
        <v>803</v>
      </c>
    </row>
    <row r="6" ht="11.25" customHeight="1">
      <c r="A6" s="63" t="s">
        <v>2276</v>
      </c>
      <c r="B6" s="63" t="s">
        <v>16</v>
      </c>
      <c r="C6" s="63" t="s">
        <v>2292</v>
      </c>
      <c r="D6" s="63" t="s">
        <v>2293</v>
      </c>
      <c r="E6" s="63" t="s">
        <v>2294</v>
      </c>
      <c r="F6" s="63" t="s">
        <v>2295</v>
      </c>
      <c r="G6" s="63" t="s">
        <v>2296</v>
      </c>
      <c r="H6" s="63" t="s">
        <v>22</v>
      </c>
      <c r="I6" s="63" t="s">
        <v>803</v>
      </c>
    </row>
    <row r="7" ht="11.25" customHeight="1">
      <c r="A7" s="63" t="s">
        <v>2276</v>
      </c>
      <c r="B7" s="63" t="s">
        <v>16</v>
      </c>
      <c r="C7" s="63" t="s">
        <v>2297</v>
      </c>
      <c r="D7" s="63" t="s">
        <v>2298</v>
      </c>
      <c r="E7" s="63" t="s">
        <v>2299</v>
      </c>
      <c r="F7" s="63" t="s">
        <v>2295</v>
      </c>
      <c r="G7" s="63" t="s">
        <v>2300</v>
      </c>
      <c r="H7" s="63" t="s">
        <v>2301</v>
      </c>
      <c r="I7" s="63" t="s">
        <v>803</v>
      </c>
    </row>
    <row r="8" ht="11.25" customHeight="1">
      <c r="A8" s="63" t="s">
        <v>2276</v>
      </c>
      <c r="B8" s="63" t="s">
        <v>16</v>
      </c>
      <c r="C8" s="63" t="s">
        <v>2302</v>
      </c>
      <c r="D8" s="63" t="s">
        <v>2303</v>
      </c>
      <c r="E8" s="63" t="s">
        <v>2304</v>
      </c>
      <c r="F8" s="63" t="s">
        <v>2305</v>
      </c>
      <c r="G8" s="63" t="s">
        <v>2306</v>
      </c>
      <c r="H8" s="63" t="s">
        <v>22</v>
      </c>
      <c r="I8" s="63" t="s">
        <v>803</v>
      </c>
    </row>
    <row r="9" ht="11.25" customHeight="1">
      <c r="A9" s="63" t="s">
        <v>2276</v>
      </c>
      <c r="B9" s="63" t="s">
        <v>16</v>
      </c>
      <c r="C9" s="63" t="s">
        <v>22</v>
      </c>
      <c r="D9" s="63" t="s">
        <v>2307</v>
      </c>
      <c r="E9" s="63" t="s">
        <v>2308</v>
      </c>
      <c r="F9" s="63" t="s">
        <v>2295</v>
      </c>
      <c r="G9" s="63" t="s">
        <v>22</v>
      </c>
      <c r="H9" s="63" t="s">
        <v>22</v>
      </c>
      <c r="I9" s="63" t="s">
        <v>803</v>
      </c>
    </row>
    <row r="10" ht="11.25" customHeight="1">
      <c r="A10" s="63" t="s">
        <v>2276</v>
      </c>
      <c r="B10" s="63" t="s">
        <v>16</v>
      </c>
      <c r="C10" s="63" t="s">
        <v>2309</v>
      </c>
      <c r="D10" s="63" t="s">
        <v>2310</v>
      </c>
      <c r="E10" s="63" t="s">
        <v>2311</v>
      </c>
      <c r="F10" s="63" t="s">
        <v>2290</v>
      </c>
      <c r="G10" s="63" t="s">
        <v>2312</v>
      </c>
      <c r="H10" s="63" t="s">
        <v>22</v>
      </c>
      <c r="I10" s="63" t="s">
        <v>803</v>
      </c>
    </row>
    <row r="11" ht="11.25" customHeight="1">
      <c r="A11" s="63" t="s">
        <v>2276</v>
      </c>
      <c r="B11" s="63" t="s">
        <v>16</v>
      </c>
      <c r="C11" s="63" t="s">
        <v>2313</v>
      </c>
      <c r="D11" s="63" t="s">
        <v>2314</v>
      </c>
      <c r="E11" s="63" t="s">
        <v>2315</v>
      </c>
      <c r="F11" s="63" t="s">
        <v>2316</v>
      </c>
      <c r="G11" s="63" t="s">
        <v>2317</v>
      </c>
      <c r="H11" s="63" t="s">
        <v>22</v>
      </c>
      <c r="I11" s="63" t="s">
        <v>803</v>
      </c>
    </row>
    <row r="12" ht="11.25" customHeight="1">
      <c r="A12" s="63" t="s">
        <v>2276</v>
      </c>
      <c r="B12" s="63" t="s">
        <v>16</v>
      </c>
      <c r="C12" s="63" t="s">
        <v>2318</v>
      </c>
      <c r="D12" s="63" t="s">
        <v>2319</v>
      </c>
      <c r="E12" s="63" t="s">
        <v>2320</v>
      </c>
      <c r="F12" s="63" t="s">
        <v>2290</v>
      </c>
      <c r="G12" s="63" t="s">
        <v>2321</v>
      </c>
      <c r="H12" s="63" t="s">
        <v>22</v>
      </c>
      <c r="I12" s="63" t="s">
        <v>803</v>
      </c>
    </row>
    <row r="13" ht="11.25" customHeight="1">
      <c r="A13" s="63" t="s">
        <v>2276</v>
      </c>
      <c r="B13" s="63" t="s">
        <v>16</v>
      </c>
      <c r="C13" s="63" t="s">
        <v>2322</v>
      </c>
      <c r="D13" s="63" t="s">
        <v>2323</v>
      </c>
      <c r="E13" s="63" t="s">
        <v>2324</v>
      </c>
      <c r="F13" s="63" t="s">
        <v>2305</v>
      </c>
      <c r="G13" s="63" t="s">
        <v>2325</v>
      </c>
      <c r="H13" s="63" t="s">
        <v>22</v>
      </c>
      <c r="I13" s="63" t="s">
        <v>803</v>
      </c>
    </row>
    <row r="14" ht="11.25" customHeight="1">
      <c r="A14" s="63" t="s">
        <v>2276</v>
      </c>
      <c r="B14" s="63" t="s">
        <v>16</v>
      </c>
      <c r="C14" s="63" t="s">
        <v>2326</v>
      </c>
      <c r="D14" s="63" t="s">
        <v>2327</v>
      </c>
      <c r="E14" s="63" t="s">
        <v>2328</v>
      </c>
      <c r="F14" s="63" t="s">
        <v>2329</v>
      </c>
      <c r="G14" s="63" t="s">
        <v>2330</v>
      </c>
      <c r="H14" s="63" t="s">
        <v>22</v>
      </c>
      <c r="I14" s="63" t="s">
        <v>803</v>
      </c>
    </row>
    <row r="15" ht="11.25" customHeight="1">
      <c r="A15" s="63" t="s">
        <v>2276</v>
      </c>
      <c r="B15" s="63" t="s">
        <v>16</v>
      </c>
      <c r="C15" s="63" t="s">
        <v>2331</v>
      </c>
      <c r="D15" s="63" t="s">
        <v>2332</v>
      </c>
      <c r="E15" s="63" t="s">
        <v>2333</v>
      </c>
      <c r="F15" s="63" t="s">
        <v>2334</v>
      </c>
      <c r="G15" s="63" t="s">
        <v>22</v>
      </c>
      <c r="H15" s="63" t="s">
        <v>22</v>
      </c>
      <c r="I15" s="63" t="s">
        <v>803</v>
      </c>
    </row>
    <row r="16" ht="11.25" customHeight="1">
      <c r="A16" s="63" t="s">
        <v>2276</v>
      </c>
      <c r="B16" s="63" t="s">
        <v>16</v>
      </c>
      <c r="C16" s="63" t="s">
        <v>2335</v>
      </c>
      <c r="D16" s="63" t="s">
        <v>2336</v>
      </c>
      <c r="E16" s="63" t="s">
        <v>2333</v>
      </c>
      <c r="F16" s="63" t="s">
        <v>2337</v>
      </c>
      <c r="G16" s="63" t="s">
        <v>2338</v>
      </c>
      <c r="H16" s="63" t="s">
        <v>22</v>
      </c>
      <c r="I16" s="63" t="s">
        <v>803</v>
      </c>
    </row>
    <row r="17" ht="11.25" customHeight="1">
      <c r="A17" s="63" t="s">
        <v>2276</v>
      </c>
      <c r="B17" s="63" t="s">
        <v>16</v>
      </c>
      <c r="C17" s="63" t="s">
        <v>2339</v>
      </c>
      <c r="D17" s="63" t="s">
        <v>2340</v>
      </c>
      <c r="E17" s="63" t="s">
        <v>2341</v>
      </c>
      <c r="F17" s="63" t="s">
        <v>2305</v>
      </c>
      <c r="G17" s="63" t="s">
        <v>2342</v>
      </c>
      <c r="H17" s="63" t="s">
        <v>22</v>
      </c>
      <c r="I17" s="63" t="s">
        <v>803</v>
      </c>
    </row>
    <row r="18" ht="11.25" customHeight="1">
      <c r="A18" s="63" t="s">
        <v>2276</v>
      </c>
      <c r="B18" s="63" t="s">
        <v>16</v>
      </c>
      <c r="C18" s="63" t="s">
        <v>2343</v>
      </c>
      <c r="D18" s="63" t="s">
        <v>2344</v>
      </c>
      <c r="E18" s="63" t="s">
        <v>2345</v>
      </c>
      <c r="F18" s="63" t="s">
        <v>2346</v>
      </c>
      <c r="G18" s="63" t="s">
        <v>2347</v>
      </c>
      <c r="H18" s="63" t="s">
        <v>22</v>
      </c>
      <c r="I18" s="63" t="s">
        <v>803</v>
      </c>
    </row>
    <row r="19" ht="11.25" customHeight="1">
      <c r="A19" s="63" t="s">
        <v>2276</v>
      </c>
      <c r="B19" s="63" t="s">
        <v>16</v>
      </c>
      <c r="C19" s="63" t="s">
        <v>2348</v>
      </c>
      <c r="D19" s="63" t="s">
        <v>2349</v>
      </c>
      <c r="E19" s="63" t="s">
        <v>2350</v>
      </c>
      <c r="F19" s="63" t="s">
        <v>2290</v>
      </c>
      <c r="G19" s="63" t="s">
        <v>2351</v>
      </c>
      <c r="H19" s="63" t="s">
        <v>22</v>
      </c>
      <c r="I19" s="63" t="s">
        <v>803</v>
      </c>
    </row>
    <row r="20" ht="11.25" customHeight="1">
      <c r="A20" s="63" t="s">
        <v>2276</v>
      </c>
      <c r="B20" s="63" t="s">
        <v>16</v>
      </c>
      <c r="C20" s="63" t="s">
        <v>2352</v>
      </c>
      <c r="D20" s="63" t="s">
        <v>2353</v>
      </c>
      <c r="E20" s="63" t="s">
        <v>2354</v>
      </c>
      <c r="F20" s="63" t="s">
        <v>2355</v>
      </c>
      <c r="G20" s="63" t="s">
        <v>2356</v>
      </c>
      <c r="H20" s="63" t="s">
        <v>22</v>
      </c>
      <c r="I20" s="63" t="s">
        <v>803</v>
      </c>
    </row>
    <row r="21" ht="11.25" customHeight="1">
      <c r="A21" s="63" t="s">
        <v>2276</v>
      </c>
      <c r="B21" s="63" t="s">
        <v>16</v>
      </c>
      <c r="C21" s="63" t="s">
        <v>2357</v>
      </c>
      <c r="D21" s="63" t="s">
        <v>2358</v>
      </c>
      <c r="E21" s="63" t="s">
        <v>2359</v>
      </c>
      <c r="F21" s="63" t="s">
        <v>2295</v>
      </c>
      <c r="G21" s="63" t="s">
        <v>2360</v>
      </c>
      <c r="H21" s="63" t="s">
        <v>22</v>
      </c>
      <c r="I21" s="63" t="s">
        <v>803</v>
      </c>
    </row>
    <row r="22" ht="11.25" customHeight="1">
      <c r="A22" s="63" t="s">
        <v>2276</v>
      </c>
      <c r="B22" s="63" t="s">
        <v>16</v>
      </c>
      <c r="C22" s="63" t="s">
        <v>2361</v>
      </c>
      <c r="D22" s="63" t="s">
        <v>2362</v>
      </c>
      <c r="E22" s="63" t="s">
        <v>2363</v>
      </c>
      <c r="F22" s="63" t="s">
        <v>2290</v>
      </c>
      <c r="G22" s="63" t="s">
        <v>2364</v>
      </c>
      <c r="H22" s="63" t="s">
        <v>22</v>
      </c>
      <c r="I22" s="63" t="s">
        <v>803</v>
      </c>
    </row>
    <row r="23" ht="11.25" customHeight="1">
      <c r="A23" s="63" t="s">
        <v>2276</v>
      </c>
      <c r="B23" s="63" t="s">
        <v>16</v>
      </c>
      <c r="C23" s="63" t="s">
        <v>2365</v>
      </c>
      <c r="D23" s="63" t="s">
        <v>2366</v>
      </c>
      <c r="E23" s="63" t="s">
        <v>2367</v>
      </c>
      <c r="F23" s="63" t="s">
        <v>2355</v>
      </c>
      <c r="G23" s="63" t="s">
        <v>2368</v>
      </c>
      <c r="H23" s="63" t="s">
        <v>22</v>
      </c>
      <c r="I23" s="63" t="s">
        <v>803</v>
      </c>
    </row>
    <row r="24" ht="11.25" customHeight="1">
      <c r="A24" s="63" t="s">
        <v>2276</v>
      </c>
      <c r="B24" s="63" t="s">
        <v>16</v>
      </c>
      <c r="C24" s="63" t="s">
        <v>2369</v>
      </c>
      <c r="D24" s="63" t="s">
        <v>2370</v>
      </c>
      <c r="E24" s="63" t="s">
        <v>2371</v>
      </c>
      <c r="F24" s="63" t="s">
        <v>2305</v>
      </c>
      <c r="G24" s="63" t="s">
        <v>2372</v>
      </c>
      <c r="H24" s="63" t="s">
        <v>22</v>
      </c>
      <c r="I24" s="63" t="s">
        <v>803</v>
      </c>
    </row>
    <row r="25" ht="11.25" customHeight="1">
      <c r="A25" s="63" t="s">
        <v>2276</v>
      </c>
      <c r="B25" s="63" t="s">
        <v>16</v>
      </c>
      <c r="C25" s="63" t="s">
        <v>2373</v>
      </c>
      <c r="D25" s="63" t="s">
        <v>2374</v>
      </c>
      <c r="E25" s="63" t="s">
        <v>2375</v>
      </c>
      <c r="F25" s="63" t="s">
        <v>2355</v>
      </c>
      <c r="G25" s="63" t="s">
        <v>22</v>
      </c>
      <c r="H25" s="63" t="s">
        <v>22</v>
      </c>
      <c r="I25" s="63" t="s">
        <v>803</v>
      </c>
    </row>
    <row r="26" ht="11.25" customHeight="1">
      <c r="A26" s="63" t="s">
        <v>2276</v>
      </c>
      <c r="B26" s="63" t="s">
        <v>16</v>
      </c>
      <c r="C26" s="63" t="s">
        <v>2376</v>
      </c>
      <c r="D26" s="63" t="s">
        <v>2377</v>
      </c>
      <c r="E26" s="63" t="s">
        <v>2378</v>
      </c>
      <c r="F26" s="63" t="s">
        <v>2379</v>
      </c>
      <c r="G26" s="63" t="s">
        <v>2380</v>
      </c>
      <c r="H26" s="63" t="s">
        <v>22</v>
      </c>
      <c r="I26" s="63" t="s">
        <v>803</v>
      </c>
    </row>
    <row r="27" ht="11.25" customHeight="1">
      <c r="A27" s="63" t="s">
        <v>2276</v>
      </c>
      <c r="B27" s="63" t="s">
        <v>16</v>
      </c>
      <c r="C27" s="63" t="s">
        <v>2381</v>
      </c>
      <c r="D27" s="63" t="s">
        <v>2382</v>
      </c>
      <c r="E27" s="63" t="s">
        <v>2383</v>
      </c>
      <c r="F27" s="63" t="s">
        <v>2305</v>
      </c>
      <c r="G27" s="63" t="s">
        <v>2384</v>
      </c>
      <c r="H27" s="63" t="s">
        <v>22</v>
      </c>
      <c r="I27" s="63" t="s">
        <v>803</v>
      </c>
    </row>
    <row r="28" ht="11.25" customHeight="1">
      <c r="A28" s="63" t="s">
        <v>2276</v>
      </c>
      <c r="B28" s="63" t="s">
        <v>16</v>
      </c>
      <c r="C28" s="63" t="s">
        <v>2385</v>
      </c>
      <c r="D28" s="63" t="s">
        <v>2386</v>
      </c>
      <c r="E28" s="63" t="s">
        <v>2387</v>
      </c>
      <c r="F28" s="63" t="s">
        <v>2355</v>
      </c>
      <c r="G28" s="63" t="s">
        <v>2388</v>
      </c>
      <c r="H28" s="63" t="s">
        <v>22</v>
      </c>
      <c r="I28" s="63" t="s">
        <v>803</v>
      </c>
    </row>
    <row r="29" ht="11.25" customHeight="1">
      <c r="A29" s="63" t="s">
        <v>2276</v>
      </c>
      <c r="B29" s="63" t="s">
        <v>16</v>
      </c>
      <c r="C29" s="63" t="s">
        <v>2389</v>
      </c>
      <c r="D29" s="63" t="s">
        <v>2390</v>
      </c>
      <c r="E29" s="63" t="s">
        <v>2391</v>
      </c>
      <c r="F29" s="63" t="s">
        <v>2290</v>
      </c>
      <c r="G29" s="63" t="s">
        <v>2392</v>
      </c>
      <c r="H29" s="63" t="s">
        <v>22</v>
      </c>
      <c r="I29" s="63" t="s">
        <v>803</v>
      </c>
    </row>
    <row r="30" ht="11.25" customHeight="1">
      <c r="A30" s="63" t="s">
        <v>2276</v>
      </c>
      <c r="B30" s="63" t="s">
        <v>16</v>
      </c>
      <c r="C30" s="63" t="s">
        <v>2393</v>
      </c>
      <c r="D30" s="63" t="s">
        <v>2394</v>
      </c>
      <c r="E30" s="63" t="s">
        <v>2333</v>
      </c>
      <c r="F30" s="63" t="s">
        <v>2395</v>
      </c>
      <c r="G30" s="63" t="s">
        <v>22</v>
      </c>
      <c r="H30" s="63" t="s">
        <v>22</v>
      </c>
      <c r="I30" s="63" t="s">
        <v>803</v>
      </c>
    </row>
    <row r="31" ht="11.25" customHeight="1">
      <c r="A31" s="63" t="s">
        <v>2276</v>
      </c>
      <c r="B31" s="63" t="s">
        <v>16</v>
      </c>
      <c r="C31" s="63" t="s">
        <v>2396</v>
      </c>
      <c r="D31" s="63" t="s">
        <v>2397</v>
      </c>
      <c r="E31" s="63" t="s">
        <v>2398</v>
      </c>
      <c r="F31" s="63" t="s">
        <v>2399</v>
      </c>
      <c r="G31" s="63" t="s">
        <v>22</v>
      </c>
      <c r="H31" s="63" t="s">
        <v>22</v>
      </c>
      <c r="I31" s="63" t="s">
        <v>803</v>
      </c>
    </row>
    <row r="32" ht="11.25" customHeight="1">
      <c r="A32" s="63" t="s">
        <v>2276</v>
      </c>
      <c r="B32" s="63" t="s">
        <v>16</v>
      </c>
      <c r="C32" s="63" t="s">
        <v>2400</v>
      </c>
      <c r="D32" s="63" t="s">
        <v>2401</v>
      </c>
      <c r="E32" s="63" t="s">
        <v>2402</v>
      </c>
      <c r="F32" s="63" t="s">
        <v>2403</v>
      </c>
      <c r="G32" s="63" t="s">
        <v>22</v>
      </c>
      <c r="H32" s="63" t="s">
        <v>22</v>
      </c>
      <c r="I32" s="63" t="s">
        <v>803</v>
      </c>
    </row>
    <row r="33" ht="11.25" customHeight="1">
      <c r="A33" s="63" t="s">
        <v>2276</v>
      </c>
      <c r="B33" s="63" t="s">
        <v>16</v>
      </c>
      <c r="C33" s="63" t="s">
        <v>2404</v>
      </c>
      <c r="D33" s="63" t="s">
        <v>2405</v>
      </c>
      <c r="E33" s="63" t="s">
        <v>2402</v>
      </c>
      <c r="F33" s="63" t="s">
        <v>2406</v>
      </c>
      <c r="G33" s="63" t="s">
        <v>2407</v>
      </c>
      <c r="H33" s="63" t="s">
        <v>22</v>
      </c>
      <c r="I33" s="63" t="s">
        <v>803</v>
      </c>
    </row>
    <row r="34" ht="11.25" customHeight="1">
      <c r="A34" s="63" t="s">
        <v>2276</v>
      </c>
      <c r="B34" s="63" t="s">
        <v>16</v>
      </c>
      <c r="C34" s="63" t="s">
        <v>2408</v>
      </c>
      <c r="D34" s="63" t="s">
        <v>2409</v>
      </c>
      <c r="E34" s="63" t="s">
        <v>2410</v>
      </c>
      <c r="F34" s="63" t="s">
        <v>2411</v>
      </c>
      <c r="G34" s="63" t="s">
        <v>22</v>
      </c>
      <c r="H34" s="63" t="s">
        <v>22</v>
      </c>
      <c r="I34" s="63" t="s">
        <v>803</v>
      </c>
    </row>
    <row r="35" ht="11.25" customHeight="1">
      <c r="A35" s="63" t="s">
        <v>2276</v>
      </c>
      <c r="B35" s="63" t="s">
        <v>16</v>
      </c>
      <c r="C35" s="63" t="s">
        <v>2412</v>
      </c>
      <c r="D35" s="63" t="s">
        <v>2413</v>
      </c>
      <c r="E35" s="63" t="s">
        <v>2414</v>
      </c>
      <c r="F35" s="63" t="s">
        <v>2295</v>
      </c>
      <c r="G35" s="63" t="s">
        <v>2415</v>
      </c>
      <c r="H35" s="63" t="s">
        <v>22</v>
      </c>
      <c r="I35" s="63" t="s">
        <v>803</v>
      </c>
    </row>
    <row r="36" ht="11.25" customHeight="1">
      <c r="A36" s="63" t="s">
        <v>2276</v>
      </c>
      <c r="B36" s="63" t="s">
        <v>16</v>
      </c>
      <c r="C36" s="63" t="s">
        <v>2416</v>
      </c>
      <c r="D36" s="63" t="s">
        <v>2417</v>
      </c>
      <c r="E36" s="63" t="s">
        <v>2418</v>
      </c>
      <c r="F36" s="63" t="s">
        <v>2295</v>
      </c>
      <c r="G36" s="63" t="s">
        <v>2419</v>
      </c>
      <c r="H36" s="63" t="s">
        <v>22</v>
      </c>
      <c r="I36" s="63" t="s">
        <v>803</v>
      </c>
    </row>
    <row r="37" ht="11.25" customHeight="1">
      <c r="A37" s="63" t="s">
        <v>2276</v>
      </c>
      <c r="B37" s="63" t="s">
        <v>16</v>
      </c>
      <c r="C37" s="63" t="s">
        <v>2420</v>
      </c>
      <c r="D37" s="63" t="s">
        <v>2421</v>
      </c>
      <c r="E37" s="63" t="s">
        <v>2422</v>
      </c>
      <c r="F37" s="63" t="s">
        <v>2423</v>
      </c>
      <c r="G37" s="63" t="s">
        <v>22</v>
      </c>
      <c r="H37" s="63" t="s">
        <v>22</v>
      </c>
      <c r="I37" s="63" t="s">
        <v>803</v>
      </c>
    </row>
    <row r="38" ht="11.25" customHeight="1">
      <c r="A38" s="63" t="s">
        <v>2276</v>
      </c>
      <c r="B38" s="63" t="s">
        <v>16</v>
      </c>
      <c r="C38" s="63" t="s">
        <v>2424</v>
      </c>
      <c r="D38" s="63" t="s">
        <v>2425</v>
      </c>
      <c r="E38" s="63" t="s">
        <v>2333</v>
      </c>
      <c r="F38" s="63" t="s">
        <v>2426</v>
      </c>
      <c r="G38" s="63" t="s">
        <v>2427</v>
      </c>
      <c r="H38" s="63" t="s">
        <v>22</v>
      </c>
      <c r="I38" s="63" t="s">
        <v>803</v>
      </c>
    </row>
    <row r="39" ht="11.25" customHeight="1">
      <c r="A39" s="63" t="s">
        <v>2276</v>
      </c>
      <c r="B39" s="63" t="s">
        <v>16</v>
      </c>
      <c r="C39" s="63" t="s">
        <v>2277</v>
      </c>
      <c r="D39" s="63" t="s">
        <v>2278</v>
      </c>
      <c r="E39" s="63" t="s">
        <v>2279</v>
      </c>
      <c r="F39" s="63" t="s">
        <v>2280</v>
      </c>
      <c r="G39" s="63" t="s">
        <v>2281</v>
      </c>
      <c r="H39" s="63" t="s">
        <v>22</v>
      </c>
      <c r="I39" s="63" t="s">
        <v>889</v>
      </c>
    </row>
    <row r="40" ht="11.25" customHeight="1">
      <c r="A40" s="63" t="s">
        <v>2276</v>
      </c>
      <c r="B40" s="63" t="s">
        <v>16</v>
      </c>
      <c r="C40" s="63" t="s">
        <v>13</v>
      </c>
      <c r="D40" s="63" t="s">
        <v>45</v>
      </c>
      <c r="E40" s="63" t="s">
        <v>48</v>
      </c>
      <c r="F40" s="63" t="s">
        <v>50</v>
      </c>
      <c r="G40" s="63" t="s">
        <v>22</v>
      </c>
      <c r="H40" s="63" t="s">
        <v>22</v>
      </c>
      <c r="I40" s="63" t="s">
        <v>889</v>
      </c>
    </row>
    <row r="41" ht="11.25" customHeight="1">
      <c r="A41" s="63" t="s">
        <v>2276</v>
      </c>
      <c r="B41" s="63" t="s">
        <v>16</v>
      </c>
      <c r="C41" s="63" t="s">
        <v>2292</v>
      </c>
      <c r="D41" s="63" t="s">
        <v>2293</v>
      </c>
      <c r="E41" s="63" t="s">
        <v>2294</v>
      </c>
      <c r="F41" s="63" t="s">
        <v>2295</v>
      </c>
      <c r="G41" s="63" t="s">
        <v>2296</v>
      </c>
      <c r="H41" s="63" t="s">
        <v>22</v>
      </c>
      <c r="I41" s="63" t="s">
        <v>889</v>
      </c>
    </row>
    <row r="42" ht="11.25" customHeight="1">
      <c r="A42" s="63" t="s">
        <v>2276</v>
      </c>
      <c r="B42" s="63" t="s">
        <v>16</v>
      </c>
      <c r="C42" s="63" t="s">
        <v>2297</v>
      </c>
      <c r="D42" s="63" t="s">
        <v>2298</v>
      </c>
      <c r="E42" s="63" t="s">
        <v>2299</v>
      </c>
      <c r="F42" s="63" t="s">
        <v>2295</v>
      </c>
      <c r="G42" s="63" t="s">
        <v>2300</v>
      </c>
      <c r="H42" s="63" t="s">
        <v>2301</v>
      </c>
      <c r="I42" s="63" t="s">
        <v>889</v>
      </c>
    </row>
    <row r="43" ht="11.25" customHeight="1">
      <c r="A43" s="63" t="s">
        <v>2276</v>
      </c>
      <c r="B43" s="63" t="s">
        <v>16</v>
      </c>
      <c r="C43" s="63" t="s">
        <v>22</v>
      </c>
      <c r="D43" s="63" t="s">
        <v>2307</v>
      </c>
      <c r="E43" s="63" t="s">
        <v>2308</v>
      </c>
      <c r="F43" s="63" t="s">
        <v>2295</v>
      </c>
      <c r="G43" s="63" t="s">
        <v>22</v>
      </c>
      <c r="H43" s="63" t="s">
        <v>22</v>
      </c>
      <c r="I43" s="63" t="s">
        <v>889</v>
      </c>
    </row>
    <row r="44" ht="11.25" customHeight="1">
      <c r="A44" s="63" t="s">
        <v>2276</v>
      </c>
      <c r="B44" s="63" t="s">
        <v>16</v>
      </c>
      <c r="C44" s="63" t="s">
        <v>2318</v>
      </c>
      <c r="D44" s="63" t="s">
        <v>2319</v>
      </c>
      <c r="E44" s="63" t="s">
        <v>2320</v>
      </c>
      <c r="F44" s="63" t="s">
        <v>2290</v>
      </c>
      <c r="G44" s="63" t="s">
        <v>2321</v>
      </c>
      <c r="H44" s="63" t="s">
        <v>22</v>
      </c>
      <c r="I44" s="63" t="s">
        <v>889</v>
      </c>
    </row>
    <row r="45" ht="11.25" customHeight="1">
      <c r="A45" s="63" t="s">
        <v>2276</v>
      </c>
      <c r="B45" s="63" t="s">
        <v>16</v>
      </c>
      <c r="C45" s="63" t="s">
        <v>2326</v>
      </c>
      <c r="D45" s="63" t="s">
        <v>2327</v>
      </c>
      <c r="E45" s="63" t="s">
        <v>2328</v>
      </c>
      <c r="F45" s="63" t="s">
        <v>2329</v>
      </c>
      <c r="G45" s="63" t="s">
        <v>2330</v>
      </c>
      <c r="H45" s="63" t="s">
        <v>22</v>
      </c>
      <c r="I45" s="63" t="s">
        <v>889</v>
      </c>
    </row>
    <row r="46" ht="11.25" customHeight="1">
      <c r="A46" s="63" t="s">
        <v>2276</v>
      </c>
      <c r="B46" s="63" t="s">
        <v>16</v>
      </c>
      <c r="C46" s="63" t="s">
        <v>2335</v>
      </c>
      <c r="D46" s="63" t="s">
        <v>2336</v>
      </c>
      <c r="E46" s="63" t="s">
        <v>2333</v>
      </c>
      <c r="F46" s="63" t="s">
        <v>2337</v>
      </c>
      <c r="G46" s="63" t="s">
        <v>2338</v>
      </c>
      <c r="H46" s="63" t="s">
        <v>22</v>
      </c>
      <c r="I46" s="63" t="s">
        <v>889</v>
      </c>
    </row>
    <row r="47" ht="11.25" customHeight="1">
      <c r="A47" s="63" t="s">
        <v>2276</v>
      </c>
      <c r="B47" s="63" t="s">
        <v>16</v>
      </c>
      <c r="C47" s="63" t="s">
        <v>2385</v>
      </c>
      <c r="D47" s="63" t="s">
        <v>2386</v>
      </c>
      <c r="E47" s="63" t="s">
        <v>2387</v>
      </c>
      <c r="F47" s="63" t="s">
        <v>2355</v>
      </c>
      <c r="G47" s="63" t="s">
        <v>2388</v>
      </c>
      <c r="H47" s="63" t="s">
        <v>22</v>
      </c>
      <c r="I47" s="63" t="s">
        <v>889</v>
      </c>
    </row>
    <row r="48" ht="11.25" customHeight="1">
      <c r="A48" s="63" t="s">
        <v>2276</v>
      </c>
      <c r="B48" s="63" t="s">
        <v>16</v>
      </c>
      <c r="C48" s="63" t="s">
        <v>2400</v>
      </c>
      <c r="D48" s="63" t="s">
        <v>2401</v>
      </c>
      <c r="E48" s="63" t="s">
        <v>2402</v>
      </c>
      <c r="F48" s="63" t="s">
        <v>2403</v>
      </c>
      <c r="G48" s="63" t="s">
        <v>22</v>
      </c>
      <c r="H48" s="63" t="s">
        <v>22</v>
      </c>
      <c r="I48" s="63" t="s">
        <v>889</v>
      </c>
    </row>
    <row r="49" ht="11.25" customHeight="1">
      <c r="A49" s="63" t="s">
        <v>2276</v>
      </c>
      <c r="B49" s="63" t="s">
        <v>16</v>
      </c>
      <c r="C49" s="63" t="s">
        <v>2404</v>
      </c>
      <c r="D49" s="63" t="s">
        <v>2405</v>
      </c>
      <c r="E49" s="63" t="s">
        <v>2402</v>
      </c>
      <c r="F49" s="63" t="s">
        <v>2406</v>
      </c>
      <c r="G49" s="63" t="s">
        <v>2407</v>
      </c>
      <c r="H49" s="63" t="s">
        <v>22</v>
      </c>
      <c r="I49" s="63" t="s">
        <v>889</v>
      </c>
    </row>
    <row r="50" ht="11.25" customHeight="1">
      <c r="A50" s="63" t="s">
        <v>2276</v>
      </c>
      <c r="B50" s="63" t="s">
        <v>16</v>
      </c>
      <c r="C50" s="63" t="s">
        <v>2420</v>
      </c>
      <c r="D50" s="63" t="s">
        <v>2421</v>
      </c>
      <c r="E50" s="63" t="s">
        <v>2422</v>
      </c>
      <c r="F50" s="63" t="s">
        <v>2423</v>
      </c>
      <c r="G50" s="63" t="s">
        <v>22</v>
      </c>
      <c r="H50" s="63" t="s">
        <v>22</v>
      </c>
      <c r="I50" s="63" t="s">
        <v>889</v>
      </c>
    </row>
    <row r="51" ht="11.25" customHeight="1">
      <c r="A51" s="63" t="s">
        <v>2276</v>
      </c>
      <c r="B51" s="63" t="s">
        <v>16</v>
      </c>
      <c r="C51" s="63" t="s">
        <v>2277</v>
      </c>
      <c r="D51" s="63" t="s">
        <v>2278</v>
      </c>
      <c r="E51" s="63" t="s">
        <v>2279</v>
      </c>
      <c r="F51" s="63" t="s">
        <v>2280</v>
      </c>
      <c r="G51" s="63" t="s">
        <v>2281</v>
      </c>
      <c r="H51" s="63" t="s">
        <v>22</v>
      </c>
      <c r="I51" s="63" t="s">
        <v>849</v>
      </c>
    </row>
    <row r="52" ht="11.25" customHeight="1">
      <c r="A52" s="63" t="s">
        <v>2276</v>
      </c>
      <c r="B52" s="63" t="s">
        <v>16</v>
      </c>
      <c r="C52" s="63" t="s">
        <v>2287</v>
      </c>
      <c r="D52" s="63" t="s">
        <v>2288</v>
      </c>
      <c r="E52" s="63" t="s">
        <v>2289</v>
      </c>
      <c r="F52" s="63" t="s">
        <v>2290</v>
      </c>
      <c r="G52" s="63" t="s">
        <v>2291</v>
      </c>
      <c r="H52" s="63" t="s">
        <v>22</v>
      </c>
      <c r="I52" s="63" t="s">
        <v>849</v>
      </c>
    </row>
    <row r="53" ht="11.25" customHeight="1">
      <c r="A53" s="63" t="s">
        <v>2276</v>
      </c>
      <c r="B53" s="63" t="s">
        <v>16</v>
      </c>
      <c r="C53" s="63" t="s">
        <v>2292</v>
      </c>
      <c r="D53" s="63" t="s">
        <v>2293</v>
      </c>
      <c r="E53" s="63" t="s">
        <v>2294</v>
      </c>
      <c r="F53" s="63" t="s">
        <v>2295</v>
      </c>
      <c r="G53" s="63" t="s">
        <v>2296</v>
      </c>
      <c r="H53" s="63" t="s">
        <v>22</v>
      </c>
      <c r="I53" s="63" t="s">
        <v>849</v>
      </c>
    </row>
    <row r="54" ht="11.25" customHeight="1">
      <c r="A54" s="63" t="s">
        <v>2276</v>
      </c>
      <c r="B54" s="63" t="s">
        <v>16</v>
      </c>
      <c r="C54" s="63" t="s">
        <v>2297</v>
      </c>
      <c r="D54" s="63" t="s">
        <v>2298</v>
      </c>
      <c r="E54" s="63" t="s">
        <v>2299</v>
      </c>
      <c r="F54" s="63" t="s">
        <v>2295</v>
      </c>
      <c r="G54" s="63" t="s">
        <v>2300</v>
      </c>
      <c r="H54" s="63" t="s">
        <v>2301</v>
      </c>
      <c r="I54" s="63" t="s">
        <v>849</v>
      </c>
    </row>
    <row r="55" ht="11.25" customHeight="1">
      <c r="A55" s="63" t="s">
        <v>2276</v>
      </c>
      <c r="B55" s="63" t="s">
        <v>16</v>
      </c>
      <c r="C55" s="63" t="s">
        <v>2302</v>
      </c>
      <c r="D55" s="63" t="s">
        <v>2303</v>
      </c>
      <c r="E55" s="63" t="s">
        <v>2304</v>
      </c>
      <c r="F55" s="63" t="s">
        <v>2305</v>
      </c>
      <c r="G55" s="63" t="s">
        <v>2306</v>
      </c>
      <c r="H55" s="63" t="s">
        <v>22</v>
      </c>
      <c r="I55" s="63" t="s">
        <v>849</v>
      </c>
    </row>
    <row r="56" ht="11.25" customHeight="1">
      <c r="A56" s="63" t="s">
        <v>2276</v>
      </c>
      <c r="B56" s="63" t="s">
        <v>16</v>
      </c>
      <c r="C56" s="63" t="s">
        <v>22</v>
      </c>
      <c r="D56" s="63" t="s">
        <v>2307</v>
      </c>
      <c r="E56" s="63" t="s">
        <v>2308</v>
      </c>
      <c r="F56" s="63" t="s">
        <v>2295</v>
      </c>
      <c r="G56" s="63" t="s">
        <v>22</v>
      </c>
      <c r="H56" s="63" t="s">
        <v>22</v>
      </c>
      <c r="I56" s="63" t="s">
        <v>849</v>
      </c>
    </row>
    <row r="57" ht="11.25" customHeight="1">
      <c r="A57" s="63" t="s">
        <v>2276</v>
      </c>
      <c r="B57" s="63" t="s">
        <v>16</v>
      </c>
      <c r="C57" s="63" t="s">
        <v>2428</v>
      </c>
      <c r="D57" s="63" t="s">
        <v>2429</v>
      </c>
      <c r="E57" s="63" t="s">
        <v>2430</v>
      </c>
      <c r="F57" s="63" t="s">
        <v>570</v>
      </c>
      <c r="G57" s="63" t="s">
        <v>22</v>
      </c>
      <c r="H57" s="63" t="s">
        <v>22</v>
      </c>
      <c r="I57" s="63" t="s">
        <v>849</v>
      </c>
    </row>
    <row r="58" ht="11.25" customHeight="1">
      <c r="A58" s="63" t="s">
        <v>2276</v>
      </c>
      <c r="B58" s="63" t="s">
        <v>16</v>
      </c>
      <c r="C58" s="63" t="s">
        <v>2431</v>
      </c>
      <c r="D58" s="63" t="s">
        <v>2432</v>
      </c>
      <c r="E58" s="63" t="s">
        <v>2433</v>
      </c>
      <c r="F58" s="63" t="s">
        <v>2295</v>
      </c>
      <c r="G58" s="63" t="s">
        <v>2434</v>
      </c>
      <c r="H58" s="63" t="s">
        <v>2435</v>
      </c>
      <c r="I58" s="63" t="s">
        <v>849</v>
      </c>
    </row>
    <row r="59" ht="11.25" customHeight="1">
      <c r="A59" s="63" t="s">
        <v>2276</v>
      </c>
      <c r="B59" s="63" t="s">
        <v>16</v>
      </c>
      <c r="C59" s="63" t="s">
        <v>2309</v>
      </c>
      <c r="D59" s="63" t="s">
        <v>2310</v>
      </c>
      <c r="E59" s="63" t="s">
        <v>2311</v>
      </c>
      <c r="F59" s="63" t="s">
        <v>2290</v>
      </c>
      <c r="G59" s="63" t="s">
        <v>2312</v>
      </c>
      <c r="H59" s="63" t="s">
        <v>22</v>
      </c>
      <c r="I59" s="63" t="s">
        <v>849</v>
      </c>
    </row>
    <row r="60" ht="11.25" customHeight="1">
      <c r="A60" s="63" t="s">
        <v>2276</v>
      </c>
      <c r="B60" s="63" t="s">
        <v>16</v>
      </c>
      <c r="C60" s="63" t="s">
        <v>2313</v>
      </c>
      <c r="D60" s="63" t="s">
        <v>2314</v>
      </c>
      <c r="E60" s="63" t="s">
        <v>2315</v>
      </c>
      <c r="F60" s="63" t="s">
        <v>2316</v>
      </c>
      <c r="G60" s="63" t="s">
        <v>2317</v>
      </c>
      <c r="H60" s="63" t="s">
        <v>22</v>
      </c>
      <c r="I60" s="63" t="s">
        <v>849</v>
      </c>
    </row>
    <row r="61" ht="11.25" customHeight="1">
      <c r="A61" s="63" t="s">
        <v>2276</v>
      </c>
      <c r="B61" s="63" t="s">
        <v>16</v>
      </c>
      <c r="C61" s="63" t="s">
        <v>2436</v>
      </c>
      <c r="D61" s="63" t="s">
        <v>2437</v>
      </c>
      <c r="E61" s="63" t="s">
        <v>2438</v>
      </c>
      <c r="F61" s="63" t="s">
        <v>2316</v>
      </c>
      <c r="G61" s="63" t="s">
        <v>22</v>
      </c>
      <c r="H61" s="63" t="s">
        <v>2439</v>
      </c>
      <c r="I61" s="63" t="s">
        <v>849</v>
      </c>
    </row>
    <row r="62" ht="11.25" customHeight="1">
      <c r="A62" s="63" t="s">
        <v>2276</v>
      </c>
      <c r="B62" s="63" t="s">
        <v>16</v>
      </c>
      <c r="C62" s="63" t="s">
        <v>2318</v>
      </c>
      <c r="D62" s="63" t="s">
        <v>2319</v>
      </c>
      <c r="E62" s="63" t="s">
        <v>2320</v>
      </c>
      <c r="F62" s="63" t="s">
        <v>2290</v>
      </c>
      <c r="G62" s="63" t="s">
        <v>2321</v>
      </c>
      <c r="H62" s="63" t="s">
        <v>22</v>
      </c>
      <c r="I62" s="63" t="s">
        <v>849</v>
      </c>
    </row>
    <row r="63" ht="11.25" customHeight="1">
      <c r="A63" s="63" t="s">
        <v>2276</v>
      </c>
      <c r="B63" s="63" t="s">
        <v>16</v>
      </c>
      <c r="C63" s="63" t="s">
        <v>2322</v>
      </c>
      <c r="D63" s="63" t="s">
        <v>2323</v>
      </c>
      <c r="E63" s="63" t="s">
        <v>2324</v>
      </c>
      <c r="F63" s="63" t="s">
        <v>2305</v>
      </c>
      <c r="G63" s="63" t="s">
        <v>2325</v>
      </c>
      <c r="H63" s="63" t="s">
        <v>22</v>
      </c>
      <c r="I63" s="63" t="s">
        <v>849</v>
      </c>
    </row>
    <row r="64" ht="11.25" customHeight="1">
      <c r="A64" s="63" t="s">
        <v>2276</v>
      </c>
      <c r="B64" s="63" t="s">
        <v>16</v>
      </c>
      <c r="C64" s="63" t="s">
        <v>2326</v>
      </c>
      <c r="D64" s="63" t="s">
        <v>2327</v>
      </c>
      <c r="E64" s="63" t="s">
        <v>2328</v>
      </c>
      <c r="F64" s="63" t="s">
        <v>2329</v>
      </c>
      <c r="G64" s="63" t="s">
        <v>2330</v>
      </c>
      <c r="H64" s="63" t="s">
        <v>22</v>
      </c>
      <c r="I64" s="63" t="s">
        <v>849</v>
      </c>
    </row>
    <row r="65" ht="11.25" customHeight="1">
      <c r="A65" s="63" t="s">
        <v>2276</v>
      </c>
      <c r="B65" s="63" t="s">
        <v>16</v>
      </c>
      <c r="C65" s="63" t="s">
        <v>2335</v>
      </c>
      <c r="D65" s="63" t="s">
        <v>2336</v>
      </c>
      <c r="E65" s="63" t="s">
        <v>2333</v>
      </c>
      <c r="F65" s="63" t="s">
        <v>2337</v>
      </c>
      <c r="G65" s="63" t="s">
        <v>2338</v>
      </c>
      <c r="H65" s="63" t="s">
        <v>22</v>
      </c>
      <c r="I65" s="63" t="s">
        <v>849</v>
      </c>
    </row>
    <row r="66" ht="11.25" customHeight="1">
      <c r="A66" s="63" t="s">
        <v>2276</v>
      </c>
      <c r="B66" s="63" t="s">
        <v>16</v>
      </c>
      <c r="C66" s="63" t="s">
        <v>2339</v>
      </c>
      <c r="D66" s="63" t="s">
        <v>2340</v>
      </c>
      <c r="E66" s="63" t="s">
        <v>2341</v>
      </c>
      <c r="F66" s="63" t="s">
        <v>2305</v>
      </c>
      <c r="G66" s="63" t="s">
        <v>2342</v>
      </c>
      <c r="H66" s="63" t="s">
        <v>22</v>
      </c>
      <c r="I66" s="63" t="s">
        <v>849</v>
      </c>
    </row>
    <row r="67" ht="11.25" customHeight="1">
      <c r="A67" s="63" t="s">
        <v>2276</v>
      </c>
      <c r="B67" s="63" t="s">
        <v>16</v>
      </c>
      <c r="C67" s="63" t="s">
        <v>2440</v>
      </c>
      <c r="D67" s="63" t="s">
        <v>2441</v>
      </c>
      <c r="E67" s="63" t="s">
        <v>2442</v>
      </c>
      <c r="F67" s="63" t="s">
        <v>2443</v>
      </c>
      <c r="G67" s="63" t="s">
        <v>22</v>
      </c>
      <c r="H67" s="63" t="s">
        <v>22</v>
      </c>
      <c r="I67" s="63" t="s">
        <v>849</v>
      </c>
    </row>
    <row r="68" ht="11.25" customHeight="1">
      <c r="A68" s="63" t="s">
        <v>2276</v>
      </c>
      <c r="B68" s="63" t="s">
        <v>16</v>
      </c>
      <c r="C68" s="63" t="s">
        <v>2444</v>
      </c>
      <c r="D68" s="63" t="s">
        <v>2445</v>
      </c>
      <c r="E68" s="63" t="s">
        <v>2446</v>
      </c>
      <c r="F68" s="63" t="s">
        <v>2290</v>
      </c>
      <c r="G68" s="63" t="s">
        <v>2447</v>
      </c>
      <c r="H68" s="63" t="s">
        <v>22</v>
      </c>
      <c r="I68" s="63" t="s">
        <v>849</v>
      </c>
    </row>
    <row r="69" ht="11.25" customHeight="1">
      <c r="A69" s="63" t="s">
        <v>2276</v>
      </c>
      <c r="B69" s="63" t="s">
        <v>16</v>
      </c>
      <c r="C69" s="63" t="s">
        <v>2343</v>
      </c>
      <c r="D69" s="63" t="s">
        <v>2344</v>
      </c>
      <c r="E69" s="63" t="s">
        <v>2345</v>
      </c>
      <c r="F69" s="63" t="s">
        <v>2346</v>
      </c>
      <c r="G69" s="63" t="s">
        <v>2347</v>
      </c>
      <c r="H69" s="63" t="s">
        <v>22</v>
      </c>
      <c r="I69" s="63" t="s">
        <v>849</v>
      </c>
    </row>
    <row r="70" ht="11.25" customHeight="1">
      <c r="A70" s="63" t="s">
        <v>2276</v>
      </c>
      <c r="B70" s="63" t="s">
        <v>16</v>
      </c>
      <c r="C70" s="63" t="s">
        <v>2448</v>
      </c>
      <c r="D70" s="63" t="s">
        <v>2449</v>
      </c>
      <c r="E70" s="63" t="s">
        <v>2450</v>
      </c>
      <c r="F70" s="63" t="s">
        <v>2451</v>
      </c>
      <c r="G70" s="63" t="s">
        <v>22</v>
      </c>
      <c r="H70" s="63" t="s">
        <v>22</v>
      </c>
      <c r="I70" s="63" t="s">
        <v>849</v>
      </c>
    </row>
    <row r="71" ht="11.25" customHeight="1">
      <c r="A71" s="63" t="s">
        <v>2276</v>
      </c>
      <c r="B71" s="63" t="s">
        <v>16</v>
      </c>
      <c r="C71" s="63" t="s">
        <v>2348</v>
      </c>
      <c r="D71" s="63" t="s">
        <v>2349</v>
      </c>
      <c r="E71" s="63" t="s">
        <v>2350</v>
      </c>
      <c r="F71" s="63" t="s">
        <v>2290</v>
      </c>
      <c r="G71" s="63" t="s">
        <v>2351</v>
      </c>
      <c r="H71" s="63" t="s">
        <v>22</v>
      </c>
      <c r="I71" s="63" t="s">
        <v>849</v>
      </c>
    </row>
    <row r="72" ht="11.25" customHeight="1">
      <c r="A72" s="63" t="s">
        <v>2276</v>
      </c>
      <c r="B72" s="63" t="s">
        <v>16</v>
      </c>
      <c r="C72" s="63" t="s">
        <v>2352</v>
      </c>
      <c r="D72" s="63" t="s">
        <v>2353</v>
      </c>
      <c r="E72" s="63" t="s">
        <v>2354</v>
      </c>
      <c r="F72" s="63" t="s">
        <v>2355</v>
      </c>
      <c r="G72" s="63" t="s">
        <v>2356</v>
      </c>
      <c r="H72" s="63" t="s">
        <v>22</v>
      </c>
      <c r="I72" s="63" t="s">
        <v>849</v>
      </c>
    </row>
    <row r="73" ht="11.25" customHeight="1">
      <c r="A73" s="63" t="s">
        <v>2276</v>
      </c>
      <c r="B73" s="63" t="s">
        <v>16</v>
      </c>
      <c r="C73" s="63" t="s">
        <v>2452</v>
      </c>
      <c r="D73" s="63" t="s">
        <v>2453</v>
      </c>
      <c r="E73" s="63" t="s">
        <v>2454</v>
      </c>
      <c r="F73" s="63" t="s">
        <v>2355</v>
      </c>
      <c r="G73" s="63" t="s">
        <v>2455</v>
      </c>
      <c r="H73" s="63" t="s">
        <v>22</v>
      </c>
      <c r="I73" s="63" t="s">
        <v>849</v>
      </c>
    </row>
    <row r="74" ht="11.25" customHeight="1">
      <c r="A74" s="63" t="s">
        <v>2276</v>
      </c>
      <c r="B74" s="63" t="s">
        <v>16</v>
      </c>
      <c r="C74" s="63" t="s">
        <v>2456</v>
      </c>
      <c r="D74" s="63" t="s">
        <v>2457</v>
      </c>
      <c r="E74" s="63" t="s">
        <v>2458</v>
      </c>
      <c r="F74" s="63" t="s">
        <v>2379</v>
      </c>
      <c r="G74" s="63" t="s">
        <v>2459</v>
      </c>
      <c r="H74" s="63" t="s">
        <v>22</v>
      </c>
      <c r="I74" s="63" t="s">
        <v>849</v>
      </c>
    </row>
    <row r="75" ht="11.25" customHeight="1">
      <c r="A75" s="63" t="s">
        <v>2276</v>
      </c>
      <c r="B75" s="63" t="s">
        <v>16</v>
      </c>
      <c r="C75" s="63" t="s">
        <v>2361</v>
      </c>
      <c r="D75" s="63" t="s">
        <v>2362</v>
      </c>
      <c r="E75" s="63" t="s">
        <v>2363</v>
      </c>
      <c r="F75" s="63" t="s">
        <v>2290</v>
      </c>
      <c r="G75" s="63" t="s">
        <v>2364</v>
      </c>
      <c r="H75" s="63" t="s">
        <v>22</v>
      </c>
      <c r="I75" s="63" t="s">
        <v>849</v>
      </c>
    </row>
    <row r="76" ht="11.25" customHeight="1">
      <c r="A76" s="63" t="s">
        <v>2276</v>
      </c>
      <c r="B76" s="63" t="s">
        <v>16</v>
      </c>
      <c r="C76" s="63" t="s">
        <v>2460</v>
      </c>
      <c r="D76" s="63" t="s">
        <v>2461</v>
      </c>
      <c r="E76" s="63" t="s">
        <v>2462</v>
      </c>
      <c r="F76" s="63" t="s">
        <v>2443</v>
      </c>
      <c r="G76" s="63" t="s">
        <v>2463</v>
      </c>
      <c r="H76" s="63" t="s">
        <v>22</v>
      </c>
      <c r="I76" s="63" t="s">
        <v>849</v>
      </c>
    </row>
    <row r="77" ht="11.25" customHeight="1">
      <c r="A77" s="63" t="s">
        <v>2276</v>
      </c>
      <c r="B77" s="63" t="s">
        <v>16</v>
      </c>
      <c r="C77" s="63" t="s">
        <v>2365</v>
      </c>
      <c r="D77" s="63" t="s">
        <v>2366</v>
      </c>
      <c r="E77" s="63" t="s">
        <v>2367</v>
      </c>
      <c r="F77" s="63" t="s">
        <v>2355</v>
      </c>
      <c r="G77" s="63" t="s">
        <v>2368</v>
      </c>
      <c r="H77" s="63" t="s">
        <v>22</v>
      </c>
      <c r="I77" s="63" t="s">
        <v>849</v>
      </c>
    </row>
    <row r="78" ht="11.25" customHeight="1">
      <c r="A78" s="63" t="s">
        <v>2276</v>
      </c>
      <c r="B78" s="63" t="s">
        <v>16</v>
      </c>
      <c r="C78" s="63" t="s">
        <v>2464</v>
      </c>
      <c r="D78" s="63" t="s">
        <v>2465</v>
      </c>
      <c r="E78" s="63" t="s">
        <v>2466</v>
      </c>
      <c r="F78" s="63" t="s">
        <v>2295</v>
      </c>
      <c r="G78" s="63" t="s">
        <v>22</v>
      </c>
      <c r="H78" s="63" t="s">
        <v>22</v>
      </c>
      <c r="I78" s="63" t="s">
        <v>849</v>
      </c>
    </row>
    <row r="79" ht="11.25" customHeight="1">
      <c r="A79" s="63" t="s">
        <v>2276</v>
      </c>
      <c r="B79" s="63" t="s">
        <v>16</v>
      </c>
      <c r="C79" s="63" t="s">
        <v>2369</v>
      </c>
      <c r="D79" s="63" t="s">
        <v>2370</v>
      </c>
      <c r="E79" s="63" t="s">
        <v>2371</v>
      </c>
      <c r="F79" s="63" t="s">
        <v>2305</v>
      </c>
      <c r="G79" s="63" t="s">
        <v>2372</v>
      </c>
      <c r="H79" s="63" t="s">
        <v>22</v>
      </c>
      <c r="I79" s="63" t="s">
        <v>849</v>
      </c>
    </row>
    <row r="80" ht="11.25" customHeight="1">
      <c r="A80" s="63" t="s">
        <v>2276</v>
      </c>
      <c r="B80" s="63" t="s">
        <v>16</v>
      </c>
      <c r="C80" s="63" t="s">
        <v>2376</v>
      </c>
      <c r="D80" s="63" t="s">
        <v>2377</v>
      </c>
      <c r="E80" s="63" t="s">
        <v>2378</v>
      </c>
      <c r="F80" s="63" t="s">
        <v>2379</v>
      </c>
      <c r="G80" s="63" t="s">
        <v>2380</v>
      </c>
      <c r="H80" s="63" t="s">
        <v>22</v>
      </c>
      <c r="I80" s="63" t="s">
        <v>849</v>
      </c>
    </row>
    <row r="81" ht="11.25" customHeight="1">
      <c r="A81" s="63" t="s">
        <v>2276</v>
      </c>
      <c r="B81" s="63" t="s">
        <v>16</v>
      </c>
      <c r="C81" s="63" t="s">
        <v>2381</v>
      </c>
      <c r="D81" s="63" t="s">
        <v>2382</v>
      </c>
      <c r="E81" s="63" t="s">
        <v>2383</v>
      </c>
      <c r="F81" s="63" t="s">
        <v>2305</v>
      </c>
      <c r="G81" s="63" t="s">
        <v>2384</v>
      </c>
      <c r="H81" s="63" t="s">
        <v>22</v>
      </c>
      <c r="I81" s="63" t="s">
        <v>849</v>
      </c>
    </row>
    <row r="82" ht="11.25" customHeight="1">
      <c r="A82" s="63" t="s">
        <v>2276</v>
      </c>
      <c r="B82" s="63" t="s">
        <v>16</v>
      </c>
      <c r="C82" s="63" t="s">
        <v>2396</v>
      </c>
      <c r="D82" s="63" t="s">
        <v>2397</v>
      </c>
      <c r="E82" s="63" t="s">
        <v>2398</v>
      </c>
      <c r="F82" s="63" t="s">
        <v>2399</v>
      </c>
      <c r="G82" s="63" t="s">
        <v>22</v>
      </c>
      <c r="H82" s="63" t="s">
        <v>22</v>
      </c>
      <c r="I82" s="63" t="s">
        <v>849</v>
      </c>
    </row>
    <row r="83" ht="11.25" customHeight="1">
      <c r="A83" s="63" t="s">
        <v>2276</v>
      </c>
      <c r="B83" s="63" t="s">
        <v>16</v>
      </c>
      <c r="C83" s="63" t="s">
        <v>2400</v>
      </c>
      <c r="D83" s="63" t="s">
        <v>2401</v>
      </c>
      <c r="E83" s="63" t="s">
        <v>2402</v>
      </c>
      <c r="F83" s="63" t="s">
        <v>2403</v>
      </c>
      <c r="G83" s="63" t="s">
        <v>22</v>
      </c>
      <c r="H83" s="63" t="s">
        <v>22</v>
      </c>
      <c r="I83" s="63" t="s">
        <v>849</v>
      </c>
    </row>
    <row r="84" ht="11.25" customHeight="1">
      <c r="A84" s="63" t="s">
        <v>2276</v>
      </c>
      <c r="B84" s="63" t="s">
        <v>16</v>
      </c>
      <c r="C84" s="63" t="s">
        <v>2404</v>
      </c>
      <c r="D84" s="63" t="s">
        <v>2405</v>
      </c>
      <c r="E84" s="63" t="s">
        <v>2402</v>
      </c>
      <c r="F84" s="63" t="s">
        <v>2406</v>
      </c>
      <c r="G84" s="63" t="s">
        <v>2407</v>
      </c>
      <c r="H84" s="63" t="s">
        <v>22</v>
      </c>
      <c r="I84" s="63" t="s">
        <v>849</v>
      </c>
    </row>
    <row r="85" ht="11.25" customHeight="1">
      <c r="A85" s="63" t="s">
        <v>2276</v>
      </c>
      <c r="B85" s="63" t="s">
        <v>16</v>
      </c>
      <c r="C85" s="63" t="s">
        <v>2277</v>
      </c>
      <c r="D85" s="63" t="s">
        <v>2278</v>
      </c>
      <c r="E85" s="63" t="s">
        <v>2279</v>
      </c>
      <c r="F85" s="63" t="s">
        <v>2280</v>
      </c>
      <c r="G85" s="63" t="s">
        <v>2281</v>
      </c>
      <c r="H85" s="63" t="s">
        <v>22</v>
      </c>
      <c r="I85" s="63" t="s">
        <v>902</v>
      </c>
    </row>
    <row r="86" ht="11.25" customHeight="1">
      <c r="A86" s="63" t="s">
        <v>2276</v>
      </c>
      <c r="B86" s="63" t="s">
        <v>16</v>
      </c>
      <c r="C86" s="63" t="s">
        <v>2292</v>
      </c>
      <c r="D86" s="63" t="s">
        <v>2293</v>
      </c>
      <c r="E86" s="63" t="s">
        <v>2294</v>
      </c>
      <c r="F86" s="63" t="s">
        <v>2295</v>
      </c>
      <c r="G86" s="63" t="s">
        <v>2296</v>
      </c>
      <c r="H86" s="63" t="s">
        <v>22</v>
      </c>
      <c r="I86" s="63" t="s">
        <v>902</v>
      </c>
    </row>
    <row r="87" ht="11.25" customHeight="1">
      <c r="A87" s="63" t="s">
        <v>2276</v>
      </c>
      <c r="B87" s="63" t="s">
        <v>16</v>
      </c>
      <c r="C87" s="63" t="s">
        <v>2297</v>
      </c>
      <c r="D87" s="63" t="s">
        <v>2298</v>
      </c>
      <c r="E87" s="63" t="s">
        <v>2299</v>
      </c>
      <c r="F87" s="63" t="s">
        <v>2295</v>
      </c>
      <c r="G87" s="63" t="s">
        <v>2300</v>
      </c>
      <c r="H87" s="63" t="s">
        <v>2301</v>
      </c>
      <c r="I87" s="63" t="s">
        <v>902</v>
      </c>
    </row>
    <row r="88" ht="11.25" customHeight="1">
      <c r="A88" s="63" t="s">
        <v>2276</v>
      </c>
      <c r="B88" s="63" t="s">
        <v>16</v>
      </c>
      <c r="C88" s="63" t="s">
        <v>2302</v>
      </c>
      <c r="D88" s="63" t="s">
        <v>2303</v>
      </c>
      <c r="E88" s="63" t="s">
        <v>2304</v>
      </c>
      <c r="F88" s="63" t="s">
        <v>2305</v>
      </c>
      <c r="G88" s="63" t="s">
        <v>2306</v>
      </c>
      <c r="H88" s="63" t="s">
        <v>22</v>
      </c>
      <c r="I88" s="63" t="s">
        <v>902</v>
      </c>
    </row>
    <row r="89" ht="11.25" customHeight="1">
      <c r="A89" s="63" t="s">
        <v>2276</v>
      </c>
      <c r="B89" s="63" t="s">
        <v>16</v>
      </c>
      <c r="C89" s="63" t="s">
        <v>22</v>
      </c>
      <c r="D89" s="63" t="s">
        <v>2307</v>
      </c>
      <c r="E89" s="63" t="s">
        <v>2308</v>
      </c>
      <c r="F89" s="63" t="s">
        <v>2295</v>
      </c>
      <c r="G89" s="63" t="s">
        <v>22</v>
      </c>
      <c r="H89" s="63" t="s">
        <v>22</v>
      </c>
      <c r="I89" s="63" t="s">
        <v>902</v>
      </c>
    </row>
    <row r="90" ht="11.25" customHeight="1">
      <c r="A90" s="63" t="s">
        <v>2276</v>
      </c>
      <c r="B90" s="63" t="s">
        <v>16</v>
      </c>
      <c r="C90" s="63" t="s">
        <v>2431</v>
      </c>
      <c r="D90" s="63" t="s">
        <v>2432</v>
      </c>
      <c r="E90" s="63" t="s">
        <v>2433</v>
      </c>
      <c r="F90" s="63" t="s">
        <v>2295</v>
      </c>
      <c r="G90" s="63" t="s">
        <v>2434</v>
      </c>
      <c r="H90" s="63" t="s">
        <v>2435</v>
      </c>
      <c r="I90" s="63" t="s">
        <v>902</v>
      </c>
    </row>
    <row r="91" ht="11.25" customHeight="1">
      <c r="A91" s="63" t="s">
        <v>2276</v>
      </c>
      <c r="B91" s="63" t="s">
        <v>16</v>
      </c>
      <c r="C91" s="63" t="s">
        <v>2309</v>
      </c>
      <c r="D91" s="63" t="s">
        <v>2310</v>
      </c>
      <c r="E91" s="63" t="s">
        <v>2311</v>
      </c>
      <c r="F91" s="63" t="s">
        <v>2290</v>
      </c>
      <c r="G91" s="63" t="s">
        <v>2312</v>
      </c>
      <c r="H91" s="63" t="s">
        <v>22</v>
      </c>
      <c r="I91" s="63" t="s">
        <v>902</v>
      </c>
    </row>
    <row r="92" ht="11.25" customHeight="1">
      <c r="A92" s="63" t="s">
        <v>2276</v>
      </c>
      <c r="B92" s="63" t="s">
        <v>16</v>
      </c>
      <c r="C92" s="63" t="s">
        <v>2313</v>
      </c>
      <c r="D92" s="63" t="s">
        <v>2314</v>
      </c>
      <c r="E92" s="63" t="s">
        <v>2315</v>
      </c>
      <c r="F92" s="63" t="s">
        <v>2316</v>
      </c>
      <c r="G92" s="63" t="s">
        <v>2317</v>
      </c>
      <c r="H92" s="63" t="s">
        <v>22</v>
      </c>
      <c r="I92" s="63" t="s">
        <v>902</v>
      </c>
    </row>
    <row r="93" ht="11.25" customHeight="1">
      <c r="A93" s="63" t="s">
        <v>2276</v>
      </c>
      <c r="B93" s="63" t="s">
        <v>16</v>
      </c>
      <c r="C93" s="63" t="s">
        <v>2436</v>
      </c>
      <c r="D93" s="63" t="s">
        <v>2437</v>
      </c>
      <c r="E93" s="63" t="s">
        <v>2438</v>
      </c>
      <c r="F93" s="63" t="s">
        <v>2316</v>
      </c>
      <c r="G93" s="63" t="s">
        <v>22</v>
      </c>
      <c r="H93" s="63" t="s">
        <v>2439</v>
      </c>
      <c r="I93" s="63" t="s">
        <v>902</v>
      </c>
    </row>
    <row r="94" ht="11.25" customHeight="1">
      <c r="A94" s="63" t="s">
        <v>2276</v>
      </c>
      <c r="B94" s="63" t="s">
        <v>16</v>
      </c>
      <c r="C94" s="63" t="s">
        <v>2318</v>
      </c>
      <c r="D94" s="63" t="s">
        <v>2319</v>
      </c>
      <c r="E94" s="63" t="s">
        <v>2320</v>
      </c>
      <c r="F94" s="63" t="s">
        <v>2290</v>
      </c>
      <c r="G94" s="63" t="s">
        <v>2321</v>
      </c>
      <c r="H94" s="63" t="s">
        <v>22</v>
      </c>
      <c r="I94" s="63" t="s">
        <v>902</v>
      </c>
    </row>
    <row r="95" ht="11.25" customHeight="1">
      <c r="A95" s="63" t="s">
        <v>2276</v>
      </c>
      <c r="B95" s="63" t="s">
        <v>16</v>
      </c>
      <c r="C95" s="63" t="s">
        <v>2322</v>
      </c>
      <c r="D95" s="63" t="s">
        <v>2323</v>
      </c>
      <c r="E95" s="63" t="s">
        <v>2324</v>
      </c>
      <c r="F95" s="63" t="s">
        <v>2305</v>
      </c>
      <c r="G95" s="63" t="s">
        <v>2325</v>
      </c>
      <c r="H95" s="63" t="s">
        <v>22</v>
      </c>
      <c r="I95" s="63" t="s">
        <v>902</v>
      </c>
    </row>
    <row r="96" ht="11.25" customHeight="1">
      <c r="A96" s="63" t="s">
        <v>2276</v>
      </c>
      <c r="B96" s="63" t="s">
        <v>16</v>
      </c>
      <c r="C96" s="63" t="s">
        <v>2326</v>
      </c>
      <c r="D96" s="63" t="s">
        <v>2327</v>
      </c>
      <c r="E96" s="63" t="s">
        <v>2328</v>
      </c>
      <c r="F96" s="63" t="s">
        <v>2329</v>
      </c>
      <c r="G96" s="63" t="s">
        <v>2330</v>
      </c>
      <c r="H96" s="63" t="s">
        <v>22</v>
      </c>
      <c r="I96" s="63" t="s">
        <v>902</v>
      </c>
    </row>
    <row r="97" ht="11.25" customHeight="1">
      <c r="A97" s="63" t="s">
        <v>2276</v>
      </c>
      <c r="B97" s="63" t="s">
        <v>16</v>
      </c>
      <c r="C97" s="63" t="s">
        <v>2339</v>
      </c>
      <c r="D97" s="63" t="s">
        <v>2340</v>
      </c>
      <c r="E97" s="63" t="s">
        <v>2341</v>
      </c>
      <c r="F97" s="63" t="s">
        <v>2305</v>
      </c>
      <c r="G97" s="63" t="s">
        <v>2342</v>
      </c>
      <c r="H97" s="63" t="s">
        <v>22</v>
      </c>
      <c r="I97" s="63" t="s">
        <v>902</v>
      </c>
    </row>
    <row r="98" ht="11.25" customHeight="1">
      <c r="A98" s="63" t="s">
        <v>2276</v>
      </c>
      <c r="B98" s="63" t="s">
        <v>16</v>
      </c>
      <c r="C98" s="63" t="s">
        <v>2440</v>
      </c>
      <c r="D98" s="63" t="s">
        <v>2441</v>
      </c>
      <c r="E98" s="63" t="s">
        <v>2442</v>
      </c>
      <c r="F98" s="63" t="s">
        <v>2443</v>
      </c>
      <c r="G98" s="63" t="s">
        <v>22</v>
      </c>
      <c r="H98" s="63" t="s">
        <v>22</v>
      </c>
      <c r="I98" s="63" t="s">
        <v>902</v>
      </c>
    </row>
    <row r="99" ht="11.25" customHeight="1">
      <c r="A99" s="63" t="s">
        <v>2276</v>
      </c>
      <c r="B99" s="63" t="s">
        <v>16</v>
      </c>
      <c r="C99" s="63" t="s">
        <v>2343</v>
      </c>
      <c r="D99" s="63" t="s">
        <v>2344</v>
      </c>
      <c r="E99" s="63" t="s">
        <v>2345</v>
      </c>
      <c r="F99" s="63" t="s">
        <v>2346</v>
      </c>
      <c r="G99" s="63" t="s">
        <v>2347</v>
      </c>
      <c r="H99" s="63" t="s">
        <v>22</v>
      </c>
      <c r="I99" s="63" t="s">
        <v>902</v>
      </c>
    </row>
    <row r="100" ht="11.25" customHeight="1">
      <c r="A100" s="63" t="s">
        <v>2276</v>
      </c>
      <c r="B100" s="63" t="s">
        <v>16</v>
      </c>
      <c r="C100" s="63" t="s">
        <v>2448</v>
      </c>
      <c r="D100" s="63" t="s">
        <v>2449</v>
      </c>
      <c r="E100" s="63" t="s">
        <v>2450</v>
      </c>
      <c r="F100" s="63" t="s">
        <v>2451</v>
      </c>
      <c r="G100" s="63" t="s">
        <v>22</v>
      </c>
      <c r="H100" s="63" t="s">
        <v>22</v>
      </c>
      <c r="I100" s="63" t="s">
        <v>902</v>
      </c>
    </row>
    <row r="101" ht="11.25" customHeight="1">
      <c r="A101" s="63" t="s">
        <v>2276</v>
      </c>
      <c r="B101" s="63" t="s">
        <v>16</v>
      </c>
      <c r="C101" s="63" t="s">
        <v>2348</v>
      </c>
      <c r="D101" s="63" t="s">
        <v>2349</v>
      </c>
      <c r="E101" s="63" t="s">
        <v>2350</v>
      </c>
      <c r="F101" s="63" t="s">
        <v>2290</v>
      </c>
      <c r="G101" s="63" t="s">
        <v>2351</v>
      </c>
      <c r="H101" s="63" t="s">
        <v>22</v>
      </c>
      <c r="I101" s="63" t="s">
        <v>902</v>
      </c>
    </row>
    <row r="102" ht="11.25" customHeight="1">
      <c r="A102" s="63" t="s">
        <v>2276</v>
      </c>
      <c r="B102" s="63" t="s">
        <v>16</v>
      </c>
      <c r="C102" s="63" t="s">
        <v>2352</v>
      </c>
      <c r="D102" s="63" t="s">
        <v>2353</v>
      </c>
      <c r="E102" s="63" t="s">
        <v>2354</v>
      </c>
      <c r="F102" s="63" t="s">
        <v>2355</v>
      </c>
      <c r="G102" s="63" t="s">
        <v>2356</v>
      </c>
      <c r="H102" s="63" t="s">
        <v>22</v>
      </c>
      <c r="I102" s="63" t="s">
        <v>902</v>
      </c>
    </row>
    <row r="103" ht="11.25" customHeight="1">
      <c r="A103" s="63" t="s">
        <v>2276</v>
      </c>
      <c r="B103" s="63" t="s">
        <v>16</v>
      </c>
      <c r="C103" s="63" t="s">
        <v>2456</v>
      </c>
      <c r="D103" s="63" t="s">
        <v>2457</v>
      </c>
      <c r="E103" s="63" t="s">
        <v>2458</v>
      </c>
      <c r="F103" s="63" t="s">
        <v>2379</v>
      </c>
      <c r="G103" s="63" t="s">
        <v>2459</v>
      </c>
      <c r="H103" s="63" t="s">
        <v>22</v>
      </c>
      <c r="I103" s="63" t="s">
        <v>902</v>
      </c>
    </row>
    <row r="104" ht="11.25" customHeight="1">
      <c r="A104" s="63" t="s">
        <v>2276</v>
      </c>
      <c r="B104" s="63" t="s">
        <v>16</v>
      </c>
      <c r="C104" s="63" t="s">
        <v>2460</v>
      </c>
      <c r="D104" s="63" t="s">
        <v>2461</v>
      </c>
      <c r="E104" s="63" t="s">
        <v>2462</v>
      </c>
      <c r="F104" s="63" t="s">
        <v>2443</v>
      </c>
      <c r="G104" s="63" t="s">
        <v>2463</v>
      </c>
      <c r="H104" s="63" t="s">
        <v>22</v>
      </c>
      <c r="I104" s="63" t="s">
        <v>902</v>
      </c>
    </row>
    <row r="105" ht="11.25" customHeight="1">
      <c r="A105" s="63" t="s">
        <v>2276</v>
      </c>
      <c r="B105" s="63" t="s">
        <v>16</v>
      </c>
      <c r="C105" s="63" t="s">
        <v>2365</v>
      </c>
      <c r="D105" s="63" t="s">
        <v>2366</v>
      </c>
      <c r="E105" s="63" t="s">
        <v>2367</v>
      </c>
      <c r="F105" s="63" t="s">
        <v>2355</v>
      </c>
      <c r="G105" s="63" t="s">
        <v>2368</v>
      </c>
      <c r="H105" s="63" t="s">
        <v>22</v>
      </c>
      <c r="I105" s="63" t="s">
        <v>902</v>
      </c>
    </row>
    <row r="106" ht="11.25" customHeight="1">
      <c r="A106" s="63" t="s">
        <v>2276</v>
      </c>
      <c r="B106" s="63" t="s">
        <v>16</v>
      </c>
      <c r="C106" s="63" t="s">
        <v>2464</v>
      </c>
      <c r="D106" s="63" t="s">
        <v>2465</v>
      </c>
      <c r="E106" s="63" t="s">
        <v>2466</v>
      </c>
      <c r="F106" s="63" t="s">
        <v>2295</v>
      </c>
      <c r="G106" s="63" t="s">
        <v>22</v>
      </c>
      <c r="H106" s="63" t="s">
        <v>22</v>
      </c>
      <c r="I106" s="63" t="s">
        <v>902</v>
      </c>
    </row>
    <row r="107" ht="11.25" customHeight="1">
      <c r="A107" s="63" t="s">
        <v>2276</v>
      </c>
      <c r="B107" s="63" t="s">
        <v>16</v>
      </c>
      <c r="C107" s="63" t="s">
        <v>2369</v>
      </c>
      <c r="D107" s="63" t="s">
        <v>2370</v>
      </c>
      <c r="E107" s="63" t="s">
        <v>2371</v>
      </c>
      <c r="F107" s="63" t="s">
        <v>2305</v>
      </c>
      <c r="G107" s="63" t="s">
        <v>2372</v>
      </c>
      <c r="H107" s="63" t="s">
        <v>22</v>
      </c>
      <c r="I107" s="63" t="s">
        <v>902</v>
      </c>
    </row>
    <row r="108" ht="11.25" customHeight="1">
      <c r="A108" s="63" t="s">
        <v>2276</v>
      </c>
      <c r="B108" s="63" t="s">
        <v>16</v>
      </c>
      <c r="C108" s="63" t="s">
        <v>2376</v>
      </c>
      <c r="D108" s="63" t="s">
        <v>2377</v>
      </c>
      <c r="E108" s="63" t="s">
        <v>2378</v>
      </c>
      <c r="F108" s="63" t="s">
        <v>2379</v>
      </c>
      <c r="G108" s="63" t="s">
        <v>2380</v>
      </c>
      <c r="H108" s="63" t="s">
        <v>22</v>
      </c>
      <c r="I108" s="63" t="s">
        <v>902</v>
      </c>
    </row>
    <row r="109" ht="11.25" customHeight="1">
      <c r="A109" s="63" t="s">
        <v>2276</v>
      </c>
      <c r="B109" s="63" t="s">
        <v>16</v>
      </c>
      <c r="C109" s="63" t="s">
        <v>2381</v>
      </c>
      <c r="D109" s="63" t="s">
        <v>2382</v>
      </c>
      <c r="E109" s="63" t="s">
        <v>2383</v>
      </c>
      <c r="F109" s="63" t="s">
        <v>2305</v>
      </c>
      <c r="G109" s="63" t="s">
        <v>2384</v>
      </c>
      <c r="H109" s="63" t="s">
        <v>22</v>
      </c>
      <c r="I109" s="63" t="s">
        <v>902</v>
      </c>
    </row>
    <row r="110" ht="11.25" customHeight="1">
      <c r="A110" s="63" t="s">
        <v>2276</v>
      </c>
      <c r="B110" s="63" t="s">
        <v>16</v>
      </c>
      <c r="C110" s="63" t="s">
        <v>2396</v>
      </c>
      <c r="D110" s="63" t="s">
        <v>2397</v>
      </c>
      <c r="E110" s="63" t="s">
        <v>2398</v>
      </c>
      <c r="F110" s="63" t="s">
        <v>2399</v>
      </c>
      <c r="G110" s="63" t="s">
        <v>22</v>
      </c>
      <c r="H110" s="63" t="s">
        <v>22</v>
      </c>
      <c r="I110" s="63" t="s">
        <v>902</v>
      </c>
    </row>
    <row r="111" ht="11.25" customHeight="1">
      <c r="A111" s="63" t="s">
        <v>2276</v>
      </c>
      <c r="B111" s="63" t="s">
        <v>16</v>
      </c>
      <c r="C111" s="63" t="s">
        <v>2400</v>
      </c>
      <c r="D111" s="63" t="s">
        <v>2401</v>
      </c>
      <c r="E111" s="63" t="s">
        <v>2402</v>
      </c>
      <c r="F111" s="63" t="s">
        <v>2403</v>
      </c>
      <c r="G111" s="63" t="s">
        <v>22</v>
      </c>
      <c r="H111" s="63" t="s">
        <v>22</v>
      </c>
      <c r="I111" s="63" t="s">
        <v>902</v>
      </c>
    </row>
    <row r="112" ht="11.25" customHeight="1">
      <c r="A112" s="63" t="s">
        <v>2276</v>
      </c>
      <c r="B112" s="63" t="s">
        <v>16</v>
      </c>
      <c r="C112" s="63" t="s">
        <v>2404</v>
      </c>
      <c r="D112" s="63" t="s">
        <v>2405</v>
      </c>
      <c r="E112" s="63" t="s">
        <v>2402</v>
      </c>
      <c r="F112" s="63" t="s">
        <v>2406</v>
      </c>
      <c r="G112" s="63" t="s">
        <v>2407</v>
      </c>
      <c r="H112" s="63" t="s">
        <v>22</v>
      </c>
      <c r="I112" s="63" t="s">
        <v>902</v>
      </c>
    </row>
    <row r="113" ht="11.25" customHeight="1">
      <c r="A113" s="63" t="s">
        <v>2276</v>
      </c>
      <c r="B113" s="63" t="s">
        <v>16</v>
      </c>
      <c r="C113" s="63" t="s">
        <v>2467</v>
      </c>
      <c r="D113" s="63" t="s">
        <v>2468</v>
      </c>
      <c r="E113" s="63" t="s">
        <v>2469</v>
      </c>
      <c r="F113" s="63" t="s">
        <v>2290</v>
      </c>
      <c r="G113" s="63" t="s">
        <v>2470</v>
      </c>
      <c r="H113" s="63" t="s">
        <v>2471</v>
      </c>
      <c r="I113" s="63" t="s">
        <v>902</v>
      </c>
    </row>
    <row r="114" ht="11.25" customHeight="1">
      <c r="A114" s="63" t="s">
        <v>2276</v>
      </c>
      <c r="B114" s="63" t="s">
        <v>16</v>
      </c>
      <c r="C114" s="63" t="s">
        <v>2472</v>
      </c>
      <c r="D114" s="63" t="s">
        <v>2473</v>
      </c>
      <c r="E114" s="63" t="s">
        <v>2474</v>
      </c>
      <c r="F114" s="63" t="s">
        <v>2305</v>
      </c>
      <c r="G114" s="63" t="s">
        <v>22</v>
      </c>
      <c r="H114" s="63" t="s">
        <v>22</v>
      </c>
      <c r="I114" s="63" t="s">
        <v>1657</v>
      </c>
    </row>
    <row r="115" ht="11.25" customHeight="1">
      <c r="A115" s="63" t="s">
        <v>2276</v>
      </c>
      <c r="B115" s="63" t="s">
        <v>16</v>
      </c>
      <c r="C115" s="63" t="s">
        <v>22</v>
      </c>
      <c r="D115" s="63" t="s">
        <v>2307</v>
      </c>
      <c r="E115" s="63" t="s">
        <v>2308</v>
      </c>
      <c r="F115" s="63" t="s">
        <v>2295</v>
      </c>
      <c r="G115" s="63" t="s">
        <v>22</v>
      </c>
      <c r="H115" s="63" t="s">
        <v>22</v>
      </c>
      <c r="I115" s="63" t="s">
        <v>1657</v>
      </c>
    </row>
    <row r="116" ht="11.25" customHeight="1">
      <c r="A116" s="63" t="s">
        <v>2276</v>
      </c>
      <c r="B116" s="63" t="s">
        <v>16</v>
      </c>
      <c r="C116" s="63" t="s">
        <v>2475</v>
      </c>
      <c r="D116" s="63" t="s">
        <v>2476</v>
      </c>
      <c r="E116" s="63" t="s">
        <v>2477</v>
      </c>
      <c r="F116" s="63" t="s">
        <v>2295</v>
      </c>
      <c r="G116" s="63" t="s">
        <v>22</v>
      </c>
      <c r="H116" s="63" t="s">
        <v>22</v>
      </c>
      <c r="I116" s="63" t="s">
        <v>1657</v>
      </c>
    </row>
    <row r="117" ht="11.25" customHeight="1">
      <c r="A117" s="63" t="s">
        <v>2276</v>
      </c>
      <c r="B117" s="63" t="s">
        <v>16</v>
      </c>
      <c r="C117" s="63" t="s">
        <v>2478</v>
      </c>
      <c r="D117" s="63" t="s">
        <v>2479</v>
      </c>
      <c r="E117" s="63" t="s">
        <v>2480</v>
      </c>
      <c r="F117" s="63" t="s">
        <v>2443</v>
      </c>
      <c r="G117" s="63" t="s">
        <v>2481</v>
      </c>
      <c r="H117" s="63" t="s">
        <v>22</v>
      </c>
      <c r="I117" s="63" t="s">
        <v>1657</v>
      </c>
    </row>
    <row r="118" ht="11.25" customHeight="1">
      <c r="A118" s="63" t="s">
        <v>2276</v>
      </c>
      <c r="B118" s="63" t="s">
        <v>16</v>
      </c>
      <c r="C118" s="63" t="s">
        <v>2482</v>
      </c>
      <c r="D118" s="63" t="s">
        <v>2479</v>
      </c>
      <c r="E118" s="63" t="s">
        <v>2483</v>
      </c>
      <c r="F118" s="63" t="s">
        <v>2295</v>
      </c>
      <c r="G118" s="63" t="s">
        <v>22</v>
      </c>
      <c r="H118" s="63" t="s">
        <v>22</v>
      </c>
      <c r="I118" s="63" t="s">
        <v>1657</v>
      </c>
    </row>
    <row r="119" ht="11.25" customHeight="1">
      <c r="A119" s="63" t="s">
        <v>2276</v>
      </c>
      <c r="B119" s="63" t="s">
        <v>16</v>
      </c>
      <c r="C119" s="63" t="s">
        <v>2484</v>
      </c>
      <c r="D119" s="63" t="s">
        <v>2479</v>
      </c>
      <c r="E119" s="63" t="s">
        <v>2483</v>
      </c>
      <c r="F119" s="63" t="s">
        <v>2346</v>
      </c>
      <c r="G119" s="63" t="s">
        <v>22</v>
      </c>
      <c r="H119" s="63" t="s">
        <v>22</v>
      </c>
      <c r="I119" s="63" t="s">
        <v>1657</v>
      </c>
    </row>
    <row r="120" ht="11.25" customHeight="1">
      <c r="A120" s="63" t="s">
        <v>2276</v>
      </c>
      <c r="B120" s="63" t="s">
        <v>16</v>
      </c>
      <c r="C120" s="63" t="s">
        <v>2385</v>
      </c>
      <c r="D120" s="63" t="s">
        <v>2386</v>
      </c>
      <c r="E120" s="63" t="s">
        <v>2387</v>
      </c>
      <c r="F120" s="63" t="s">
        <v>2355</v>
      </c>
      <c r="G120" s="63" t="s">
        <v>2388</v>
      </c>
      <c r="H120" s="63" t="s">
        <v>22</v>
      </c>
      <c r="I120" s="63" t="s">
        <v>1657</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2485</v>
      </c>
      <c r="B1" s="183" t="s">
        <v>2486</v>
      </c>
      <c r="C1" s="183" t="s">
        <v>2487</v>
      </c>
      <c r="D1" s="183" t="s">
        <v>2488</v>
      </c>
      <c r="E1" s="183" t="s">
        <v>2489</v>
      </c>
      <c r="F1" s="183" t="s">
        <v>2490</v>
      </c>
      <c r="G1" s="183" t="s">
        <v>2491</v>
      </c>
    </row>
    <row r="2" ht="11.25" customHeight="1">
      <c r="A2" s="63" t="s">
        <v>16</v>
      </c>
      <c r="B2" t="s">
        <v>2492</v>
      </c>
      <c r="C2" t="s">
        <v>2493</v>
      </c>
      <c r="D2" t="s">
        <v>2492</v>
      </c>
      <c r="E2" t="s">
        <v>2493</v>
      </c>
      <c r="F2" t="s">
        <v>2494</v>
      </c>
      <c r="G2" t="s">
        <v>106</v>
      </c>
    </row>
    <row r="3" ht="11.25" customHeight="1">
      <c r="A3" s="63" t="s">
        <v>16</v>
      </c>
      <c r="B3" t="s">
        <v>2492</v>
      </c>
      <c r="C3" t="s">
        <v>2493</v>
      </c>
      <c r="D3" t="s">
        <v>2495</v>
      </c>
      <c r="E3" t="s">
        <v>2496</v>
      </c>
      <c r="F3" t="s">
        <v>2497</v>
      </c>
      <c r="G3" t="s">
        <v>107</v>
      </c>
    </row>
    <row r="4" ht="11.25" customHeight="1">
      <c r="A4" s="63" t="s">
        <v>16</v>
      </c>
      <c r="B4" t="s">
        <v>2492</v>
      </c>
      <c r="C4" t="s">
        <v>2493</v>
      </c>
      <c r="D4" t="s">
        <v>2498</v>
      </c>
      <c r="E4" t="s">
        <v>2499</v>
      </c>
      <c r="F4" t="s">
        <v>2497</v>
      </c>
      <c r="G4" t="s">
        <v>90</v>
      </c>
    </row>
    <row r="5" ht="11.25" customHeight="1">
      <c r="A5" s="63" t="s">
        <v>16</v>
      </c>
      <c r="B5" t="s">
        <v>2492</v>
      </c>
      <c r="C5" t="s">
        <v>2493</v>
      </c>
      <c r="D5" t="s">
        <v>2500</v>
      </c>
      <c r="E5" t="s">
        <v>2501</v>
      </c>
      <c r="F5" t="s">
        <v>2497</v>
      </c>
      <c r="G5" t="s">
        <v>91</v>
      </c>
    </row>
    <row r="6" ht="11.25" customHeight="1">
      <c r="A6" s="63" t="s">
        <v>16</v>
      </c>
      <c r="B6" t="s">
        <v>2492</v>
      </c>
      <c r="C6" t="s">
        <v>2493</v>
      </c>
      <c r="D6" t="s">
        <v>2502</v>
      </c>
      <c r="E6" t="s">
        <v>2503</v>
      </c>
      <c r="F6" t="s">
        <v>2497</v>
      </c>
      <c r="G6" t="s">
        <v>108</v>
      </c>
    </row>
    <row r="7" ht="11.25" customHeight="1">
      <c r="A7" s="63" t="s">
        <v>16</v>
      </c>
      <c r="B7" t="s">
        <v>2492</v>
      </c>
      <c r="C7" t="s">
        <v>2493</v>
      </c>
      <c r="D7" t="s">
        <v>2504</v>
      </c>
      <c r="E7" t="s">
        <v>2505</v>
      </c>
      <c r="F7" t="s">
        <v>2497</v>
      </c>
      <c r="G7" t="s">
        <v>92</v>
      </c>
    </row>
    <row r="8" ht="11.25" customHeight="1">
      <c r="A8" s="63" t="s">
        <v>16</v>
      </c>
      <c r="B8" t="s">
        <v>2492</v>
      </c>
      <c r="C8" t="s">
        <v>2493</v>
      </c>
      <c r="D8" t="s">
        <v>2506</v>
      </c>
      <c r="E8" t="s">
        <v>2507</v>
      </c>
      <c r="F8" t="s">
        <v>2497</v>
      </c>
      <c r="G8" t="s">
        <v>93</v>
      </c>
    </row>
    <row r="9" ht="11.25" customHeight="1">
      <c r="A9" s="63" t="s">
        <v>16</v>
      </c>
      <c r="B9" t="s">
        <v>1027</v>
      </c>
      <c r="C9" t="s">
        <v>1028</v>
      </c>
      <c r="D9" t="s">
        <v>1027</v>
      </c>
      <c r="E9" t="s">
        <v>1028</v>
      </c>
      <c r="F9" t="s">
        <v>2508</v>
      </c>
      <c r="G9" t="s">
        <v>109</v>
      </c>
    </row>
    <row r="10" ht="11.25" customHeight="1">
      <c r="A10" s="63" t="s">
        <v>16</v>
      </c>
      <c r="B10" t="s">
        <v>2509</v>
      </c>
      <c r="C10" t="s">
        <v>2510</v>
      </c>
      <c r="D10" t="s">
        <v>2511</v>
      </c>
      <c r="E10" t="s">
        <v>2512</v>
      </c>
      <c r="F10" t="s">
        <v>2497</v>
      </c>
      <c r="G10" t="s">
        <v>145</v>
      </c>
    </row>
    <row r="11" ht="11.25" customHeight="1">
      <c r="A11" s="63" t="s">
        <v>16</v>
      </c>
      <c r="B11" t="s">
        <v>2509</v>
      </c>
      <c r="C11" t="s">
        <v>2510</v>
      </c>
      <c r="D11" t="s">
        <v>2513</v>
      </c>
      <c r="E11" t="s">
        <v>2514</v>
      </c>
      <c r="F11" t="s">
        <v>2497</v>
      </c>
      <c r="G11" t="s">
        <v>146</v>
      </c>
    </row>
    <row r="12" ht="11.25" customHeight="1">
      <c r="A12" s="63" t="s">
        <v>16</v>
      </c>
      <c r="B12" t="s">
        <v>2509</v>
      </c>
      <c r="C12" t="s">
        <v>2510</v>
      </c>
      <c r="D12" t="s">
        <v>2515</v>
      </c>
      <c r="E12" t="s">
        <v>2516</v>
      </c>
      <c r="F12" t="s">
        <v>2497</v>
      </c>
      <c r="G12" t="s">
        <v>147</v>
      </c>
    </row>
    <row r="13" ht="11.25" customHeight="1">
      <c r="A13" s="63" t="s">
        <v>16</v>
      </c>
      <c r="B13" t="s">
        <v>2509</v>
      </c>
      <c r="C13" t="s">
        <v>2510</v>
      </c>
      <c r="D13" t="s">
        <v>2517</v>
      </c>
      <c r="E13" t="s">
        <v>2518</v>
      </c>
      <c r="F13" t="s">
        <v>2497</v>
      </c>
      <c r="G13" t="s">
        <v>148</v>
      </c>
    </row>
    <row r="14" ht="11.25" customHeight="1">
      <c r="A14" s="63" t="s">
        <v>16</v>
      </c>
      <c r="B14" t="s">
        <v>2509</v>
      </c>
      <c r="C14" t="s">
        <v>2510</v>
      </c>
      <c r="D14" t="s">
        <v>2509</v>
      </c>
      <c r="E14" t="s">
        <v>2510</v>
      </c>
      <c r="F14" t="s">
        <v>2494</v>
      </c>
      <c r="G14" t="s">
        <v>149</v>
      </c>
    </row>
    <row r="15" ht="11.25" customHeight="1">
      <c r="A15" s="63" t="s">
        <v>16</v>
      </c>
      <c r="B15" t="s">
        <v>2509</v>
      </c>
      <c r="C15" t="s">
        <v>2510</v>
      </c>
      <c r="D15" t="s">
        <v>2519</v>
      </c>
      <c r="E15" t="s">
        <v>2520</v>
      </c>
      <c r="F15" t="s">
        <v>2497</v>
      </c>
      <c r="G15" t="s">
        <v>150</v>
      </c>
    </row>
    <row r="16" ht="11.25" customHeight="1">
      <c r="A16" s="63" t="s">
        <v>16</v>
      </c>
      <c r="B16" t="s">
        <v>2521</v>
      </c>
      <c r="C16" t="s">
        <v>2522</v>
      </c>
      <c r="D16" t="s">
        <v>2523</v>
      </c>
      <c r="E16" t="s">
        <v>2524</v>
      </c>
      <c r="F16" t="s">
        <v>2525</v>
      </c>
      <c r="G16" t="s">
        <v>1502</v>
      </c>
    </row>
    <row r="17" ht="11.25" customHeight="1">
      <c r="A17" s="63" t="s">
        <v>16</v>
      </c>
      <c r="B17" t="s">
        <v>2521</v>
      </c>
      <c r="C17" t="s">
        <v>2522</v>
      </c>
      <c r="D17" t="s">
        <v>2526</v>
      </c>
      <c r="E17" t="s">
        <v>2527</v>
      </c>
      <c r="F17" t="s">
        <v>2525</v>
      </c>
      <c r="G17" t="s">
        <v>1507</v>
      </c>
    </row>
    <row r="18" ht="11.25" customHeight="1">
      <c r="A18" s="63" t="s">
        <v>16</v>
      </c>
      <c r="B18" t="s">
        <v>2521</v>
      </c>
      <c r="C18" t="s">
        <v>2522</v>
      </c>
      <c r="D18" t="s">
        <v>2528</v>
      </c>
      <c r="E18" t="s">
        <v>2529</v>
      </c>
      <c r="F18" t="s">
        <v>2525</v>
      </c>
      <c r="G18" t="s">
        <v>1518</v>
      </c>
    </row>
    <row r="19" ht="11.25" customHeight="1">
      <c r="A19" s="63" t="s">
        <v>16</v>
      </c>
      <c r="B19" t="s">
        <v>2521</v>
      </c>
      <c r="C19" t="s">
        <v>2522</v>
      </c>
      <c r="D19" t="s">
        <v>2530</v>
      </c>
      <c r="E19" t="s">
        <v>2531</v>
      </c>
      <c r="F19" t="s">
        <v>2525</v>
      </c>
      <c r="G19" t="s">
        <v>1532</v>
      </c>
    </row>
    <row r="20" ht="11.25" customHeight="1">
      <c r="A20" s="63" t="s">
        <v>16</v>
      </c>
      <c r="B20" t="s">
        <v>2521</v>
      </c>
      <c r="C20" t="s">
        <v>2522</v>
      </c>
      <c r="D20" t="s">
        <v>2521</v>
      </c>
      <c r="E20" t="s">
        <v>2522</v>
      </c>
      <c r="F20" t="s">
        <v>2494</v>
      </c>
      <c r="G20" t="s">
        <v>1544</v>
      </c>
    </row>
    <row r="21" ht="11.25" customHeight="1">
      <c r="A21" s="63" t="s">
        <v>16</v>
      </c>
      <c r="B21" t="s">
        <v>2521</v>
      </c>
      <c r="C21" t="s">
        <v>2522</v>
      </c>
      <c r="D21" t="s">
        <v>2532</v>
      </c>
      <c r="E21" t="s">
        <v>2533</v>
      </c>
      <c r="F21" t="s">
        <v>2534</v>
      </c>
      <c r="G21" t="s">
        <v>1553</v>
      </c>
    </row>
    <row r="22" ht="11.25" customHeight="1">
      <c r="A22" s="63" t="s">
        <v>16</v>
      </c>
      <c r="B22" t="s">
        <v>2521</v>
      </c>
      <c r="C22" t="s">
        <v>2522</v>
      </c>
      <c r="D22" t="s">
        <v>2535</v>
      </c>
      <c r="E22" t="s">
        <v>2536</v>
      </c>
      <c r="F22" t="s">
        <v>2497</v>
      </c>
      <c r="G22" t="s">
        <v>1569</v>
      </c>
    </row>
    <row r="23" ht="11.25" customHeight="1">
      <c r="A23" s="63" t="s">
        <v>16</v>
      </c>
      <c r="B23" t="s">
        <v>2521</v>
      </c>
      <c r="C23" t="s">
        <v>2522</v>
      </c>
      <c r="D23" t="s">
        <v>2537</v>
      </c>
      <c r="E23" t="s">
        <v>2538</v>
      </c>
      <c r="F23" t="s">
        <v>2525</v>
      </c>
      <c r="G23" t="s">
        <v>1576</v>
      </c>
    </row>
    <row r="24" ht="11.25" customHeight="1">
      <c r="A24" s="63" t="s">
        <v>16</v>
      </c>
      <c r="B24" t="s">
        <v>2539</v>
      </c>
      <c r="C24" t="s">
        <v>2540</v>
      </c>
      <c r="D24" t="s">
        <v>2541</v>
      </c>
      <c r="E24" t="s">
        <v>2542</v>
      </c>
      <c r="F24" t="s">
        <v>2497</v>
      </c>
      <c r="G24" t="s">
        <v>1584</v>
      </c>
    </row>
    <row r="25" ht="11.25" customHeight="1">
      <c r="A25" s="63" t="s">
        <v>16</v>
      </c>
      <c r="B25" t="s">
        <v>2539</v>
      </c>
      <c r="C25" t="s">
        <v>2540</v>
      </c>
      <c r="D25" t="s">
        <v>2543</v>
      </c>
      <c r="E25" t="s">
        <v>2544</v>
      </c>
      <c r="F25" t="s">
        <v>2497</v>
      </c>
      <c r="G25" t="s">
        <v>1591</v>
      </c>
    </row>
    <row r="26" ht="11.25" customHeight="1">
      <c r="A26" s="63" t="s">
        <v>16</v>
      </c>
      <c r="B26" t="s">
        <v>2539</v>
      </c>
      <c r="C26" t="s">
        <v>2540</v>
      </c>
      <c r="D26" t="s">
        <v>2539</v>
      </c>
      <c r="E26" t="s">
        <v>2540</v>
      </c>
      <c r="F26" t="s">
        <v>2494</v>
      </c>
      <c r="G26" t="s">
        <v>1595</v>
      </c>
    </row>
    <row r="27" ht="11.25" customHeight="1">
      <c r="A27" s="63" t="s">
        <v>16</v>
      </c>
      <c r="B27" t="s">
        <v>2539</v>
      </c>
      <c r="C27" t="s">
        <v>2540</v>
      </c>
      <c r="D27" t="s">
        <v>2545</v>
      </c>
      <c r="E27" t="s">
        <v>2546</v>
      </c>
      <c r="F27" t="s">
        <v>2497</v>
      </c>
      <c r="G27" t="s">
        <v>1600</v>
      </c>
    </row>
    <row r="28" ht="11.25" customHeight="1">
      <c r="A28" s="63" t="s">
        <v>16</v>
      </c>
      <c r="B28" t="s">
        <v>2547</v>
      </c>
      <c r="C28" t="s">
        <v>2548</v>
      </c>
      <c r="D28" t="s">
        <v>2549</v>
      </c>
      <c r="E28" t="s">
        <v>2550</v>
      </c>
      <c r="F28" t="s">
        <v>2525</v>
      </c>
      <c r="G28" t="s">
        <v>1608</v>
      </c>
    </row>
    <row r="29" ht="11.25" customHeight="1">
      <c r="A29" s="63" t="s">
        <v>16</v>
      </c>
      <c r="B29" t="s">
        <v>2547</v>
      </c>
      <c r="C29" t="s">
        <v>2548</v>
      </c>
      <c r="D29" t="s">
        <v>2551</v>
      </c>
      <c r="E29" t="s">
        <v>2552</v>
      </c>
      <c r="F29" t="s">
        <v>2497</v>
      </c>
      <c r="G29" t="s">
        <v>1610</v>
      </c>
    </row>
    <row r="30" ht="11.25" customHeight="1">
      <c r="A30" s="63" t="s">
        <v>16</v>
      </c>
      <c r="B30" t="s">
        <v>2547</v>
      </c>
      <c r="C30" t="s">
        <v>2548</v>
      </c>
      <c r="D30" t="s">
        <v>2553</v>
      </c>
      <c r="E30" t="s">
        <v>2554</v>
      </c>
      <c r="F30" t="s">
        <v>2497</v>
      </c>
      <c r="G30" t="s">
        <v>1613</v>
      </c>
    </row>
    <row r="31" ht="11.25" customHeight="1">
      <c r="A31" s="63" t="s">
        <v>16</v>
      </c>
      <c r="B31" t="s">
        <v>2547</v>
      </c>
      <c r="C31" t="s">
        <v>2548</v>
      </c>
      <c r="D31" t="s">
        <v>2555</v>
      </c>
      <c r="E31" t="s">
        <v>2556</v>
      </c>
      <c r="F31" t="s">
        <v>2525</v>
      </c>
      <c r="G31" t="s">
        <v>1619</v>
      </c>
    </row>
    <row r="32" ht="11.25" customHeight="1">
      <c r="A32" s="63" t="s">
        <v>16</v>
      </c>
      <c r="B32" t="s">
        <v>2547</v>
      </c>
      <c r="C32" t="s">
        <v>2548</v>
      </c>
      <c r="D32" t="s">
        <v>2557</v>
      </c>
      <c r="E32" t="s">
        <v>2558</v>
      </c>
      <c r="F32" t="s">
        <v>2525</v>
      </c>
      <c r="G32" t="s">
        <v>1621</v>
      </c>
    </row>
    <row r="33" ht="11.25" customHeight="1">
      <c r="A33" s="63" t="s">
        <v>16</v>
      </c>
      <c r="B33" t="s">
        <v>2547</v>
      </c>
      <c r="C33" t="s">
        <v>2548</v>
      </c>
      <c r="D33" t="s">
        <v>2547</v>
      </c>
      <c r="E33" t="s">
        <v>2548</v>
      </c>
      <c r="F33" t="s">
        <v>2494</v>
      </c>
      <c r="G33" t="s">
        <v>1623</v>
      </c>
    </row>
    <row r="34" ht="11.25" customHeight="1">
      <c r="A34" s="63" t="s">
        <v>16</v>
      </c>
      <c r="B34" t="s">
        <v>2547</v>
      </c>
      <c r="C34" t="s">
        <v>2548</v>
      </c>
      <c r="D34" t="s">
        <v>2559</v>
      </c>
      <c r="E34" t="s">
        <v>2560</v>
      </c>
      <c r="F34" t="s">
        <v>2525</v>
      </c>
      <c r="G34" t="s">
        <v>1625</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83" width="13.8515625"/>
    <col customWidth="1" min="2" max="2" style="783" width="10.421875"/>
    <col customWidth="1" min="3" max="3" style="783" width="7.57421875"/>
    <col customWidth="1" min="4" max="4" style="783" width="13.8515625"/>
    <col customWidth="1" min="5" max="5" style="783" width="11.57421875"/>
    <col customWidth="1" min="6" max="6" style="783" width="16.28125"/>
    <col customWidth="1" min="7" max="7" style="783" width="16.00390625"/>
    <col customWidth="1" min="8" max="9" style="783" width="16.140625"/>
  </cols>
  <sheetData>
    <row r="1" ht="11.25" customHeight="1">
      <c r="A1" s="783" t="s">
        <v>2561</v>
      </c>
      <c r="B1" s="783" t="s">
        <v>2562</v>
      </c>
      <c r="C1" s="783" t="s">
        <v>2563</v>
      </c>
      <c r="D1" s="783" t="s">
        <v>2564</v>
      </c>
      <c r="E1" s="783" t="s">
        <v>2565</v>
      </c>
      <c r="F1" s="783" t="s">
        <v>2566</v>
      </c>
      <c r="G1" s="783" t="s">
        <v>2567</v>
      </c>
      <c r="H1" s="783" t="s">
        <v>2568</v>
      </c>
      <c r="I1" s="783" t="s">
        <v>2569</v>
      </c>
    </row>
    <row r="2" ht="11.25" customHeight="1">
      <c r="A2" s="783" t="s">
        <v>106</v>
      </c>
      <c r="B2" s="783" t="s">
        <v>980</v>
      </c>
      <c r="C2" s="783" t="s">
        <v>2570</v>
      </c>
      <c r="D2" s="783" t="s">
        <v>984</v>
      </c>
      <c r="E2" s="783" t="s">
        <v>985</v>
      </c>
      <c r="F2" s="783" t="s">
        <v>2571</v>
      </c>
      <c r="G2" s="783" t="s">
        <v>987</v>
      </c>
      <c r="H2" s="783" t="s">
        <v>988</v>
      </c>
      <c r="I2" s="783" t="s">
        <v>984</v>
      </c>
    </row>
    <row r="3" ht="11.25" customHeight="1">
      <c r="A3" s="783" t="s">
        <v>107</v>
      </c>
      <c r="B3" s="783" t="s">
        <v>2572</v>
      </c>
      <c r="C3" s="783" t="s">
        <v>2573</v>
      </c>
      <c r="D3" s="783" t="s">
        <v>2574</v>
      </c>
      <c r="E3" s="783" t="s">
        <v>2575</v>
      </c>
      <c r="F3" s="783" t="s">
        <v>2576</v>
      </c>
      <c r="G3" s="783" t="s">
        <v>987</v>
      </c>
      <c r="H3" s="783" t="s">
        <v>2577</v>
      </c>
      <c r="I3" s="783" t="s">
        <v>2578</v>
      </c>
    </row>
    <row r="4" ht="11.25" customHeight="1">
      <c r="A4" s="783" t="s">
        <v>90</v>
      </c>
      <c r="B4" s="783" t="s">
        <v>2579</v>
      </c>
      <c r="C4" s="783" t="s">
        <v>2580</v>
      </c>
      <c r="D4" s="783" t="s">
        <v>2574</v>
      </c>
      <c r="E4" s="783" t="s">
        <v>2575</v>
      </c>
      <c r="F4" s="783" t="s">
        <v>2576</v>
      </c>
      <c r="G4" s="783" t="s">
        <v>987</v>
      </c>
      <c r="H4" s="783" t="s">
        <v>2577</v>
      </c>
      <c r="I4" s="783" t="s">
        <v>2578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2270</v>
      </c>
      <c r="B1" t="s">
        <v>2271</v>
      </c>
      <c r="C1" t="s">
        <v>2272</v>
      </c>
      <c r="D1" t="s">
        <v>2581</v>
      </c>
      <c r="E1" t="s">
        <v>2582</v>
      </c>
      <c r="F1" t="s">
        <v>2583</v>
      </c>
      <c r="G1" t="s">
        <v>2584</v>
      </c>
      <c r="H1" t="s">
        <v>2585</v>
      </c>
      <c r="I1" t="s">
        <v>2586</v>
      </c>
      <c r="J1" t="s">
        <v>2587</v>
      </c>
      <c r="K1" t="s">
        <v>2588</v>
      </c>
      <c r="L1" t="s">
        <v>2589</v>
      </c>
      <c r="M1" t="s">
        <v>2590</v>
      </c>
      <c r="N1" t="s">
        <v>2591</v>
      </c>
      <c r="O1" t="s">
        <v>2486</v>
      </c>
      <c r="P1" t="s">
        <v>2488</v>
      </c>
      <c r="Q1" t="s">
        <v>2489</v>
      </c>
      <c r="R1" t="s">
        <v>2592</v>
      </c>
      <c r="S1" t="s">
        <v>2593</v>
      </c>
      <c r="T1" t="s">
        <v>2594</v>
      </c>
      <c r="U1" t="s">
        <v>2595</v>
      </c>
      <c r="V1" t="s">
        <v>2596</v>
      </c>
      <c r="W1" t="s">
        <v>2597</v>
      </c>
      <c r="X1" t="s">
        <v>2598</v>
      </c>
      <c r="Y1" t="s">
        <v>2599</v>
      </c>
      <c r="Z1" t="s">
        <v>2600</v>
      </c>
      <c r="AA1" t="s">
        <v>2601</v>
      </c>
      <c r="AB1" t="s">
        <v>2602</v>
      </c>
      <c r="AC1" t="s">
        <v>2603</v>
      </c>
      <c r="AD1" t="s">
        <v>2604</v>
      </c>
      <c r="AE1" t="s">
        <v>2605</v>
      </c>
      <c r="AF1" t="s">
        <v>2606</v>
      </c>
      <c r="AG1" t="s">
        <v>2607</v>
      </c>
      <c r="AH1" t="s">
        <v>2608</v>
      </c>
      <c r="AI1" t="s">
        <v>2609</v>
      </c>
      <c r="AJ1" t="s">
        <v>2610</v>
      </c>
      <c r="AK1" t="s">
        <v>2611</v>
      </c>
      <c r="AL1" t="s">
        <v>2612</v>
      </c>
    </row>
    <row r="2" ht="11.25" customHeight="1">
      <c r="A2" t="s">
        <v>22</v>
      </c>
      <c r="B2" t="s">
        <v>48</v>
      </c>
      <c r="C2" t="s">
        <v>50</v>
      </c>
      <c r="D2" t="s">
        <v>22</v>
      </c>
      <c r="E2" t="s">
        <v>1025</v>
      </c>
      <c r="F2" t="s">
        <v>1026</v>
      </c>
      <c r="G2" t="s">
        <v>1027</v>
      </c>
      <c r="H2" t="s">
        <v>1027</v>
      </c>
      <c r="I2" t="s">
        <v>1028</v>
      </c>
      <c r="J2" t="s">
        <v>1029</v>
      </c>
      <c r="K2" t="s">
        <v>1030</v>
      </c>
      <c r="L2" t="s">
        <v>1031</v>
      </c>
      <c r="M2" t="s">
        <v>1032</v>
      </c>
      <c r="N2" t="s">
        <v>106</v>
      </c>
      <c r="O2" t="s">
        <v>1027</v>
      </c>
      <c r="P2" t="s">
        <v>1027</v>
      </c>
      <c r="Q2" t="s">
        <v>1028</v>
      </c>
      <c r="R2" t="s">
        <v>1029</v>
      </c>
      <c r="S2" t="s">
        <v>1030</v>
      </c>
      <c r="T2" t="s">
        <v>2613</v>
      </c>
      <c r="U2" t="s">
        <v>2614</v>
      </c>
      <c r="V2" t="s">
        <v>2615</v>
      </c>
      <c r="W2" t="s">
        <v>2616</v>
      </c>
      <c r="X2" t="s">
        <v>2617</v>
      </c>
      <c r="Y2" t="s">
        <v>2618</v>
      </c>
      <c r="Z2" t="s">
        <v>2619</v>
      </c>
      <c r="AA2" t="s">
        <v>2620</v>
      </c>
      <c r="AB2" t="s">
        <v>2615</v>
      </c>
      <c r="AC2" t="s">
        <v>65</v>
      </c>
      <c r="AD2" t="s">
        <v>65</v>
      </c>
      <c r="AE2" t="s">
        <v>65</v>
      </c>
      <c r="AF2" t="s">
        <v>2621</v>
      </c>
      <c r="AG2" t="s">
        <v>2622</v>
      </c>
      <c r="AH2" t="s">
        <v>2621</v>
      </c>
      <c r="AI2" t="s">
        <v>2623</v>
      </c>
      <c r="AJ2" t="s">
        <v>2621</v>
      </c>
      <c r="AK2" t="s">
        <v>2623</v>
      </c>
      <c r="AL2" t="s">
        <v>2624</v>
      </c>
    </row>
    <row r="3" ht="11.25" customHeight="1">
      <c r="A3" t="s">
        <v>22</v>
      </c>
      <c r="B3" t="s">
        <v>48</v>
      </c>
      <c r="C3" t="s">
        <v>50</v>
      </c>
      <c r="D3" t="s">
        <v>22</v>
      </c>
      <c r="E3" t="s">
        <v>1025</v>
      </c>
      <c r="F3" t="s">
        <v>1026</v>
      </c>
      <c r="G3" t="s">
        <v>1027</v>
      </c>
      <c r="H3" t="s">
        <v>1027</v>
      </c>
      <c r="I3" t="s">
        <v>1028</v>
      </c>
      <c r="J3" t="s">
        <v>1029</v>
      </c>
      <c r="K3" t="s">
        <v>1030</v>
      </c>
      <c r="L3" t="s">
        <v>1031</v>
      </c>
      <c r="M3" t="s">
        <v>1032</v>
      </c>
      <c r="N3" t="s">
        <v>106</v>
      </c>
      <c r="O3" t="s">
        <v>1027</v>
      </c>
      <c r="P3" t="s">
        <v>1027</v>
      </c>
      <c r="Q3" t="s">
        <v>1028</v>
      </c>
      <c r="R3" t="s">
        <v>1029</v>
      </c>
      <c r="S3" t="s">
        <v>1030</v>
      </c>
      <c r="T3" t="s">
        <v>2613</v>
      </c>
      <c r="U3" t="s">
        <v>2614</v>
      </c>
      <c r="V3" t="s">
        <v>2615</v>
      </c>
      <c r="W3" t="s">
        <v>2616</v>
      </c>
      <c r="X3" t="s">
        <v>2617</v>
      </c>
      <c r="Y3" t="s">
        <v>2618</v>
      </c>
      <c r="Z3" t="s">
        <v>2619</v>
      </c>
      <c r="AA3" t="s">
        <v>2620</v>
      </c>
      <c r="AB3" t="s">
        <v>2615</v>
      </c>
      <c r="AC3" t="s">
        <v>65</v>
      </c>
      <c r="AD3" t="s">
        <v>65</v>
      </c>
      <c r="AE3" t="s">
        <v>65</v>
      </c>
      <c r="AF3" t="s">
        <v>2621</v>
      </c>
      <c r="AG3" t="s">
        <v>2622</v>
      </c>
      <c r="AH3" t="s">
        <v>2621</v>
      </c>
      <c r="AI3" t="s">
        <v>2625</v>
      </c>
      <c r="AJ3" t="s">
        <v>2621</v>
      </c>
      <c r="AK3" t="s">
        <v>2625</v>
      </c>
      <c r="AL3" t="s">
        <v>2624</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9"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8"/>
      <c r="F1" s="168"/>
      <c r="G1" s="168"/>
      <c r="H1" s="114" t="s">
        <v>347</v>
      </c>
      <c r="I1" s="114"/>
      <c r="J1" s="114"/>
      <c r="K1" s="114"/>
      <c r="L1" s="114"/>
      <c r="M1" s="114"/>
      <c r="N1" s="114"/>
      <c r="O1" s="114"/>
      <c r="P1" s="114"/>
      <c r="Q1" s="114"/>
      <c r="R1" s="114"/>
      <c r="T1" s="114" t="s">
        <v>348</v>
      </c>
      <c r="U1" s="114"/>
      <c r="V1" s="114"/>
      <c r="X1" s="114" t="s">
        <v>349</v>
      </c>
      <c r="Y1" s="114"/>
      <c r="Z1" s="114"/>
      <c r="AB1" s="114" t="s">
        <v>350</v>
      </c>
      <c r="AC1" s="114"/>
      <c r="AT1" s="50" t="s">
        <v>14</v>
      </c>
    </row>
    <row r="2" ht="14.25" hidden="1" customHeight="1">
      <c r="AT2" s="50">
        <v>0</v>
      </c>
    </row>
    <row r="3" s="70" customFormat="1" ht="5.25" customHeight="1">
      <c r="C3" s="404"/>
      <c r="D3" s="405"/>
      <c r="E3" s="405"/>
      <c r="F3" s="405"/>
      <c r="G3" s="405"/>
      <c r="H3" s="405" t="s">
        <v>351</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57"/>
      <c r="AK3" s="57"/>
      <c r="AL3" s="57"/>
      <c r="AM3" s="57"/>
      <c r="AN3" s="57"/>
      <c r="AO3" s="57"/>
      <c r="AP3" s="57"/>
      <c r="AQ3" s="57"/>
      <c r="AR3" s="57"/>
      <c r="AS3" s="57"/>
      <c r="AT3" s="70">
        <v>5</v>
      </c>
    </row>
    <row r="4" ht="39.75" customHeight="1">
      <c r="C4" s="381"/>
      <c r="D4" s="236"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7"/>
      <c r="F4" s="237"/>
      <c r="G4" s="237"/>
      <c r="H4" s="237"/>
      <c r="I4" s="237"/>
      <c r="J4" s="237"/>
      <c r="K4" s="237"/>
      <c r="L4" s="237"/>
      <c r="M4" s="237"/>
      <c r="N4" s="237"/>
      <c r="O4" s="237"/>
      <c r="P4" s="237"/>
      <c r="Q4" s="237"/>
      <c r="R4" s="238"/>
      <c r="S4" s="406"/>
      <c r="T4" s="299"/>
      <c r="U4" s="299"/>
      <c r="V4" s="299"/>
      <c r="W4" s="299"/>
      <c r="X4" s="299"/>
      <c r="Y4" s="299"/>
      <c r="Z4" s="299"/>
      <c r="AA4" s="299"/>
      <c r="AB4" s="299"/>
      <c r="AC4" s="299"/>
      <c r="AD4" s="299"/>
      <c r="AE4" s="407"/>
      <c r="AF4" s="407"/>
      <c r="AG4" s="407"/>
      <c r="AH4" s="407"/>
      <c r="AI4" s="239"/>
      <c r="AT4" s="50">
        <v>38</v>
      </c>
    </row>
    <row r="5" s="50" customFormat="1" ht="18" customHeight="1">
      <c r="A5" s="56"/>
      <c r="C5" s="381"/>
      <c r="D5" s="408" t="str">
        <f>IF(org=0,"Не определено",org)</f>
        <v xml:space="preserve">АО "ДГК" СП "Биробиджанская ТЭЦ"</v>
      </c>
      <c r="E5" s="409"/>
      <c r="F5" s="409"/>
      <c r="G5" s="409"/>
      <c r="H5" s="409"/>
      <c r="I5" s="409"/>
      <c r="J5" s="409"/>
      <c r="K5" s="409"/>
      <c r="L5" s="409"/>
      <c r="M5" s="409"/>
      <c r="N5" s="409"/>
      <c r="O5" s="409"/>
      <c r="P5" s="409"/>
      <c r="Q5" s="409"/>
      <c r="R5" s="410"/>
      <c r="S5" s="406"/>
      <c r="T5" s="299"/>
      <c r="U5" s="299"/>
      <c r="V5" s="299"/>
      <c r="W5" s="299"/>
      <c r="X5" s="299"/>
      <c r="Y5" s="299"/>
      <c r="Z5" s="299"/>
      <c r="AA5" s="299"/>
      <c r="AB5" s="299"/>
      <c r="AC5" s="299"/>
      <c r="AD5" s="299"/>
      <c r="AE5" s="407"/>
      <c r="AF5" s="407"/>
      <c r="AG5" s="407"/>
      <c r="AH5" s="407"/>
      <c r="AI5" s="239"/>
      <c r="AJ5" s="57"/>
      <c r="AK5" s="57"/>
      <c r="AL5" s="57"/>
      <c r="AM5" s="57"/>
      <c r="AN5" s="57"/>
      <c r="AO5" s="57"/>
      <c r="AP5" s="57"/>
      <c r="AQ5" s="57"/>
      <c r="AR5" s="57"/>
      <c r="AS5" s="57"/>
      <c r="AT5" s="50">
        <v>17</v>
      </c>
    </row>
    <row r="6" s="65" customFormat="1" ht="11.5" customHeight="1">
      <c r="A6" s="411"/>
      <c r="C6" s="412"/>
      <c r="D6" s="413"/>
      <c r="E6" s="413"/>
      <c r="F6" s="413"/>
      <c r="G6" s="413"/>
      <c r="H6" s="413"/>
      <c r="I6" s="413"/>
      <c r="J6" s="413"/>
      <c r="K6" s="413"/>
      <c r="L6" s="413"/>
      <c r="M6" s="413"/>
      <c r="N6" s="413"/>
      <c r="O6" s="413"/>
      <c r="P6" s="413"/>
      <c r="Q6" s="413"/>
      <c r="R6" s="341"/>
      <c r="S6" s="341"/>
      <c r="T6" s="413"/>
      <c r="U6" s="413"/>
      <c r="V6" s="414"/>
      <c r="W6" s="414"/>
      <c r="X6" s="413"/>
      <c r="Y6" s="413"/>
      <c r="Z6" s="414"/>
      <c r="AA6" s="414"/>
      <c r="AB6" s="413"/>
      <c r="AC6" s="414"/>
      <c r="AD6" s="414"/>
      <c r="AE6" s="413"/>
      <c r="AF6" s="413"/>
      <c r="AG6" s="413"/>
      <c r="AH6" s="413"/>
      <c r="AJ6" s="57"/>
      <c r="AK6" s="57"/>
      <c r="AL6" s="57"/>
      <c r="AM6" s="57"/>
      <c r="AN6" s="57"/>
      <c r="AO6" s="57"/>
      <c r="AP6" s="57"/>
      <c r="AQ6" s="57"/>
      <c r="AR6" s="57"/>
      <c r="AS6" s="57"/>
      <c r="AT6" s="65">
        <v>11</v>
      </c>
    </row>
    <row r="7" ht="14.65" customHeight="1">
      <c r="C7" s="381"/>
      <c r="D7" s="415" t="s">
        <v>295</v>
      </c>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7"/>
      <c r="AE7" s="246" t="s">
        <v>296</v>
      </c>
      <c r="AF7" s="246" t="s">
        <v>296</v>
      </c>
      <c r="AG7" s="246" t="s">
        <v>296</v>
      </c>
      <c r="AH7" s="246" t="s">
        <v>296</v>
      </c>
      <c r="AT7" s="50">
        <v>14</v>
      </c>
    </row>
    <row r="8" ht="27.300000000000001" customHeight="1">
      <c r="C8" s="381"/>
      <c r="D8" s="157" t="s">
        <v>88</v>
      </c>
      <c r="E8" s="246" t="str">
        <f>"Наименование "&amp;IF(TEMPLATE_SPHERE&lt;&gt;"HEAT","централизованной ","")&amp;"системы "&amp;TEMPLATE_SPHERE_RUS</f>
        <v xml:space="preserve">Наименование системы теплоснабжения</v>
      </c>
      <c r="F8" s="246" t="str">
        <f>IF(TEMPLATE_SPHERE&lt;&gt;"HEAT","Регулируемый вид деятельности","Вид регулируемой деятельности")</f>
        <v xml:space="preserve">Вид регулируемой деятельности</v>
      </c>
      <c r="G8" s="418"/>
      <c r="H8" s="418" t="s">
        <v>352</v>
      </c>
      <c r="I8" s="419" t="s">
        <v>353</v>
      </c>
      <c r="J8" s="246" t="s">
        <v>354</v>
      </c>
      <c r="K8" s="246"/>
      <c r="L8" s="246"/>
      <c r="M8" s="415"/>
      <c r="N8" s="246" t="s">
        <v>355</v>
      </c>
      <c r="O8" s="246"/>
      <c r="P8" s="246" t="s">
        <v>356</v>
      </c>
      <c r="Q8" s="246"/>
      <c r="R8" s="420" t="s">
        <v>357</v>
      </c>
      <c r="S8" s="420"/>
      <c r="T8" s="418" t="s">
        <v>358</v>
      </c>
      <c r="U8" s="418" t="s">
        <v>359</v>
      </c>
      <c r="V8" s="418" t="s">
        <v>360</v>
      </c>
      <c r="W8" s="418"/>
      <c r="X8" s="418" t="s">
        <v>361</v>
      </c>
      <c r="Y8" s="418" t="s">
        <v>362</v>
      </c>
      <c r="Z8" s="418" t="s">
        <v>363</v>
      </c>
      <c r="AA8" s="418"/>
      <c r="AB8" s="418" t="s">
        <v>364</v>
      </c>
      <c r="AC8" s="418" t="s">
        <v>357</v>
      </c>
      <c r="AD8" s="418"/>
      <c r="AE8" s="246"/>
      <c r="AF8" s="246"/>
      <c r="AG8" s="246"/>
      <c r="AH8" s="246"/>
      <c r="AT8" s="50">
        <v>26</v>
      </c>
    </row>
    <row r="9" ht="46.149999999999999" customHeight="1">
      <c r="C9" s="381"/>
      <c r="D9" s="157"/>
      <c r="E9" s="246"/>
      <c r="F9" s="246"/>
      <c r="G9" s="421"/>
      <c r="H9" s="421"/>
      <c r="I9" s="422"/>
      <c r="J9" s="246" t="s">
        <v>365</v>
      </c>
      <c r="K9" s="246" t="s">
        <v>366</v>
      </c>
      <c r="L9" s="246" t="s">
        <v>367</v>
      </c>
      <c r="M9" s="415" t="s">
        <v>368</v>
      </c>
      <c r="N9" s="246" t="s">
        <v>369</v>
      </c>
      <c r="O9" s="246" t="s">
        <v>368</v>
      </c>
      <c r="P9" s="246" t="s">
        <v>370</v>
      </c>
      <c r="Q9" s="246" t="s">
        <v>368</v>
      </c>
      <c r="R9" s="423"/>
      <c r="S9" s="423"/>
      <c r="T9" s="421"/>
      <c r="U9" s="421"/>
      <c r="V9" s="421"/>
      <c r="W9" s="421"/>
      <c r="X9" s="421"/>
      <c r="Y9" s="421"/>
      <c r="Z9" s="421"/>
      <c r="AA9" s="421"/>
      <c r="AB9" s="421"/>
      <c r="AC9" s="421"/>
      <c r="AD9" s="421"/>
      <c r="AE9" s="246"/>
      <c r="AF9" s="246"/>
      <c r="AG9" s="246"/>
      <c r="AH9" s="246"/>
      <c r="AT9" s="50">
        <v>44</v>
      </c>
    </row>
    <row r="10" ht="12" hidden="1" customHeight="1">
      <c r="C10" s="424"/>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c r="AI10" s="50"/>
      <c r="AP10" s="129"/>
      <c r="AQ10" s="129"/>
      <c r="AT10" s="50">
        <v>0</v>
      </c>
    </row>
    <row r="11" s="131" customFormat="1" ht="11.25" hidden="1" customHeight="1">
      <c r="C11" s="426"/>
      <c r="D11" s="427" t="s">
        <v>371</v>
      </c>
      <c r="E11" s="427"/>
      <c r="F11" s="427"/>
      <c r="G11" s="427"/>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9"/>
      <c r="AF11" s="429"/>
      <c r="AG11" s="429"/>
      <c r="AH11" s="429"/>
      <c r="AJ11" s="57"/>
      <c r="AK11" s="57"/>
      <c r="AL11" s="57"/>
      <c r="AM11" s="57"/>
      <c r="AN11" s="57"/>
      <c r="AO11" s="57"/>
      <c r="AP11" s="57"/>
      <c r="AQ11" s="57"/>
      <c r="AR11" s="57"/>
      <c r="AS11" s="57"/>
      <c r="AT11" s="131">
        <v>0</v>
      </c>
    </row>
    <row r="12" ht="14.65" customHeight="1">
      <c r="A12" s="50"/>
      <c r="C12" s="381"/>
      <c r="D12" s="430" t="s">
        <v>106</v>
      </c>
      <c r="E12" s="376" t="s">
        <v>22</v>
      </c>
      <c r="F12" s="431"/>
      <c r="G12" s="432"/>
      <c r="H12" s="433"/>
      <c r="I12" s="433"/>
      <c r="J12" s="434"/>
      <c r="K12" s="435"/>
      <c r="L12" s="436"/>
      <c r="M12" s="435"/>
      <c r="N12" s="434"/>
      <c r="O12" s="435"/>
      <c r="P12" s="434"/>
      <c r="Q12" s="435"/>
      <c r="R12" s="434"/>
      <c r="S12" s="437"/>
      <c r="T12" s="433"/>
      <c r="U12" s="434"/>
      <c r="V12" s="434"/>
      <c r="W12" s="421"/>
      <c r="X12" s="433"/>
      <c r="Y12" s="434"/>
      <c r="Z12" s="434"/>
      <c r="AA12" s="421"/>
      <c r="AB12" s="433"/>
      <c r="AC12" s="434"/>
      <c r="AD12" s="421"/>
      <c r="AE12" s="438" t="s">
        <v>372</v>
      </c>
      <c r="AF12" s="438" t="s">
        <v>373</v>
      </c>
      <c r="AG12" s="438" t="s">
        <v>374</v>
      </c>
      <c r="AH12" s="438" t="s">
        <v>375</v>
      </c>
      <c r="AI12" s="50"/>
      <c r="AM12" s="57"/>
      <c r="AP12" s="129" t="s">
        <v>376</v>
      </c>
      <c r="AQ12" s="129" t="s">
        <v>376</v>
      </c>
      <c r="AT12" s="50">
        <v>14</v>
      </c>
    </row>
    <row r="13" ht="18" customHeight="1">
      <c r="A13" s="50"/>
      <c r="C13" s="381"/>
      <c r="D13" s="439"/>
      <c r="E13" s="440" t="str">
        <f>IF(TITLE_DIFFERENTIATION_TYPE="нет","","Добавить систему")</f>
        <v/>
      </c>
      <c r="F13" s="440" t="str">
        <f>IF(TITLE_DIFFERENTIATION_TYPE="нет","Добавить вид деятельности","")</f>
        <v xml:space="preserve">Добавить вид деятельности</v>
      </c>
      <c r="G13" s="441"/>
      <c r="H13" s="442"/>
      <c r="I13" s="442"/>
      <c r="J13" s="442"/>
      <c r="K13" s="442"/>
      <c r="L13" s="442"/>
      <c r="M13" s="442"/>
      <c r="N13" s="442"/>
      <c r="O13" s="442"/>
      <c r="P13" s="442"/>
      <c r="Q13" s="442"/>
      <c r="R13" s="442"/>
      <c r="S13" s="442"/>
      <c r="T13" s="442"/>
      <c r="U13" s="442"/>
      <c r="V13" s="442"/>
      <c r="W13" s="442"/>
      <c r="X13" s="442"/>
      <c r="Y13" s="442"/>
      <c r="Z13" s="442"/>
      <c r="AA13" s="442"/>
      <c r="AB13" s="442"/>
      <c r="AC13" s="442"/>
      <c r="AD13" s="443"/>
      <c r="AE13" s="444"/>
      <c r="AF13" s="444"/>
      <c r="AG13" s="444"/>
      <c r="AH13" s="444"/>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8">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9">
        <v>3</v>
      </c>
      <c r="AJ18" s="57">
        <v>10</v>
      </c>
      <c r="AK18" s="57">
        <v>10</v>
      </c>
      <c r="AL18" s="57">
        <v>10</v>
      </c>
      <c r="AM18" s="57">
        <v>0</v>
      </c>
      <c r="AN18" s="57">
        <v>15</v>
      </c>
      <c r="AO18" s="57">
        <v>16</v>
      </c>
      <c r="AP18" s="57">
        <v>10</v>
      </c>
      <c r="AQ18" s="57">
        <v>10</v>
      </c>
      <c r="AR18" s="57">
        <v>10</v>
      </c>
      <c r="AS18" s="57">
        <v>10</v>
      </c>
      <c r="AT18" s="50">
        <v>23</v>
      </c>
    </row>
  </sheetData>
  <sheetProtection autoFilter="0" deleteColumns="1" deleteRows="1" formatCells="1" formatColumns="0" formatRows="0" insertColumns="1" insertHyperlinks="1" insertRows="1" objects="0" pivotTables="1" scenarios="0" selectLockedCells="0" selectUnlockedCells="0" sheet="1" sort="1"/>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30057-0003-44C6-80F8-0026002500D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340033-00D1-4CA7-B3B2-009B007B0005}"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F700D2-0005-49BC-B901-003700D4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1E00B0-00C3-444B-8E05-004C001300E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8" width="9.140625"/>
  </cols>
  <sheetData>
    <row r="1" ht="11.25" customHeight="1">
      <c r="A1" s="1398" t="s">
        <v>127</v>
      </c>
      <c r="B1" s="1398" t="s">
        <v>2626</v>
      </c>
    </row>
    <row r="2" ht="11.25" customHeight="1">
      <c r="A2" s="183" t="s">
        <v>98</v>
      </c>
      <c r="B2" s="183" t="s">
        <v>2627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3" width="9.140625"/>
    <col customWidth="1" min="2" max="2" style="783" width="65.28125"/>
  </cols>
  <sheetData>
    <row r="1" ht="11.25" customHeight="1">
      <c r="A1" s="783" t="s">
        <v>2628</v>
      </c>
      <c r="B1" s="783" t="s">
        <v>2629</v>
      </c>
    </row>
    <row r="2" ht="11.25" customHeight="1">
      <c r="A2" s="783">
        <v>4213775</v>
      </c>
      <c r="B2" s="783" t="s">
        <v>1265</v>
      </c>
    </row>
    <row r="3" ht="11.25" customHeight="1">
      <c r="A3" s="783">
        <v>4213784</v>
      </c>
      <c r="B3" s="783" t="s">
        <v>1299</v>
      </c>
    </row>
    <row r="4" ht="11.25" customHeight="1">
      <c r="A4" s="783">
        <v>4213781</v>
      </c>
      <c r="B4" s="783" t="s">
        <v>1292</v>
      </c>
    </row>
    <row r="5" ht="11.25" customHeight="1">
      <c r="A5" s="783">
        <v>4213776</v>
      </c>
      <c r="B5" s="783" t="s">
        <v>163</v>
      </c>
    </row>
    <row r="6" ht="11.25" customHeight="1">
      <c r="A6" s="783">
        <v>4213777</v>
      </c>
      <c r="B6" s="783" t="s">
        <v>169</v>
      </c>
    </row>
    <row r="7" ht="11.25" customHeight="1">
      <c r="A7" s="783">
        <v>4213778</v>
      </c>
      <c r="B7" s="783" t="s">
        <v>175</v>
      </c>
    </row>
    <row r="8" ht="11.25" customHeight="1">
      <c r="A8" s="783">
        <v>4213780</v>
      </c>
      <c r="B8" s="783" t="s">
        <v>181</v>
      </c>
    </row>
    <row r="9" ht="11.25" customHeight="1">
      <c r="A9" s="783">
        <v>4213779</v>
      </c>
      <c r="B9" s="783" t="s">
        <v>1432</v>
      </c>
    </row>
    <row r="10" ht="11.25" customHeight="1">
      <c r="A10" s="783">
        <v>4213783</v>
      </c>
      <c r="B10" s="783" t="s">
        <v>1446</v>
      </c>
    </row>
    <row r="11" ht="11.25" customHeight="1">
      <c r="A11" s="783">
        <v>4213782</v>
      </c>
      <c r="B11" s="783" t="s">
        <v>187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3" width="9.140625"/>
    <col customWidth="1" min="2" max="2" style="783" width="65.28125"/>
  </cols>
  <sheetData>
    <row r="1" ht="11.25" customHeight="1">
      <c r="A1" s="783" t="s">
        <v>2628</v>
      </c>
      <c r="B1" s="783" t="s">
        <v>2630</v>
      </c>
    </row>
    <row r="2" ht="11.25" customHeight="1">
      <c r="A2" s="783" t="s">
        <v>2631</v>
      </c>
      <c r="B2" s="783" t="s">
        <v>1538</v>
      </c>
    </row>
    <row r="3" ht="11.25" customHeight="1">
      <c r="A3" s="783" t="s">
        <v>2632</v>
      </c>
      <c r="B3" s="783" t="s">
        <v>1548</v>
      </c>
    </row>
    <row r="4" ht="11.25" customHeight="1">
      <c r="A4" s="783" t="s">
        <v>2633</v>
      </c>
      <c r="B4" s="783" t="s">
        <v>1557</v>
      </c>
    </row>
    <row r="5" ht="11.25" customHeight="1">
      <c r="A5" s="783" t="s">
        <v>2634</v>
      </c>
      <c r="B5" s="783" t="s">
        <v>1566</v>
      </c>
    </row>
    <row r="6" ht="11.25" customHeight="1">
      <c r="A6" s="783" t="s">
        <v>2635</v>
      </c>
      <c r="B6" s="783" t="s">
        <v>1572</v>
      </c>
    </row>
    <row r="7" ht="11.25" customHeight="1">
      <c r="A7" s="783" t="s">
        <v>2636</v>
      </c>
      <c r="B7" s="783" t="s">
        <v>1580</v>
      </c>
    </row>
    <row r="8" ht="11.25" customHeight="1">
      <c r="A8" s="783" t="s">
        <v>2637</v>
      </c>
      <c r="B8" s="783" t="s">
        <v>1587</v>
      </c>
    </row>
    <row r="9" ht="11.25" customHeight="1">
      <c r="A9" s="783" t="s">
        <v>2638</v>
      </c>
      <c r="B9" s="783" t="s">
        <v>1593</v>
      </c>
    </row>
    <row r="10" ht="11.25" customHeight="1">
      <c r="A10" s="783" t="s">
        <v>2639</v>
      </c>
      <c r="B10" s="783" t="s">
        <v>1597</v>
      </c>
    </row>
    <row r="11" ht="11.25" customHeight="1">
      <c r="A11" s="783" t="s">
        <v>2640</v>
      </c>
      <c r="B11" s="783" t="s">
        <v>1604</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2491</v>
      </c>
      <c r="B1" s="63" t="s">
        <v>2486</v>
      </c>
      <c r="C1" s="63" t="s">
        <v>2488</v>
      </c>
      <c r="D1" s="63" t="s">
        <v>2489</v>
      </c>
    </row>
    <row r="2" ht="11.25" customHeight="1">
      <c r="A2">
        <v>1</v>
      </c>
      <c r="B2" t="s">
        <v>2641</v>
      </c>
      <c r="C2" t="s">
        <v>2641</v>
      </c>
      <c r="D2" t="s">
        <v>2642</v>
      </c>
    </row>
    <row r="3" ht="11.25" customHeight="1">
      <c r="A3">
        <v>2</v>
      </c>
      <c r="B3" t="s">
        <v>2641</v>
      </c>
      <c r="C3" t="s">
        <v>2643</v>
      </c>
      <c r="D3" t="s">
        <v>2644</v>
      </c>
    </row>
    <row r="4" ht="11.25" customHeight="1">
      <c r="A4">
        <v>3</v>
      </c>
      <c r="B4" t="s">
        <v>2641</v>
      </c>
      <c r="C4" t="s">
        <v>2645</v>
      </c>
      <c r="D4" t="s">
        <v>2646</v>
      </c>
    </row>
    <row r="5" ht="11.25" customHeight="1">
      <c r="A5">
        <v>4</v>
      </c>
      <c r="B5" t="s">
        <v>2641</v>
      </c>
      <c r="C5" t="s">
        <v>2647</v>
      </c>
      <c r="D5" t="s">
        <v>2648</v>
      </c>
    </row>
    <row r="6" ht="11.25" customHeight="1">
      <c r="A6">
        <v>5</v>
      </c>
      <c r="B6" t="s">
        <v>2641</v>
      </c>
      <c r="C6" t="s">
        <v>2649</v>
      </c>
      <c r="D6" t="s">
        <v>2650</v>
      </c>
    </row>
    <row r="7" ht="11.25" customHeight="1">
      <c r="A7">
        <v>6</v>
      </c>
      <c r="B7" t="s">
        <v>2641</v>
      </c>
      <c r="C7" t="s">
        <v>2651</v>
      </c>
      <c r="D7" t="s">
        <v>2652</v>
      </c>
    </row>
    <row r="8" ht="11.25" customHeight="1">
      <c r="A8">
        <v>7</v>
      </c>
      <c r="B8" t="s">
        <v>2641</v>
      </c>
      <c r="C8" t="s">
        <v>2653</v>
      </c>
      <c r="D8" t="s">
        <v>2654</v>
      </c>
    </row>
    <row r="9" ht="11.25" customHeight="1">
      <c r="A9">
        <v>8</v>
      </c>
      <c r="B9" t="s">
        <v>2641</v>
      </c>
      <c r="C9" t="s">
        <v>2655</v>
      </c>
      <c r="D9" t="s">
        <v>2656</v>
      </c>
    </row>
    <row r="10" ht="11.25" customHeight="1">
      <c r="A10">
        <v>9</v>
      </c>
      <c r="B10" t="s">
        <v>2641</v>
      </c>
      <c r="C10" t="s">
        <v>2657</v>
      </c>
      <c r="D10" t="s">
        <v>2658</v>
      </c>
    </row>
    <row r="11" ht="11.25" customHeight="1">
      <c r="A11">
        <v>10</v>
      </c>
      <c r="B11" t="s">
        <v>2641</v>
      </c>
      <c r="C11" t="s">
        <v>2659</v>
      </c>
      <c r="D11" t="s">
        <v>2660</v>
      </c>
    </row>
    <row r="12" ht="11.25" customHeight="1">
      <c r="A12">
        <v>11</v>
      </c>
      <c r="B12" t="s">
        <v>2641</v>
      </c>
      <c r="C12" t="s">
        <v>2661</v>
      </c>
      <c r="D12" t="s">
        <v>2662</v>
      </c>
    </row>
    <row r="13" ht="11.25" customHeight="1">
      <c r="A13">
        <v>13</v>
      </c>
      <c r="B13" t="s">
        <v>2641</v>
      </c>
      <c r="C13" t="s">
        <v>2663</v>
      </c>
      <c r="D13" t="s">
        <v>2664</v>
      </c>
    </row>
    <row r="14" ht="11.25" customHeight="1">
      <c r="A14">
        <v>14</v>
      </c>
      <c r="B14" t="s">
        <v>2641</v>
      </c>
      <c r="C14" t="s">
        <v>2665</v>
      </c>
      <c r="D14" t="s">
        <v>2666</v>
      </c>
    </row>
    <row r="15" ht="11.25" customHeight="1">
      <c r="A15">
        <v>15</v>
      </c>
      <c r="B15" t="s">
        <v>2641</v>
      </c>
      <c r="C15" t="s">
        <v>2667</v>
      </c>
      <c r="D15" t="s">
        <v>2668</v>
      </c>
    </row>
    <row r="16" ht="11.25" customHeight="1">
      <c r="A16">
        <v>16</v>
      </c>
      <c r="B16" t="s">
        <v>2641</v>
      </c>
      <c r="C16" t="s">
        <v>2669</v>
      </c>
      <c r="D16" t="s">
        <v>2670</v>
      </c>
    </row>
    <row r="17" ht="11.25" customHeight="1">
      <c r="A17">
        <v>17</v>
      </c>
      <c r="B17" t="s">
        <v>2641</v>
      </c>
      <c r="C17" t="s">
        <v>2671</v>
      </c>
      <c r="D17" t="s">
        <v>2672</v>
      </c>
    </row>
    <row r="18" ht="11.25" customHeight="1">
      <c r="A18">
        <v>18</v>
      </c>
      <c r="B18" t="s">
        <v>2641</v>
      </c>
      <c r="C18" t="s">
        <v>2673</v>
      </c>
      <c r="D18" t="s">
        <v>2674</v>
      </c>
    </row>
    <row r="19" ht="11.25" customHeight="1">
      <c r="A19">
        <v>19</v>
      </c>
      <c r="B19" t="s">
        <v>2641</v>
      </c>
      <c r="C19" t="s">
        <v>2675</v>
      </c>
      <c r="D19" t="s">
        <v>2676</v>
      </c>
    </row>
    <row r="20" ht="11.25" customHeight="1">
      <c r="A20">
        <v>20</v>
      </c>
      <c r="B20" t="s">
        <v>2641</v>
      </c>
      <c r="C20" t="s">
        <v>2677</v>
      </c>
      <c r="D20" t="s">
        <v>2678</v>
      </c>
    </row>
    <row r="21" ht="11.25" customHeight="1">
      <c r="A21">
        <v>21</v>
      </c>
      <c r="B21" t="s">
        <v>2679</v>
      </c>
      <c r="C21" t="s">
        <v>2680</v>
      </c>
      <c r="D21" t="s">
        <v>2681</v>
      </c>
    </row>
    <row r="22" ht="11.25" customHeight="1">
      <c r="A22">
        <v>22</v>
      </c>
      <c r="B22" t="s">
        <v>2679</v>
      </c>
      <c r="C22" t="s">
        <v>2679</v>
      </c>
      <c r="D22" t="s">
        <v>2682</v>
      </c>
    </row>
    <row r="23" ht="11.25" customHeight="1">
      <c r="A23">
        <v>23</v>
      </c>
      <c r="B23" t="s">
        <v>2679</v>
      </c>
      <c r="C23" t="s">
        <v>2683</v>
      </c>
      <c r="D23" t="s">
        <v>2684</v>
      </c>
    </row>
    <row r="24" ht="11.25" customHeight="1">
      <c r="A24">
        <v>24</v>
      </c>
      <c r="B24" t="s">
        <v>2679</v>
      </c>
      <c r="C24" t="s">
        <v>2685</v>
      </c>
      <c r="D24" t="s">
        <v>2686</v>
      </c>
    </row>
    <row r="25" ht="11.25" customHeight="1">
      <c r="A25">
        <v>25</v>
      </c>
      <c r="B25" t="s">
        <v>2679</v>
      </c>
      <c r="C25" t="s">
        <v>2687</v>
      </c>
      <c r="D25" t="s">
        <v>2688</v>
      </c>
    </row>
    <row r="26" ht="11.25" customHeight="1">
      <c r="A26">
        <v>26</v>
      </c>
      <c r="B26" t="s">
        <v>2679</v>
      </c>
      <c r="C26" t="s">
        <v>2689</v>
      </c>
      <c r="D26" t="s">
        <v>2690</v>
      </c>
    </row>
    <row r="27" ht="11.25" customHeight="1">
      <c r="A27">
        <v>27</v>
      </c>
      <c r="B27" t="s">
        <v>2679</v>
      </c>
      <c r="C27" t="s">
        <v>2691</v>
      </c>
      <c r="D27" t="s">
        <v>2692</v>
      </c>
    </row>
    <row r="28" ht="11.25" customHeight="1">
      <c r="A28">
        <v>28</v>
      </c>
      <c r="B28" t="s">
        <v>2679</v>
      </c>
      <c r="C28" t="s">
        <v>2693</v>
      </c>
      <c r="D28" t="s">
        <v>2694</v>
      </c>
    </row>
    <row r="29" ht="11.25" customHeight="1">
      <c r="A29">
        <v>29</v>
      </c>
      <c r="B29" t="s">
        <v>2679</v>
      </c>
      <c r="C29" t="s">
        <v>2695</v>
      </c>
      <c r="D29" t="s">
        <v>2696</v>
      </c>
    </row>
    <row r="30" ht="11.25" customHeight="1">
      <c r="A30">
        <v>30</v>
      </c>
      <c r="B30" t="s">
        <v>2679</v>
      </c>
      <c r="C30" t="s">
        <v>2697</v>
      </c>
      <c r="D30" t="s">
        <v>2698</v>
      </c>
    </row>
    <row r="31" ht="11.25" customHeight="1">
      <c r="A31">
        <v>31</v>
      </c>
      <c r="B31" t="s">
        <v>2679</v>
      </c>
      <c r="C31" t="s">
        <v>2699</v>
      </c>
      <c r="D31" t="s">
        <v>2700</v>
      </c>
    </row>
    <row r="32" ht="11.25" customHeight="1">
      <c r="A32">
        <v>32</v>
      </c>
      <c r="B32" t="s">
        <v>2701</v>
      </c>
      <c r="C32" t="s">
        <v>2701</v>
      </c>
      <c r="D32" t="s">
        <v>2702</v>
      </c>
    </row>
    <row r="33" ht="11.25" customHeight="1">
      <c r="A33">
        <v>33</v>
      </c>
      <c r="B33" t="s">
        <v>2701</v>
      </c>
      <c r="C33" t="s">
        <v>2703</v>
      </c>
      <c r="D33" t="s">
        <v>2704</v>
      </c>
    </row>
    <row r="34" ht="11.25" customHeight="1">
      <c r="A34">
        <v>34</v>
      </c>
      <c r="B34" t="s">
        <v>2701</v>
      </c>
      <c r="C34" t="s">
        <v>2705</v>
      </c>
      <c r="D34" t="s">
        <v>2706</v>
      </c>
    </row>
    <row r="35" ht="11.25" customHeight="1">
      <c r="A35">
        <v>35</v>
      </c>
      <c r="B35" t="s">
        <v>2701</v>
      </c>
      <c r="C35" t="s">
        <v>2707</v>
      </c>
      <c r="D35" t="s">
        <v>2708</v>
      </c>
    </row>
    <row r="36" ht="11.25" customHeight="1">
      <c r="A36">
        <v>36</v>
      </c>
      <c r="B36" t="s">
        <v>2701</v>
      </c>
      <c r="C36" t="s">
        <v>2709</v>
      </c>
      <c r="D36" t="s">
        <v>2710</v>
      </c>
    </row>
    <row r="37" ht="11.25" customHeight="1">
      <c r="A37">
        <v>37</v>
      </c>
      <c r="B37" t="s">
        <v>2701</v>
      </c>
      <c r="C37" t="s">
        <v>2711</v>
      </c>
      <c r="D37" t="s">
        <v>2712</v>
      </c>
    </row>
    <row r="38" ht="11.25" customHeight="1">
      <c r="A38">
        <v>38</v>
      </c>
      <c r="B38" t="s">
        <v>2701</v>
      </c>
      <c r="C38" t="s">
        <v>2667</v>
      </c>
      <c r="D38" t="s">
        <v>2713</v>
      </c>
    </row>
    <row r="39" ht="11.25" customHeight="1">
      <c r="A39">
        <v>39</v>
      </c>
      <c r="B39" t="s">
        <v>2701</v>
      </c>
      <c r="C39" t="s">
        <v>2714</v>
      </c>
      <c r="D39" t="s">
        <v>2715</v>
      </c>
    </row>
    <row r="40" ht="11.25" customHeight="1">
      <c r="A40">
        <v>40</v>
      </c>
      <c r="B40" t="s">
        <v>2701</v>
      </c>
      <c r="C40" t="s">
        <v>2716</v>
      </c>
      <c r="D40" t="s">
        <v>2717</v>
      </c>
    </row>
    <row r="41" ht="11.25" customHeight="1">
      <c r="A41">
        <v>41</v>
      </c>
      <c r="B41" t="s">
        <v>2718</v>
      </c>
      <c r="C41" t="s">
        <v>2718</v>
      </c>
      <c r="D41" t="s">
        <v>2719</v>
      </c>
    </row>
    <row r="42" ht="11.25" customHeight="1">
      <c r="A42">
        <v>42</v>
      </c>
      <c r="B42" t="s">
        <v>2718</v>
      </c>
      <c r="C42" t="s">
        <v>2720</v>
      </c>
      <c r="D42" t="s">
        <v>2721</v>
      </c>
    </row>
    <row r="43" ht="11.25" customHeight="1">
      <c r="A43">
        <v>43</v>
      </c>
      <c r="B43" t="s">
        <v>2718</v>
      </c>
      <c r="C43" t="s">
        <v>2722</v>
      </c>
      <c r="D43" t="s">
        <v>2723</v>
      </c>
    </row>
    <row r="44" ht="11.25" customHeight="1">
      <c r="A44">
        <v>44</v>
      </c>
      <c r="B44" t="s">
        <v>2718</v>
      </c>
      <c r="C44" t="s">
        <v>2724</v>
      </c>
      <c r="D44" t="s">
        <v>2725</v>
      </c>
    </row>
    <row r="45" ht="11.25" customHeight="1">
      <c r="A45">
        <v>45</v>
      </c>
      <c r="B45" t="s">
        <v>2718</v>
      </c>
      <c r="C45" t="s">
        <v>2726</v>
      </c>
      <c r="D45" t="s">
        <v>2727</v>
      </c>
    </row>
    <row r="46" ht="11.25" customHeight="1">
      <c r="A46">
        <v>46</v>
      </c>
      <c r="B46" t="s">
        <v>2718</v>
      </c>
      <c r="C46" t="s">
        <v>2728</v>
      </c>
      <c r="D46" t="s">
        <v>2729</v>
      </c>
    </row>
    <row r="47" ht="11.25" customHeight="1">
      <c r="A47">
        <v>47</v>
      </c>
      <c r="B47" t="s">
        <v>2718</v>
      </c>
      <c r="C47" t="s">
        <v>2730</v>
      </c>
      <c r="D47" t="s">
        <v>2731</v>
      </c>
    </row>
    <row r="48" ht="11.25" customHeight="1">
      <c r="A48">
        <v>48</v>
      </c>
      <c r="B48" t="s">
        <v>2718</v>
      </c>
      <c r="C48" t="s">
        <v>2732</v>
      </c>
      <c r="D48" t="s">
        <v>2733</v>
      </c>
    </row>
    <row r="49" ht="11.25" customHeight="1">
      <c r="A49">
        <v>49</v>
      </c>
      <c r="B49" t="s">
        <v>2718</v>
      </c>
      <c r="C49" t="s">
        <v>2734</v>
      </c>
      <c r="D49" t="s">
        <v>2735</v>
      </c>
    </row>
    <row r="50" ht="11.25" customHeight="1">
      <c r="A50">
        <v>50</v>
      </c>
      <c r="B50" t="s">
        <v>2718</v>
      </c>
      <c r="C50" t="s">
        <v>2736</v>
      </c>
      <c r="D50" t="s">
        <v>2737</v>
      </c>
    </row>
    <row r="51" ht="11.25" customHeight="1">
      <c r="A51">
        <v>51</v>
      </c>
      <c r="B51" t="s">
        <v>2718</v>
      </c>
      <c r="C51" t="s">
        <v>2738</v>
      </c>
      <c r="D51" t="s">
        <v>2739</v>
      </c>
    </row>
    <row r="52" ht="11.25" customHeight="1">
      <c r="A52">
        <v>52</v>
      </c>
      <c r="B52" t="s">
        <v>2718</v>
      </c>
      <c r="C52" t="s">
        <v>2740</v>
      </c>
      <c r="D52" t="s">
        <v>2741</v>
      </c>
    </row>
    <row r="53" ht="11.25" customHeight="1">
      <c r="A53">
        <v>53</v>
      </c>
      <c r="B53" t="s">
        <v>2718</v>
      </c>
      <c r="C53" t="s">
        <v>2742</v>
      </c>
      <c r="D53" t="s">
        <v>2743</v>
      </c>
    </row>
    <row r="54" ht="11.25" customHeight="1">
      <c r="A54">
        <v>54</v>
      </c>
      <c r="B54" t="s">
        <v>2718</v>
      </c>
      <c r="C54" t="s">
        <v>2744</v>
      </c>
      <c r="D54" t="s">
        <v>2745</v>
      </c>
    </row>
    <row r="55" ht="11.25" customHeight="1">
      <c r="A55">
        <v>55</v>
      </c>
      <c r="B55" t="s">
        <v>2718</v>
      </c>
      <c r="C55" t="s">
        <v>2746</v>
      </c>
      <c r="D55" t="s">
        <v>2747</v>
      </c>
    </row>
    <row r="56" ht="11.25" customHeight="1">
      <c r="A56">
        <v>56</v>
      </c>
      <c r="B56" t="s">
        <v>2718</v>
      </c>
      <c r="C56" t="s">
        <v>2748</v>
      </c>
      <c r="D56" t="s">
        <v>2749</v>
      </c>
    </row>
    <row r="57" ht="11.25" customHeight="1">
      <c r="A57">
        <v>57</v>
      </c>
      <c r="B57" t="s">
        <v>2750</v>
      </c>
      <c r="C57" t="s">
        <v>2751</v>
      </c>
      <c r="D57" t="s">
        <v>2752</v>
      </c>
    </row>
    <row r="58" ht="11.25" customHeight="1">
      <c r="A58">
        <v>58</v>
      </c>
      <c r="B58" t="s">
        <v>2750</v>
      </c>
      <c r="C58" t="s">
        <v>2750</v>
      </c>
      <c r="D58" t="s">
        <v>2753</v>
      </c>
    </row>
    <row r="59" ht="11.25" customHeight="1">
      <c r="A59">
        <v>59</v>
      </c>
      <c r="B59" t="s">
        <v>2750</v>
      </c>
      <c r="C59" t="s">
        <v>2754</v>
      </c>
      <c r="D59" t="s">
        <v>2755</v>
      </c>
    </row>
    <row r="60" ht="11.25" customHeight="1">
      <c r="A60">
        <v>60</v>
      </c>
      <c r="B60" t="s">
        <v>2750</v>
      </c>
      <c r="C60" t="s">
        <v>2756</v>
      </c>
      <c r="D60" t="s">
        <v>2757</v>
      </c>
    </row>
    <row r="61" ht="11.25" customHeight="1">
      <c r="A61">
        <v>61</v>
      </c>
      <c r="B61" t="s">
        <v>2750</v>
      </c>
      <c r="C61" t="s">
        <v>2758</v>
      </c>
      <c r="D61" t="s">
        <v>2759</v>
      </c>
    </row>
    <row r="62" ht="11.25" customHeight="1">
      <c r="A62">
        <v>62</v>
      </c>
      <c r="B62" t="s">
        <v>2750</v>
      </c>
      <c r="C62" t="s">
        <v>2760</v>
      </c>
      <c r="D62" t="s">
        <v>2761</v>
      </c>
    </row>
    <row r="63" ht="11.25" customHeight="1">
      <c r="A63">
        <v>63</v>
      </c>
      <c r="B63" t="s">
        <v>2750</v>
      </c>
      <c r="C63" t="s">
        <v>2762</v>
      </c>
      <c r="D63" t="s">
        <v>2763</v>
      </c>
    </row>
    <row r="64" ht="11.25" customHeight="1">
      <c r="A64">
        <v>64</v>
      </c>
      <c r="B64" t="s">
        <v>2750</v>
      </c>
      <c r="C64" t="s">
        <v>2764</v>
      </c>
      <c r="D64" t="s">
        <v>2765</v>
      </c>
    </row>
    <row r="65" ht="11.25" customHeight="1">
      <c r="A65">
        <v>65</v>
      </c>
      <c r="B65" t="s">
        <v>2750</v>
      </c>
      <c r="C65" t="s">
        <v>2766</v>
      </c>
      <c r="D65" t="s">
        <v>2767</v>
      </c>
    </row>
    <row r="66" ht="11.25" customHeight="1">
      <c r="A66">
        <v>66</v>
      </c>
      <c r="B66" t="s">
        <v>2750</v>
      </c>
      <c r="C66" t="s">
        <v>2768</v>
      </c>
      <c r="D66" t="s">
        <v>2769</v>
      </c>
    </row>
    <row r="67" ht="11.25" customHeight="1">
      <c r="A67">
        <v>67</v>
      </c>
      <c r="B67" t="s">
        <v>2750</v>
      </c>
      <c r="C67" t="s">
        <v>2770</v>
      </c>
      <c r="D67" t="s">
        <v>2771</v>
      </c>
    </row>
    <row r="68" ht="11.25" customHeight="1">
      <c r="A68">
        <v>68</v>
      </c>
      <c r="B68" t="s">
        <v>2750</v>
      </c>
      <c r="C68" t="s">
        <v>2772</v>
      </c>
      <c r="D68" t="s">
        <v>2773</v>
      </c>
    </row>
    <row r="69" ht="11.25" customHeight="1">
      <c r="A69">
        <v>69</v>
      </c>
      <c r="B69" t="s">
        <v>2750</v>
      </c>
      <c r="C69" t="s">
        <v>2774</v>
      </c>
      <c r="D69" t="s">
        <v>2775</v>
      </c>
    </row>
    <row r="70" ht="11.25" customHeight="1">
      <c r="A70">
        <v>70</v>
      </c>
      <c r="B70" t="s">
        <v>2776</v>
      </c>
      <c r="C70" t="s">
        <v>2776</v>
      </c>
      <c r="D70" t="s">
        <v>2777</v>
      </c>
    </row>
    <row r="71" ht="11.25" customHeight="1">
      <c r="A71">
        <v>71</v>
      </c>
      <c r="B71" t="s">
        <v>2776</v>
      </c>
      <c r="C71" t="s">
        <v>2778</v>
      </c>
      <c r="D71" t="s">
        <v>2779</v>
      </c>
    </row>
    <row r="72" ht="11.25" customHeight="1">
      <c r="A72">
        <v>72</v>
      </c>
      <c r="B72" t="s">
        <v>2776</v>
      </c>
      <c r="C72" t="s">
        <v>2780</v>
      </c>
      <c r="D72" t="s">
        <v>2781</v>
      </c>
    </row>
    <row r="73" ht="11.25" customHeight="1">
      <c r="A73">
        <v>73</v>
      </c>
      <c r="B73" t="s">
        <v>2776</v>
      </c>
      <c r="C73" t="s">
        <v>2782</v>
      </c>
      <c r="D73" t="s">
        <v>2783</v>
      </c>
    </row>
    <row r="74" ht="11.25" customHeight="1">
      <c r="A74">
        <v>74</v>
      </c>
      <c r="B74" t="s">
        <v>2776</v>
      </c>
      <c r="C74" t="s">
        <v>2784</v>
      </c>
      <c r="D74" t="s">
        <v>2785</v>
      </c>
    </row>
    <row r="75" ht="11.25" customHeight="1">
      <c r="A75">
        <v>75</v>
      </c>
      <c r="B75" t="s">
        <v>2776</v>
      </c>
      <c r="C75" t="s">
        <v>2786</v>
      </c>
      <c r="D75" t="s">
        <v>2787</v>
      </c>
    </row>
    <row r="76" ht="11.25" customHeight="1">
      <c r="A76">
        <v>76</v>
      </c>
      <c r="B76" t="s">
        <v>2776</v>
      </c>
      <c r="C76" t="s">
        <v>2788</v>
      </c>
      <c r="D76" t="s">
        <v>2789</v>
      </c>
    </row>
    <row r="77" ht="11.25" customHeight="1">
      <c r="A77">
        <v>77</v>
      </c>
      <c r="B77" t="s">
        <v>2776</v>
      </c>
      <c r="C77" t="s">
        <v>2790</v>
      </c>
      <c r="D77" t="s">
        <v>2791</v>
      </c>
    </row>
    <row r="78" ht="11.25" customHeight="1">
      <c r="A78">
        <v>78</v>
      </c>
      <c r="B78" t="s">
        <v>2776</v>
      </c>
      <c r="C78" t="s">
        <v>2792</v>
      </c>
      <c r="D78" t="s">
        <v>2793</v>
      </c>
    </row>
    <row r="79" ht="11.25" customHeight="1">
      <c r="A79">
        <v>79</v>
      </c>
      <c r="B79" t="s">
        <v>2776</v>
      </c>
      <c r="C79" t="s">
        <v>2794</v>
      </c>
      <c r="D79" t="s">
        <v>2795</v>
      </c>
    </row>
    <row r="80" ht="11.25" customHeight="1">
      <c r="A80">
        <v>80</v>
      </c>
      <c r="B80" t="s">
        <v>2796</v>
      </c>
      <c r="C80" t="s">
        <v>2797</v>
      </c>
      <c r="D80" t="s">
        <v>2798</v>
      </c>
    </row>
    <row r="81" ht="11.25" customHeight="1">
      <c r="A81">
        <v>81</v>
      </c>
      <c r="B81" t="s">
        <v>2796</v>
      </c>
      <c r="C81" t="s">
        <v>2796</v>
      </c>
      <c r="D81" t="s">
        <v>2799</v>
      </c>
    </row>
    <row r="82" ht="11.25" customHeight="1">
      <c r="A82">
        <v>82</v>
      </c>
      <c r="B82" t="s">
        <v>2796</v>
      </c>
      <c r="C82" t="s">
        <v>2800</v>
      </c>
      <c r="D82" t="s">
        <v>2801</v>
      </c>
    </row>
    <row r="83" ht="11.25" customHeight="1">
      <c r="A83">
        <v>83</v>
      </c>
      <c r="B83" t="s">
        <v>2796</v>
      </c>
      <c r="C83" t="s">
        <v>2802</v>
      </c>
      <c r="D83" t="s">
        <v>2803</v>
      </c>
    </row>
    <row r="84" ht="11.25" customHeight="1">
      <c r="A84">
        <v>84</v>
      </c>
      <c r="B84" t="s">
        <v>2796</v>
      </c>
      <c r="C84" t="s">
        <v>2804</v>
      </c>
      <c r="D84" t="s">
        <v>2805</v>
      </c>
    </row>
    <row r="85" ht="11.25" customHeight="1">
      <c r="A85">
        <v>85</v>
      </c>
      <c r="B85" t="s">
        <v>2796</v>
      </c>
      <c r="C85" t="s">
        <v>2806</v>
      </c>
      <c r="D85" t="s">
        <v>2807</v>
      </c>
    </row>
    <row r="86" ht="11.25" customHeight="1">
      <c r="A86">
        <v>86</v>
      </c>
      <c r="B86" t="s">
        <v>2796</v>
      </c>
      <c r="C86" t="s">
        <v>2808</v>
      </c>
      <c r="D86" t="s">
        <v>2809</v>
      </c>
    </row>
    <row r="87" ht="11.25" customHeight="1">
      <c r="A87">
        <v>87</v>
      </c>
      <c r="B87" t="s">
        <v>2796</v>
      </c>
      <c r="C87" t="s">
        <v>2810</v>
      </c>
      <c r="D87" t="s">
        <v>2811</v>
      </c>
    </row>
    <row r="88" ht="11.25" customHeight="1">
      <c r="A88">
        <v>88</v>
      </c>
      <c r="B88" t="s">
        <v>2796</v>
      </c>
      <c r="C88" t="s">
        <v>2812</v>
      </c>
      <c r="D88" t="s">
        <v>2813</v>
      </c>
    </row>
    <row r="89" ht="11.25" customHeight="1">
      <c r="A89">
        <v>89</v>
      </c>
      <c r="B89" t="s">
        <v>2814</v>
      </c>
      <c r="C89" t="s">
        <v>2815</v>
      </c>
      <c r="D89" t="s">
        <v>2816</v>
      </c>
    </row>
    <row r="90" ht="11.25" customHeight="1">
      <c r="A90">
        <v>90</v>
      </c>
      <c r="B90" t="s">
        <v>2814</v>
      </c>
      <c r="C90" t="s">
        <v>2817</v>
      </c>
      <c r="D90" t="s">
        <v>2818</v>
      </c>
    </row>
    <row r="91" ht="11.25" customHeight="1">
      <c r="A91">
        <v>91</v>
      </c>
      <c r="B91" t="s">
        <v>2814</v>
      </c>
      <c r="C91" t="s">
        <v>2814</v>
      </c>
      <c r="D91" t="s">
        <v>2819</v>
      </c>
    </row>
    <row r="92" ht="11.25" customHeight="1">
      <c r="A92">
        <v>92</v>
      </c>
      <c r="B92" t="s">
        <v>2814</v>
      </c>
      <c r="C92" t="s">
        <v>2820</v>
      </c>
      <c r="D92" t="s">
        <v>2821</v>
      </c>
    </row>
    <row r="93" ht="11.25" customHeight="1">
      <c r="A93">
        <v>93</v>
      </c>
      <c r="B93" t="s">
        <v>2814</v>
      </c>
      <c r="C93" t="s">
        <v>2822</v>
      </c>
      <c r="D93" t="s">
        <v>2823</v>
      </c>
    </row>
    <row r="94" ht="11.25" customHeight="1">
      <c r="A94">
        <v>94</v>
      </c>
      <c r="B94" t="s">
        <v>2814</v>
      </c>
      <c r="C94" t="s">
        <v>2824</v>
      </c>
      <c r="D94" t="s">
        <v>2825</v>
      </c>
    </row>
    <row r="95" ht="11.25" customHeight="1">
      <c r="A95">
        <v>95</v>
      </c>
      <c r="B95" t="s">
        <v>2814</v>
      </c>
      <c r="C95" t="s">
        <v>2826</v>
      </c>
      <c r="D95" t="s">
        <v>2827</v>
      </c>
    </row>
    <row r="96" ht="11.25" customHeight="1">
      <c r="A96">
        <v>96</v>
      </c>
      <c r="B96" t="s">
        <v>2814</v>
      </c>
      <c r="C96" t="s">
        <v>2828</v>
      </c>
      <c r="D96" t="s">
        <v>2829</v>
      </c>
    </row>
    <row r="97" ht="11.25" customHeight="1">
      <c r="A97">
        <v>97</v>
      </c>
      <c r="B97" t="s">
        <v>2814</v>
      </c>
      <c r="C97" t="s">
        <v>2830</v>
      </c>
      <c r="D97" t="s">
        <v>2831</v>
      </c>
    </row>
    <row r="98" ht="11.25" customHeight="1">
      <c r="A98">
        <v>98</v>
      </c>
      <c r="B98" t="s">
        <v>2814</v>
      </c>
      <c r="C98" t="s">
        <v>2832</v>
      </c>
      <c r="D98" t="s">
        <v>2833</v>
      </c>
    </row>
    <row r="99" ht="11.25" customHeight="1">
      <c r="A99">
        <v>99</v>
      </c>
      <c r="B99" t="s">
        <v>2814</v>
      </c>
      <c r="C99" t="s">
        <v>2834</v>
      </c>
      <c r="D99" t="s">
        <v>2835</v>
      </c>
    </row>
    <row r="100" ht="11.25" customHeight="1">
      <c r="A100">
        <v>100</v>
      </c>
      <c r="B100" t="s">
        <v>2814</v>
      </c>
      <c r="C100" t="s">
        <v>2836</v>
      </c>
      <c r="D100" t="s">
        <v>2837</v>
      </c>
    </row>
    <row r="101" ht="11.25" customHeight="1">
      <c r="A101">
        <v>101</v>
      </c>
      <c r="B101" t="s">
        <v>2838</v>
      </c>
      <c r="C101" t="s">
        <v>2838</v>
      </c>
      <c r="D101" t="s">
        <v>2839</v>
      </c>
    </row>
    <row r="102" ht="11.25" customHeight="1">
      <c r="A102">
        <v>102</v>
      </c>
      <c r="B102" t="s">
        <v>2840</v>
      </c>
      <c r="C102" t="s">
        <v>2840</v>
      </c>
      <c r="D102" t="s">
        <v>2841</v>
      </c>
    </row>
    <row r="103" ht="11.25" customHeight="1">
      <c r="A103">
        <v>103</v>
      </c>
      <c r="B103" t="s">
        <v>2842</v>
      </c>
      <c r="C103" t="s">
        <v>2842</v>
      </c>
      <c r="D103" t="s">
        <v>2843</v>
      </c>
    </row>
    <row r="104" ht="11.25" customHeight="1">
      <c r="A104">
        <v>104</v>
      </c>
      <c r="B104" t="s">
        <v>2844</v>
      </c>
      <c r="C104" t="s">
        <v>2844</v>
      </c>
      <c r="D104" t="s">
        <v>2845</v>
      </c>
    </row>
    <row r="105" ht="11.25" customHeight="1">
      <c r="A105">
        <v>105</v>
      </c>
      <c r="B105" t="s">
        <v>2846</v>
      </c>
      <c r="C105" t="s">
        <v>2846</v>
      </c>
      <c r="D105" t="s">
        <v>2847</v>
      </c>
    </row>
    <row r="106" ht="11.25" customHeight="1">
      <c r="A106">
        <v>106</v>
      </c>
      <c r="B106" t="s">
        <v>2848</v>
      </c>
      <c r="C106" t="s">
        <v>2848</v>
      </c>
      <c r="D106" t="s">
        <v>2849</v>
      </c>
    </row>
    <row r="107" ht="11.25" customHeight="1">
      <c r="A107">
        <v>107</v>
      </c>
      <c r="B107" t="s">
        <v>2850</v>
      </c>
      <c r="C107" t="s">
        <v>2850</v>
      </c>
      <c r="D107" t="s">
        <v>2851</v>
      </c>
    </row>
    <row r="108" ht="11.25" customHeight="1">
      <c r="A108">
        <v>108</v>
      </c>
      <c r="B108" t="s">
        <v>2852</v>
      </c>
      <c r="C108" t="s">
        <v>2852</v>
      </c>
      <c r="D108" t="s">
        <v>2853</v>
      </c>
    </row>
    <row r="109" ht="11.25" customHeight="1">
      <c r="A109">
        <v>109</v>
      </c>
      <c r="B109" t="s">
        <v>2854</v>
      </c>
      <c r="C109" t="s">
        <v>2854</v>
      </c>
      <c r="D109" t="s">
        <v>2855</v>
      </c>
    </row>
    <row r="110" ht="11.25" customHeight="1">
      <c r="A110">
        <v>110</v>
      </c>
      <c r="B110" t="s">
        <v>2856</v>
      </c>
      <c r="C110" t="s">
        <v>2856</v>
      </c>
      <c r="D110" t="s">
        <v>2857</v>
      </c>
    </row>
    <row r="111" ht="11.25" customHeight="1">
      <c r="A111">
        <v>111</v>
      </c>
      <c r="B111" t="s">
        <v>2856</v>
      </c>
      <c r="C111" t="s">
        <v>2858</v>
      </c>
      <c r="D111" t="s">
        <v>2859</v>
      </c>
    </row>
    <row r="112" ht="11.25" customHeight="1">
      <c r="A112">
        <v>112</v>
      </c>
      <c r="B112" t="s">
        <v>2856</v>
      </c>
      <c r="C112" t="s">
        <v>2860</v>
      </c>
      <c r="D112" t="s">
        <v>2861</v>
      </c>
    </row>
    <row r="113" ht="11.25" customHeight="1">
      <c r="A113">
        <v>113</v>
      </c>
      <c r="B113" t="s">
        <v>2856</v>
      </c>
      <c r="C113" t="s">
        <v>2862</v>
      </c>
      <c r="D113" t="s">
        <v>2863</v>
      </c>
    </row>
    <row r="114" ht="11.25" customHeight="1">
      <c r="A114">
        <v>114</v>
      </c>
      <c r="B114" t="s">
        <v>2856</v>
      </c>
      <c r="C114" t="s">
        <v>2864</v>
      </c>
      <c r="D114" t="s">
        <v>2865</v>
      </c>
    </row>
    <row r="115" ht="11.25" customHeight="1">
      <c r="A115">
        <v>115</v>
      </c>
      <c r="B115" t="s">
        <v>2856</v>
      </c>
      <c r="C115" t="s">
        <v>2740</v>
      </c>
      <c r="D115" t="s">
        <v>2866</v>
      </c>
    </row>
    <row r="116" ht="11.25" customHeight="1">
      <c r="A116">
        <v>116</v>
      </c>
      <c r="B116" t="s">
        <v>2856</v>
      </c>
      <c r="C116" t="s">
        <v>2744</v>
      </c>
      <c r="D116" t="s">
        <v>2867</v>
      </c>
    </row>
    <row r="117" ht="11.25" customHeight="1">
      <c r="A117">
        <v>117</v>
      </c>
      <c r="B117" t="s">
        <v>2856</v>
      </c>
      <c r="C117" t="s">
        <v>2868</v>
      </c>
      <c r="D117" t="s">
        <v>2869</v>
      </c>
    </row>
    <row r="118" ht="11.25" customHeight="1">
      <c r="A118">
        <v>118</v>
      </c>
      <c r="B118" t="s">
        <v>2856</v>
      </c>
      <c r="C118" t="s">
        <v>2870</v>
      </c>
      <c r="D118" t="s">
        <v>2871</v>
      </c>
    </row>
    <row r="119" ht="11.25" customHeight="1">
      <c r="A119">
        <v>119</v>
      </c>
      <c r="B119" t="s">
        <v>2872</v>
      </c>
      <c r="C119" t="s">
        <v>2873</v>
      </c>
      <c r="D119" t="s">
        <v>2874</v>
      </c>
    </row>
    <row r="120" ht="11.25" customHeight="1">
      <c r="A120">
        <v>120</v>
      </c>
      <c r="B120" t="s">
        <v>2872</v>
      </c>
      <c r="C120" t="s">
        <v>2872</v>
      </c>
      <c r="D120" t="s">
        <v>2875</v>
      </c>
    </row>
    <row r="121" ht="11.25" customHeight="1">
      <c r="A121">
        <v>121</v>
      </c>
      <c r="B121" t="s">
        <v>2872</v>
      </c>
      <c r="C121" t="s">
        <v>2876</v>
      </c>
      <c r="D121" t="s">
        <v>2877</v>
      </c>
    </row>
    <row r="122" ht="11.25" customHeight="1">
      <c r="A122">
        <v>122</v>
      </c>
      <c r="B122" t="s">
        <v>2872</v>
      </c>
      <c r="C122" t="s">
        <v>2878</v>
      </c>
      <c r="D122" t="s">
        <v>2879</v>
      </c>
    </row>
    <row r="123" ht="11.25" customHeight="1">
      <c r="A123">
        <v>123</v>
      </c>
      <c r="B123" t="s">
        <v>2872</v>
      </c>
      <c r="C123" t="s">
        <v>2880</v>
      </c>
      <c r="D123" t="s">
        <v>2881</v>
      </c>
    </row>
    <row r="124" ht="11.25" customHeight="1">
      <c r="A124">
        <v>124</v>
      </c>
      <c r="B124" t="s">
        <v>2872</v>
      </c>
      <c r="C124" t="s">
        <v>2882</v>
      </c>
      <c r="D124" t="s">
        <v>2883</v>
      </c>
    </row>
    <row r="125" ht="11.25" customHeight="1">
      <c r="A125">
        <v>125</v>
      </c>
      <c r="B125" t="s">
        <v>2872</v>
      </c>
      <c r="C125" t="s">
        <v>2884</v>
      </c>
      <c r="D125" t="s">
        <v>2885</v>
      </c>
    </row>
    <row r="126" ht="11.25" customHeight="1">
      <c r="A126">
        <v>126</v>
      </c>
      <c r="B126" t="s">
        <v>2886</v>
      </c>
      <c r="C126" t="s">
        <v>2886</v>
      </c>
      <c r="D126" t="s">
        <v>2887</v>
      </c>
    </row>
    <row r="127" ht="11.25" customHeight="1">
      <c r="A127">
        <v>127</v>
      </c>
      <c r="B127" t="s">
        <v>2888</v>
      </c>
      <c r="C127" t="s">
        <v>2889</v>
      </c>
      <c r="D127" t="s">
        <v>2890</v>
      </c>
    </row>
    <row r="128" ht="11.25" customHeight="1">
      <c r="A128">
        <v>128</v>
      </c>
      <c r="B128" t="s">
        <v>2888</v>
      </c>
      <c r="C128" t="s">
        <v>2891</v>
      </c>
      <c r="D128" t="s">
        <v>2892</v>
      </c>
    </row>
    <row r="129" ht="11.25" customHeight="1">
      <c r="A129">
        <v>129</v>
      </c>
      <c r="B129" t="s">
        <v>2888</v>
      </c>
      <c r="C129" t="s">
        <v>2893</v>
      </c>
      <c r="D129" t="s">
        <v>2894</v>
      </c>
    </row>
    <row r="130" ht="11.25" customHeight="1">
      <c r="A130">
        <v>130</v>
      </c>
      <c r="B130" t="s">
        <v>2888</v>
      </c>
      <c r="C130" t="s">
        <v>2888</v>
      </c>
      <c r="D130" t="s">
        <v>2895</v>
      </c>
    </row>
    <row r="131" ht="11.25" customHeight="1">
      <c r="A131">
        <v>131</v>
      </c>
      <c r="B131" t="s">
        <v>2888</v>
      </c>
      <c r="C131" t="s">
        <v>2896</v>
      </c>
      <c r="D131" t="s">
        <v>2897</v>
      </c>
    </row>
    <row r="132" ht="11.25" customHeight="1">
      <c r="A132">
        <v>132</v>
      </c>
      <c r="B132" t="s">
        <v>2888</v>
      </c>
      <c r="C132" t="s">
        <v>2898</v>
      </c>
      <c r="D132" t="s">
        <v>2899</v>
      </c>
    </row>
    <row r="133" ht="11.25" customHeight="1">
      <c r="A133">
        <v>133</v>
      </c>
      <c r="B133" t="s">
        <v>2888</v>
      </c>
      <c r="C133" t="s">
        <v>2900</v>
      </c>
      <c r="D133" t="s">
        <v>2901</v>
      </c>
    </row>
    <row r="134" ht="11.25" customHeight="1">
      <c r="A134">
        <v>134</v>
      </c>
      <c r="B134" t="s">
        <v>2888</v>
      </c>
      <c r="C134" t="s">
        <v>2902</v>
      </c>
      <c r="D134" t="s">
        <v>2903</v>
      </c>
    </row>
    <row r="135" ht="11.25" customHeight="1">
      <c r="A135">
        <v>135</v>
      </c>
      <c r="B135" t="s">
        <v>2888</v>
      </c>
      <c r="C135" t="s">
        <v>2904</v>
      </c>
      <c r="D135" t="s">
        <v>2905</v>
      </c>
    </row>
    <row r="136" ht="11.25" customHeight="1">
      <c r="A136">
        <v>136</v>
      </c>
      <c r="B136" t="s">
        <v>2888</v>
      </c>
      <c r="C136" t="s">
        <v>2906</v>
      </c>
      <c r="D136" t="s">
        <v>2907</v>
      </c>
    </row>
    <row r="137" ht="11.25" customHeight="1">
      <c r="A137">
        <v>137</v>
      </c>
      <c r="B137" t="s">
        <v>2888</v>
      </c>
      <c r="C137" t="s">
        <v>2908</v>
      </c>
      <c r="D137" t="s">
        <v>2909</v>
      </c>
    </row>
    <row r="138" ht="11.25" customHeight="1">
      <c r="A138">
        <v>138</v>
      </c>
      <c r="B138" t="s">
        <v>2888</v>
      </c>
      <c r="C138" t="s">
        <v>2910</v>
      </c>
      <c r="D138" t="s">
        <v>2911</v>
      </c>
    </row>
    <row r="139" ht="11.25" customHeight="1">
      <c r="A139">
        <v>139</v>
      </c>
      <c r="B139" t="s">
        <v>2888</v>
      </c>
      <c r="C139" t="s">
        <v>2912</v>
      </c>
      <c r="D139" t="s">
        <v>2913</v>
      </c>
    </row>
    <row r="140" ht="11.25" customHeight="1">
      <c r="A140">
        <v>140</v>
      </c>
      <c r="B140" t="s">
        <v>2914</v>
      </c>
      <c r="C140" t="s">
        <v>2914</v>
      </c>
      <c r="D140" t="s">
        <v>2915</v>
      </c>
    </row>
    <row r="141" ht="11.25" customHeight="1">
      <c r="A141">
        <v>141</v>
      </c>
      <c r="B141" t="s">
        <v>2916</v>
      </c>
      <c r="C141" t="s">
        <v>2917</v>
      </c>
      <c r="D141" t="s">
        <v>2918</v>
      </c>
    </row>
    <row r="142" ht="11.25" customHeight="1">
      <c r="A142">
        <v>142</v>
      </c>
      <c r="B142" t="s">
        <v>2916</v>
      </c>
      <c r="C142" t="s">
        <v>2919</v>
      </c>
      <c r="D142" t="s">
        <v>2920</v>
      </c>
    </row>
    <row r="143" ht="11.25" customHeight="1">
      <c r="A143">
        <v>143</v>
      </c>
      <c r="B143" t="s">
        <v>2916</v>
      </c>
      <c r="C143" t="s">
        <v>2921</v>
      </c>
      <c r="D143" t="s">
        <v>2922</v>
      </c>
    </row>
    <row r="144" ht="11.25" customHeight="1">
      <c r="A144">
        <v>144</v>
      </c>
      <c r="B144" t="s">
        <v>2916</v>
      </c>
      <c r="C144" t="s">
        <v>2923</v>
      </c>
      <c r="D144" t="s">
        <v>2924</v>
      </c>
    </row>
    <row r="145" ht="11.25" customHeight="1">
      <c r="A145">
        <v>145</v>
      </c>
      <c r="B145" t="s">
        <v>2916</v>
      </c>
      <c r="C145" t="s">
        <v>2925</v>
      </c>
      <c r="D145" t="s">
        <v>2926</v>
      </c>
    </row>
    <row r="146" ht="11.25" customHeight="1">
      <c r="A146">
        <v>146</v>
      </c>
      <c r="B146" t="s">
        <v>2916</v>
      </c>
      <c r="C146" t="s">
        <v>2927</v>
      </c>
      <c r="D146" t="s">
        <v>2928</v>
      </c>
    </row>
    <row r="147" ht="11.25" customHeight="1">
      <c r="A147">
        <v>147</v>
      </c>
      <c r="B147" t="s">
        <v>2916</v>
      </c>
      <c r="C147" t="s">
        <v>2929</v>
      </c>
      <c r="D147" t="s">
        <v>2930</v>
      </c>
    </row>
    <row r="148" ht="11.25" customHeight="1">
      <c r="A148">
        <v>148</v>
      </c>
      <c r="B148" t="s">
        <v>2916</v>
      </c>
      <c r="C148" t="s">
        <v>2916</v>
      </c>
      <c r="D148" t="s">
        <v>2931</v>
      </c>
    </row>
    <row r="149" ht="11.25" customHeight="1">
      <c r="A149">
        <v>149</v>
      </c>
      <c r="B149" t="s">
        <v>2916</v>
      </c>
      <c r="C149" t="s">
        <v>2932</v>
      </c>
      <c r="D149" t="s">
        <v>2933</v>
      </c>
    </row>
    <row r="150" ht="11.25" customHeight="1">
      <c r="A150">
        <v>150</v>
      </c>
      <c r="B150" t="s">
        <v>2916</v>
      </c>
      <c r="C150" t="s">
        <v>2934</v>
      </c>
      <c r="D150" t="s">
        <v>2935</v>
      </c>
    </row>
    <row r="151" ht="11.25" customHeight="1">
      <c r="A151">
        <v>151</v>
      </c>
      <c r="B151" t="s">
        <v>2916</v>
      </c>
      <c r="C151" t="s">
        <v>2936</v>
      </c>
      <c r="D151" t="s">
        <v>2937</v>
      </c>
    </row>
    <row r="152" ht="11.25" customHeight="1">
      <c r="A152">
        <v>152</v>
      </c>
      <c r="B152" t="s">
        <v>2916</v>
      </c>
      <c r="C152" t="s">
        <v>2938</v>
      </c>
      <c r="D152" t="s">
        <v>2939</v>
      </c>
    </row>
    <row r="153" ht="11.25" customHeight="1">
      <c r="A153">
        <v>153</v>
      </c>
      <c r="B153" t="s">
        <v>2916</v>
      </c>
      <c r="C153" t="s">
        <v>2940</v>
      </c>
      <c r="D153" t="s">
        <v>2941</v>
      </c>
    </row>
    <row r="154" ht="11.25" customHeight="1">
      <c r="A154">
        <v>154</v>
      </c>
      <c r="B154" t="s">
        <v>2916</v>
      </c>
      <c r="C154" t="s">
        <v>2942</v>
      </c>
      <c r="D154" t="s">
        <v>2943</v>
      </c>
    </row>
    <row r="155" ht="11.25" customHeight="1">
      <c r="A155">
        <v>155</v>
      </c>
      <c r="B155" t="s">
        <v>2916</v>
      </c>
      <c r="C155" t="s">
        <v>2944</v>
      </c>
      <c r="D155" t="s">
        <v>2945</v>
      </c>
    </row>
    <row r="156" ht="11.25" customHeight="1">
      <c r="A156">
        <v>156</v>
      </c>
      <c r="B156" t="s">
        <v>2916</v>
      </c>
      <c r="C156" t="s">
        <v>2946</v>
      </c>
      <c r="D156" t="s">
        <v>2947</v>
      </c>
    </row>
    <row r="157" ht="11.25" customHeight="1">
      <c r="A157">
        <v>157</v>
      </c>
      <c r="B157" t="s">
        <v>2916</v>
      </c>
      <c r="C157" t="s">
        <v>2948</v>
      </c>
      <c r="D157" t="s">
        <v>2949</v>
      </c>
    </row>
    <row r="158" ht="11.25" customHeight="1">
      <c r="A158">
        <v>158</v>
      </c>
      <c r="B158" t="s">
        <v>2916</v>
      </c>
      <c r="C158" t="s">
        <v>2950</v>
      </c>
      <c r="D158" t="s">
        <v>2951</v>
      </c>
    </row>
    <row r="159" ht="11.25" customHeight="1">
      <c r="A159">
        <v>159</v>
      </c>
      <c r="B159" t="s">
        <v>2916</v>
      </c>
      <c r="C159" t="s">
        <v>2952</v>
      </c>
      <c r="D159" t="s">
        <v>2953</v>
      </c>
    </row>
    <row r="160" ht="11.25" customHeight="1">
      <c r="A160">
        <v>160</v>
      </c>
      <c r="B160" t="s">
        <v>2916</v>
      </c>
      <c r="C160" t="s">
        <v>2954</v>
      </c>
      <c r="D160" t="s">
        <v>2955</v>
      </c>
    </row>
    <row r="161" ht="11.25" customHeight="1">
      <c r="A161">
        <v>161</v>
      </c>
      <c r="B161" t="s">
        <v>2916</v>
      </c>
      <c r="C161" t="s">
        <v>2956</v>
      </c>
      <c r="D161" t="s">
        <v>2957</v>
      </c>
    </row>
    <row r="162" ht="11.25" customHeight="1">
      <c r="A162">
        <v>162</v>
      </c>
      <c r="B162" t="s">
        <v>2958</v>
      </c>
      <c r="C162" t="s">
        <v>2959</v>
      </c>
      <c r="D162" t="s">
        <v>2960</v>
      </c>
    </row>
    <row r="163" ht="11.25" customHeight="1">
      <c r="A163">
        <v>163</v>
      </c>
      <c r="B163" t="s">
        <v>2958</v>
      </c>
      <c r="C163" t="s">
        <v>2958</v>
      </c>
      <c r="D163" t="s">
        <v>2961</v>
      </c>
    </row>
    <row r="164" ht="11.25" customHeight="1">
      <c r="A164">
        <v>164</v>
      </c>
      <c r="B164" t="s">
        <v>2958</v>
      </c>
      <c r="C164" t="s">
        <v>2962</v>
      </c>
      <c r="D164" t="s">
        <v>2963</v>
      </c>
    </row>
    <row r="165" ht="11.25" customHeight="1">
      <c r="A165">
        <v>165</v>
      </c>
      <c r="B165" t="s">
        <v>2958</v>
      </c>
      <c r="C165" t="s">
        <v>2964</v>
      </c>
      <c r="D165" t="s">
        <v>2965</v>
      </c>
    </row>
    <row r="166" ht="11.25" customHeight="1">
      <c r="A166">
        <v>166</v>
      </c>
      <c r="B166" t="s">
        <v>2958</v>
      </c>
      <c r="C166" t="s">
        <v>2966</v>
      </c>
      <c r="D166" t="s">
        <v>2967</v>
      </c>
    </row>
    <row r="167" ht="11.25" customHeight="1">
      <c r="A167">
        <v>167</v>
      </c>
      <c r="B167" t="s">
        <v>2958</v>
      </c>
      <c r="C167" t="s">
        <v>2968</v>
      </c>
      <c r="D167" t="s">
        <v>2969</v>
      </c>
    </row>
    <row r="168" ht="11.25" customHeight="1">
      <c r="A168">
        <v>168</v>
      </c>
      <c r="B168" t="s">
        <v>2958</v>
      </c>
      <c r="C168" t="s">
        <v>2970</v>
      </c>
      <c r="D168" t="s">
        <v>2971</v>
      </c>
    </row>
    <row r="169" ht="11.25" customHeight="1">
      <c r="A169">
        <v>169</v>
      </c>
      <c r="B169" t="s">
        <v>2958</v>
      </c>
      <c r="C169" t="s">
        <v>2972</v>
      </c>
      <c r="D169" t="s">
        <v>2973</v>
      </c>
    </row>
    <row r="170" ht="11.25" customHeight="1">
      <c r="A170">
        <v>170</v>
      </c>
      <c r="B170" t="s">
        <v>2958</v>
      </c>
      <c r="C170" t="s">
        <v>2974</v>
      </c>
      <c r="D170" t="s">
        <v>2975</v>
      </c>
    </row>
    <row r="171" ht="11.25" customHeight="1">
      <c r="A171">
        <v>171</v>
      </c>
      <c r="B171" t="s">
        <v>2976</v>
      </c>
      <c r="C171" t="s">
        <v>2977</v>
      </c>
      <c r="D171" t="s">
        <v>2978</v>
      </c>
    </row>
    <row r="172" ht="11.25" customHeight="1">
      <c r="A172">
        <v>172</v>
      </c>
      <c r="B172" t="s">
        <v>2976</v>
      </c>
      <c r="C172" t="s">
        <v>2976</v>
      </c>
      <c r="D172" t="s">
        <v>2979</v>
      </c>
    </row>
    <row r="173" ht="11.25" customHeight="1">
      <c r="A173">
        <v>173</v>
      </c>
      <c r="B173" t="s">
        <v>2976</v>
      </c>
      <c r="C173" t="s">
        <v>2980</v>
      </c>
      <c r="D173" t="s">
        <v>2981</v>
      </c>
    </row>
    <row r="174" ht="11.25" customHeight="1">
      <c r="A174">
        <v>174</v>
      </c>
      <c r="B174" t="s">
        <v>2976</v>
      </c>
      <c r="C174" t="s">
        <v>2982</v>
      </c>
      <c r="D174" t="s">
        <v>2983</v>
      </c>
    </row>
    <row r="175" ht="11.25" customHeight="1">
      <c r="A175">
        <v>175</v>
      </c>
      <c r="B175" t="s">
        <v>2976</v>
      </c>
      <c r="C175" t="s">
        <v>2984</v>
      </c>
      <c r="D175" t="s">
        <v>2985</v>
      </c>
    </row>
    <row r="176" ht="11.25" customHeight="1">
      <c r="A176">
        <v>176</v>
      </c>
      <c r="B176" t="s">
        <v>2976</v>
      </c>
      <c r="C176" t="s">
        <v>2966</v>
      </c>
      <c r="D176" t="s">
        <v>2986</v>
      </c>
    </row>
    <row r="177" ht="11.25" customHeight="1">
      <c r="A177">
        <v>177</v>
      </c>
      <c r="B177" t="s">
        <v>2976</v>
      </c>
      <c r="C177" t="s">
        <v>2987</v>
      </c>
      <c r="D177" t="s">
        <v>2988</v>
      </c>
    </row>
    <row r="178" ht="11.25" customHeight="1">
      <c r="A178">
        <v>178</v>
      </c>
      <c r="B178" t="s">
        <v>2976</v>
      </c>
      <c r="C178" t="s">
        <v>2989</v>
      </c>
      <c r="D178" t="s">
        <v>2990</v>
      </c>
    </row>
    <row r="179" ht="11.25" customHeight="1">
      <c r="A179">
        <v>179</v>
      </c>
      <c r="B179" t="s">
        <v>2976</v>
      </c>
      <c r="C179" t="s">
        <v>2991</v>
      </c>
      <c r="D179" t="s">
        <v>2992</v>
      </c>
    </row>
    <row r="180" ht="11.25" customHeight="1">
      <c r="A180">
        <v>180</v>
      </c>
      <c r="B180" t="s">
        <v>2976</v>
      </c>
      <c r="C180" t="s">
        <v>2993</v>
      </c>
      <c r="D180" t="s">
        <v>2994</v>
      </c>
    </row>
    <row r="181" ht="11.25" customHeight="1">
      <c r="A181">
        <v>181</v>
      </c>
      <c r="B181" t="s">
        <v>2995</v>
      </c>
      <c r="C181" t="s">
        <v>2996</v>
      </c>
      <c r="D181" t="s">
        <v>2997</v>
      </c>
    </row>
    <row r="182" ht="11.25" customHeight="1">
      <c r="A182">
        <v>182</v>
      </c>
      <c r="B182" t="s">
        <v>2995</v>
      </c>
      <c r="C182" t="s">
        <v>2998</v>
      </c>
      <c r="D182" t="s">
        <v>2999</v>
      </c>
    </row>
    <row r="183" ht="11.25" customHeight="1">
      <c r="A183">
        <v>183</v>
      </c>
      <c r="B183" t="s">
        <v>2995</v>
      </c>
      <c r="C183" t="s">
        <v>3000</v>
      </c>
      <c r="D183" t="s">
        <v>3001</v>
      </c>
    </row>
    <row r="184" ht="11.25" customHeight="1">
      <c r="A184">
        <v>184</v>
      </c>
      <c r="B184" t="s">
        <v>2995</v>
      </c>
      <c r="C184" t="s">
        <v>2995</v>
      </c>
      <c r="D184" t="s">
        <v>3002</v>
      </c>
    </row>
    <row r="185" ht="11.25" customHeight="1">
      <c r="A185">
        <v>185</v>
      </c>
      <c r="B185" t="s">
        <v>2995</v>
      </c>
      <c r="C185" t="s">
        <v>3003</v>
      </c>
      <c r="D185" t="s">
        <v>3004</v>
      </c>
    </row>
    <row r="186" ht="11.25" customHeight="1">
      <c r="A186">
        <v>186</v>
      </c>
      <c r="B186" t="s">
        <v>2995</v>
      </c>
      <c r="C186" t="s">
        <v>3005</v>
      </c>
      <c r="D186" t="s">
        <v>3006</v>
      </c>
    </row>
    <row r="187" ht="11.25" customHeight="1">
      <c r="A187">
        <v>187</v>
      </c>
      <c r="B187" t="s">
        <v>2995</v>
      </c>
      <c r="C187" t="s">
        <v>3007</v>
      </c>
      <c r="D187" t="s">
        <v>3008</v>
      </c>
    </row>
    <row r="188" ht="11.25" customHeight="1">
      <c r="A188">
        <v>188</v>
      </c>
      <c r="B188" t="s">
        <v>2995</v>
      </c>
      <c r="C188" t="s">
        <v>3009</v>
      </c>
      <c r="D188" t="s">
        <v>3010</v>
      </c>
    </row>
    <row r="189" ht="11.25" customHeight="1">
      <c r="A189">
        <v>189</v>
      </c>
      <c r="B189" t="s">
        <v>2995</v>
      </c>
      <c r="C189" t="s">
        <v>3011</v>
      </c>
      <c r="D189" t="s">
        <v>3012</v>
      </c>
    </row>
    <row r="190" ht="11.25" customHeight="1">
      <c r="A190">
        <v>190</v>
      </c>
      <c r="B190" t="s">
        <v>2995</v>
      </c>
      <c r="C190" t="s">
        <v>3013</v>
      </c>
      <c r="D190" t="s">
        <v>3014</v>
      </c>
    </row>
    <row r="191" ht="11.25" customHeight="1">
      <c r="A191">
        <v>191</v>
      </c>
      <c r="B191" t="s">
        <v>2995</v>
      </c>
      <c r="C191" t="s">
        <v>3015</v>
      </c>
      <c r="D191" t="s">
        <v>3016</v>
      </c>
    </row>
    <row r="192" ht="11.25" customHeight="1">
      <c r="A192">
        <v>192</v>
      </c>
      <c r="B192" t="s">
        <v>3017</v>
      </c>
      <c r="C192" t="s">
        <v>3018</v>
      </c>
      <c r="D192" t="s">
        <v>3019</v>
      </c>
    </row>
    <row r="193" ht="11.25" customHeight="1">
      <c r="A193">
        <v>193</v>
      </c>
      <c r="B193" t="s">
        <v>3017</v>
      </c>
      <c r="C193" t="s">
        <v>3020</v>
      </c>
      <c r="D193" t="s">
        <v>3021</v>
      </c>
    </row>
    <row r="194" ht="11.25" customHeight="1">
      <c r="A194">
        <v>194</v>
      </c>
      <c r="B194" t="s">
        <v>3017</v>
      </c>
      <c r="C194" t="s">
        <v>2893</v>
      </c>
      <c r="D194" t="s">
        <v>3022</v>
      </c>
    </row>
    <row r="195" ht="11.25" customHeight="1">
      <c r="A195">
        <v>195</v>
      </c>
      <c r="B195" t="s">
        <v>3017</v>
      </c>
      <c r="C195" t="s">
        <v>3017</v>
      </c>
      <c r="D195" t="s">
        <v>3023</v>
      </c>
    </row>
    <row r="196" ht="11.25" customHeight="1">
      <c r="A196">
        <v>196</v>
      </c>
      <c r="B196" t="s">
        <v>3017</v>
      </c>
      <c r="C196" t="s">
        <v>3024</v>
      </c>
      <c r="D196" t="s">
        <v>3025</v>
      </c>
    </row>
    <row r="197" ht="11.25" customHeight="1">
      <c r="A197">
        <v>197</v>
      </c>
      <c r="B197" t="s">
        <v>3017</v>
      </c>
      <c r="C197" t="s">
        <v>3026</v>
      </c>
      <c r="D197" t="s">
        <v>3027</v>
      </c>
    </row>
    <row r="198" ht="11.25" customHeight="1">
      <c r="A198">
        <v>198</v>
      </c>
      <c r="B198" t="s">
        <v>3017</v>
      </c>
      <c r="C198" t="s">
        <v>3028</v>
      </c>
      <c r="D198" t="s">
        <v>3029</v>
      </c>
    </row>
    <row r="199" ht="11.25" customHeight="1">
      <c r="A199">
        <v>199</v>
      </c>
      <c r="B199" t="s">
        <v>3017</v>
      </c>
      <c r="C199" t="s">
        <v>3030</v>
      </c>
      <c r="D199" t="s">
        <v>3031</v>
      </c>
    </row>
    <row r="200" ht="11.25" customHeight="1">
      <c r="A200">
        <v>200</v>
      </c>
      <c r="B200" t="s">
        <v>3017</v>
      </c>
      <c r="C200" t="s">
        <v>3032</v>
      </c>
      <c r="D200" t="s">
        <v>3033</v>
      </c>
    </row>
    <row r="201" ht="11.25" customHeight="1">
      <c r="A201">
        <v>201</v>
      </c>
      <c r="B201" t="s">
        <v>3017</v>
      </c>
      <c r="C201" t="s">
        <v>3034</v>
      </c>
      <c r="D201" t="s">
        <v>3035</v>
      </c>
    </row>
    <row r="202" ht="11.25" customHeight="1">
      <c r="A202">
        <v>202</v>
      </c>
      <c r="B202" t="s">
        <v>3017</v>
      </c>
      <c r="C202" t="s">
        <v>3036</v>
      </c>
      <c r="D202" t="s">
        <v>3037</v>
      </c>
    </row>
    <row r="203" ht="11.25" customHeight="1">
      <c r="A203">
        <v>203</v>
      </c>
      <c r="B203" t="s">
        <v>3017</v>
      </c>
      <c r="C203" t="s">
        <v>3038</v>
      </c>
      <c r="D203" t="s">
        <v>3039</v>
      </c>
    </row>
    <row r="204" ht="11.25" customHeight="1">
      <c r="A204">
        <v>204</v>
      </c>
      <c r="B204" t="s">
        <v>3017</v>
      </c>
      <c r="C204" t="s">
        <v>3040</v>
      </c>
      <c r="D204" t="s">
        <v>3041</v>
      </c>
    </row>
    <row r="205" ht="11.25" customHeight="1">
      <c r="A205">
        <v>205</v>
      </c>
      <c r="B205" t="s">
        <v>3017</v>
      </c>
      <c r="C205" t="s">
        <v>3042</v>
      </c>
      <c r="D205" t="s">
        <v>3043</v>
      </c>
    </row>
    <row r="206" ht="11.25" customHeight="1">
      <c r="A206">
        <v>206</v>
      </c>
      <c r="B206" t="s">
        <v>3017</v>
      </c>
      <c r="C206" t="s">
        <v>3044</v>
      </c>
      <c r="D206" t="s">
        <v>3045</v>
      </c>
    </row>
    <row r="207" ht="11.25" customHeight="1">
      <c r="A207">
        <v>207</v>
      </c>
      <c r="B207" t="s">
        <v>3046</v>
      </c>
      <c r="C207" t="s">
        <v>3047</v>
      </c>
      <c r="D207" t="s">
        <v>3048</v>
      </c>
    </row>
    <row r="208" ht="11.25" customHeight="1">
      <c r="A208">
        <v>208</v>
      </c>
      <c r="B208" t="s">
        <v>3046</v>
      </c>
      <c r="C208" t="s">
        <v>3049</v>
      </c>
      <c r="D208" t="s">
        <v>3050</v>
      </c>
    </row>
    <row r="209" ht="11.25" customHeight="1">
      <c r="A209">
        <v>209</v>
      </c>
      <c r="B209" t="s">
        <v>3046</v>
      </c>
      <c r="C209" t="s">
        <v>3051</v>
      </c>
      <c r="D209" t="s">
        <v>3052</v>
      </c>
    </row>
    <row r="210" ht="11.25" customHeight="1">
      <c r="A210">
        <v>210</v>
      </c>
      <c r="B210" t="s">
        <v>3046</v>
      </c>
      <c r="C210" t="s">
        <v>3053</v>
      </c>
      <c r="D210" t="s">
        <v>3054</v>
      </c>
    </row>
    <row r="211" ht="11.25" customHeight="1">
      <c r="A211">
        <v>211</v>
      </c>
      <c r="B211" t="s">
        <v>3046</v>
      </c>
      <c r="C211" t="s">
        <v>3046</v>
      </c>
      <c r="D211" t="s">
        <v>3055</v>
      </c>
    </row>
    <row r="212" ht="11.25" customHeight="1">
      <c r="A212">
        <v>212</v>
      </c>
      <c r="B212" t="s">
        <v>3046</v>
      </c>
      <c r="C212" t="s">
        <v>3056</v>
      </c>
      <c r="D212" t="s">
        <v>3057</v>
      </c>
    </row>
    <row r="213" ht="11.25" customHeight="1">
      <c r="A213">
        <v>213</v>
      </c>
      <c r="B213" t="s">
        <v>3046</v>
      </c>
      <c r="C213" t="s">
        <v>3058</v>
      </c>
      <c r="D213" t="s">
        <v>3059</v>
      </c>
    </row>
    <row r="214" ht="11.25" customHeight="1">
      <c r="A214">
        <v>214</v>
      </c>
      <c r="B214" t="s">
        <v>3046</v>
      </c>
      <c r="C214" t="s">
        <v>3060</v>
      </c>
      <c r="D214" t="s">
        <v>3061</v>
      </c>
    </row>
    <row r="215" ht="11.25" customHeight="1">
      <c r="A215">
        <v>215</v>
      </c>
      <c r="B215" t="s">
        <v>3046</v>
      </c>
      <c r="C215" t="s">
        <v>3062</v>
      </c>
      <c r="D215" t="s">
        <v>3063</v>
      </c>
    </row>
    <row r="216" ht="11.25" customHeight="1">
      <c r="A216">
        <v>216</v>
      </c>
      <c r="B216" t="s">
        <v>3046</v>
      </c>
      <c r="C216" t="s">
        <v>3064</v>
      </c>
      <c r="D216" t="s">
        <v>3065</v>
      </c>
    </row>
    <row r="217" ht="11.25" customHeight="1">
      <c r="A217">
        <v>217</v>
      </c>
      <c r="B217" t="s">
        <v>3046</v>
      </c>
      <c r="C217" t="s">
        <v>3066</v>
      </c>
      <c r="D217" t="s">
        <v>3067</v>
      </c>
    </row>
    <row r="218" ht="11.25" customHeight="1">
      <c r="A218">
        <v>218</v>
      </c>
      <c r="B218" t="s">
        <v>3068</v>
      </c>
      <c r="C218" t="s">
        <v>3069</v>
      </c>
      <c r="D218" t="s">
        <v>3070</v>
      </c>
    </row>
    <row r="219" ht="11.25" customHeight="1">
      <c r="A219">
        <v>219</v>
      </c>
      <c r="B219" t="s">
        <v>3068</v>
      </c>
      <c r="C219" t="s">
        <v>3071</v>
      </c>
      <c r="D219" t="s">
        <v>3072</v>
      </c>
    </row>
    <row r="220" ht="11.25" customHeight="1">
      <c r="A220">
        <v>220</v>
      </c>
      <c r="B220" t="s">
        <v>3068</v>
      </c>
      <c r="C220" t="s">
        <v>3073</v>
      </c>
      <c r="D220" t="s">
        <v>3074</v>
      </c>
    </row>
    <row r="221" ht="11.25" customHeight="1">
      <c r="A221">
        <v>221</v>
      </c>
      <c r="B221" t="s">
        <v>3068</v>
      </c>
      <c r="C221" t="s">
        <v>3075</v>
      </c>
      <c r="D221" t="s">
        <v>3076</v>
      </c>
    </row>
    <row r="222" ht="11.25" customHeight="1">
      <c r="A222">
        <v>222</v>
      </c>
      <c r="B222" t="s">
        <v>3068</v>
      </c>
      <c r="C222" t="s">
        <v>3077</v>
      </c>
      <c r="D222" t="s">
        <v>3078</v>
      </c>
    </row>
    <row r="223" ht="11.25" customHeight="1">
      <c r="A223">
        <v>223</v>
      </c>
      <c r="B223" t="s">
        <v>3068</v>
      </c>
      <c r="C223" t="s">
        <v>3068</v>
      </c>
      <c r="D223" t="s">
        <v>3079</v>
      </c>
    </row>
    <row r="224" ht="11.25" customHeight="1">
      <c r="A224">
        <v>224</v>
      </c>
      <c r="B224" t="s">
        <v>3068</v>
      </c>
      <c r="C224" t="s">
        <v>3080</v>
      </c>
      <c r="D224" t="s">
        <v>3081</v>
      </c>
    </row>
    <row r="225" ht="11.25" customHeight="1">
      <c r="A225">
        <v>225</v>
      </c>
      <c r="B225" t="s">
        <v>3068</v>
      </c>
      <c r="C225" t="s">
        <v>3082</v>
      </c>
      <c r="D225" t="s">
        <v>3083</v>
      </c>
    </row>
    <row r="226" ht="11.25" customHeight="1">
      <c r="A226">
        <v>226</v>
      </c>
      <c r="B226" t="s">
        <v>3068</v>
      </c>
      <c r="C226" t="s">
        <v>3084</v>
      </c>
      <c r="D226" t="s">
        <v>3085</v>
      </c>
    </row>
    <row r="227" ht="11.25" customHeight="1">
      <c r="A227">
        <v>227</v>
      </c>
      <c r="B227" t="s">
        <v>3068</v>
      </c>
      <c r="C227" t="s">
        <v>3086</v>
      </c>
      <c r="D227" t="s">
        <v>3087</v>
      </c>
    </row>
    <row r="228" ht="11.25" customHeight="1">
      <c r="A228">
        <v>228</v>
      </c>
      <c r="B228" t="s">
        <v>3068</v>
      </c>
      <c r="C228" t="s">
        <v>3028</v>
      </c>
      <c r="D228" t="s">
        <v>3088</v>
      </c>
    </row>
    <row r="229" ht="11.25" customHeight="1">
      <c r="A229">
        <v>229</v>
      </c>
      <c r="B229" t="s">
        <v>3068</v>
      </c>
      <c r="C229" t="s">
        <v>3089</v>
      </c>
      <c r="D229" t="s">
        <v>3090</v>
      </c>
    </row>
    <row r="230" ht="11.25" customHeight="1">
      <c r="A230">
        <v>230</v>
      </c>
      <c r="B230" t="s">
        <v>3091</v>
      </c>
      <c r="C230" t="s">
        <v>2815</v>
      </c>
      <c r="D230" t="s">
        <v>3092</v>
      </c>
    </row>
    <row r="231" ht="11.25" customHeight="1">
      <c r="A231">
        <v>231</v>
      </c>
      <c r="B231" t="s">
        <v>3091</v>
      </c>
      <c r="C231" t="s">
        <v>3093</v>
      </c>
      <c r="D231" t="s">
        <v>3094</v>
      </c>
    </row>
    <row r="232" ht="11.25" customHeight="1">
      <c r="A232">
        <v>232</v>
      </c>
      <c r="B232" t="s">
        <v>3091</v>
      </c>
      <c r="C232" t="s">
        <v>3091</v>
      </c>
      <c r="D232" t="s">
        <v>3095</v>
      </c>
    </row>
    <row r="233" ht="11.25" customHeight="1">
      <c r="A233">
        <v>233</v>
      </c>
      <c r="B233" t="s">
        <v>3091</v>
      </c>
      <c r="C233" t="s">
        <v>3096</v>
      </c>
      <c r="D233" t="s">
        <v>3097</v>
      </c>
    </row>
    <row r="234" ht="11.25" customHeight="1">
      <c r="A234">
        <v>234</v>
      </c>
      <c r="B234" t="s">
        <v>3091</v>
      </c>
      <c r="C234" t="s">
        <v>3098</v>
      </c>
      <c r="D234" t="s">
        <v>3099</v>
      </c>
    </row>
    <row r="235" ht="11.25" customHeight="1">
      <c r="A235">
        <v>235</v>
      </c>
      <c r="B235" t="s">
        <v>3091</v>
      </c>
      <c r="C235" t="s">
        <v>3100</v>
      </c>
      <c r="D235" t="s">
        <v>3101</v>
      </c>
    </row>
    <row r="236" ht="11.25" customHeight="1">
      <c r="A236">
        <v>236</v>
      </c>
      <c r="B236" t="s">
        <v>3091</v>
      </c>
      <c r="C236" t="s">
        <v>3102</v>
      </c>
      <c r="D236" t="s">
        <v>3103</v>
      </c>
    </row>
    <row r="237" ht="11.25" customHeight="1">
      <c r="A237">
        <v>237</v>
      </c>
      <c r="B237" t="s">
        <v>3091</v>
      </c>
      <c r="C237" t="s">
        <v>3104</v>
      </c>
      <c r="D237" t="s">
        <v>3105</v>
      </c>
    </row>
    <row r="238" ht="11.25" customHeight="1">
      <c r="A238">
        <v>238</v>
      </c>
      <c r="B238" t="s">
        <v>3091</v>
      </c>
      <c r="C238" t="s">
        <v>3106</v>
      </c>
      <c r="D238" t="s">
        <v>3107</v>
      </c>
    </row>
    <row r="239" ht="11.25" customHeight="1">
      <c r="A239">
        <v>239</v>
      </c>
      <c r="B239" t="s">
        <v>3108</v>
      </c>
      <c r="C239" t="s">
        <v>3109</v>
      </c>
      <c r="D239" t="s">
        <v>3110</v>
      </c>
    </row>
    <row r="240" ht="11.25" customHeight="1">
      <c r="A240">
        <v>240</v>
      </c>
      <c r="B240" t="s">
        <v>3108</v>
      </c>
      <c r="C240" t="s">
        <v>2815</v>
      </c>
      <c r="D240" t="s">
        <v>3111</v>
      </c>
    </row>
    <row r="241" ht="11.25" customHeight="1">
      <c r="A241">
        <v>241</v>
      </c>
      <c r="B241" t="s">
        <v>3108</v>
      </c>
      <c r="C241" t="s">
        <v>2919</v>
      </c>
      <c r="D241" t="s">
        <v>3112</v>
      </c>
    </row>
    <row r="242" ht="11.25" customHeight="1">
      <c r="A242">
        <v>242</v>
      </c>
      <c r="B242" t="s">
        <v>3108</v>
      </c>
      <c r="C242" t="s">
        <v>3113</v>
      </c>
      <c r="D242" t="s">
        <v>3114</v>
      </c>
    </row>
    <row r="243" ht="11.25" customHeight="1">
      <c r="A243">
        <v>243</v>
      </c>
      <c r="B243" t="s">
        <v>3108</v>
      </c>
      <c r="C243" t="s">
        <v>3108</v>
      </c>
      <c r="D243" t="s">
        <v>3115</v>
      </c>
    </row>
    <row r="244" ht="11.25" customHeight="1">
      <c r="A244">
        <v>244</v>
      </c>
      <c r="B244" t="s">
        <v>3108</v>
      </c>
      <c r="C244" t="s">
        <v>3116</v>
      </c>
      <c r="D244" t="s">
        <v>3117</v>
      </c>
    </row>
    <row r="245" ht="11.25" customHeight="1">
      <c r="A245">
        <v>245</v>
      </c>
      <c r="B245" t="s">
        <v>3108</v>
      </c>
      <c r="C245" t="s">
        <v>3118</v>
      </c>
      <c r="D245" t="s">
        <v>3119</v>
      </c>
    </row>
    <row r="246" ht="11.25" customHeight="1">
      <c r="A246">
        <v>246</v>
      </c>
      <c r="B246" t="s">
        <v>3108</v>
      </c>
      <c r="C246" t="s">
        <v>3120</v>
      </c>
      <c r="D246" t="s">
        <v>3121</v>
      </c>
    </row>
    <row r="247" ht="11.25" customHeight="1">
      <c r="A247">
        <v>247</v>
      </c>
      <c r="B247" t="s">
        <v>3108</v>
      </c>
      <c r="C247" t="s">
        <v>3122</v>
      </c>
      <c r="D247" t="s">
        <v>3123</v>
      </c>
    </row>
    <row r="248" ht="11.25" customHeight="1">
      <c r="A248">
        <v>248</v>
      </c>
      <c r="B248" t="s">
        <v>3108</v>
      </c>
      <c r="C248" t="s">
        <v>3124</v>
      </c>
      <c r="D248" t="s">
        <v>3125</v>
      </c>
    </row>
    <row r="249" ht="11.25" customHeight="1">
      <c r="A249">
        <v>249</v>
      </c>
      <c r="B249" t="s">
        <v>3108</v>
      </c>
      <c r="C249" t="s">
        <v>3126</v>
      </c>
      <c r="D249" t="s">
        <v>3127</v>
      </c>
    </row>
    <row r="250" ht="11.25" customHeight="1">
      <c r="A250">
        <v>250</v>
      </c>
      <c r="B250" t="s">
        <v>3108</v>
      </c>
      <c r="C250" t="s">
        <v>3128</v>
      </c>
      <c r="D250" t="s">
        <v>3129</v>
      </c>
    </row>
    <row r="251" ht="11.25" customHeight="1">
      <c r="A251">
        <v>251</v>
      </c>
      <c r="B251" t="s">
        <v>3108</v>
      </c>
      <c r="C251" t="s">
        <v>3130</v>
      </c>
      <c r="D251" t="s">
        <v>3131</v>
      </c>
    </row>
    <row r="252" ht="11.25" customHeight="1">
      <c r="A252">
        <v>252</v>
      </c>
      <c r="B252" t="s">
        <v>3108</v>
      </c>
      <c r="C252" t="s">
        <v>3132</v>
      </c>
      <c r="D252" t="s">
        <v>3133</v>
      </c>
    </row>
    <row r="253" ht="11.25" customHeight="1">
      <c r="A253">
        <v>253</v>
      </c>
      <c r="B253" t="s">
        <v>3134</v>
      </c>
      <c r="C253" t="s">
        <v>2649</v>
      </c>
      <c r="D253" t="s">
        <v>3135</v>
      </c>
    </row>
    <row r="254" ht="11.25" customHeight="1">
      <c r="A254">
        <v>254</v>
      </c>
      <c r="B254" t="s">
        <v>3134</v>
      </c>
      <c r="C254" t="s">
        <v>3136</v>
      </c>
      <c r="D254" t="s">
        <v>3137</v>
      </c>
    </row>
    <row r="255" ht="11.25" customHeight="1">
      <c r="A255">
        <v>255</v>
      </c>
      <c r="B255" t="s">
        <v>3134</v>
      </c>
      <c r="C255" t="s">
        <v>3138</v>
      </c>
      <c r="D255" t="s">
        <v>3139</v>
      </c>
    </row>
    <row r="256" ht="11.25" customHeight="1">
      <c r="A256">
        <v>256</v>
      </c>
      <c r="B256" t="s">
        <v>3134</v>
      </c>
      <c r="C256" t="s">
        <v>3140</v>
      </c>
      <c r="D256" t="s">
        <v>3141</v>
      </c>
    </row>
    <row r="257" ht="11.25" customHeight="1">
      <c r="A257">
        <v>257</v>
      </c>
      <c r="B257" t="s">
        <v>3134</v>
      </c>
      <c r="C257" t="s">
        <v>3134</v>
      </c>
      <c r="D257" t="s">
        <v>3142</v>
      </c>
    </row>
    <row r="258" ht="11.25" customHeight="1">
      <c r="A258">
        <v>258</v>
      </c>
      <c r="B258" t="s">
        <v>3134</v>
      </c>
      <c r="C258" t="s">
        <v>3143</v>
      </c>
      <c r="D258" t="s">
        <v>3144</v>
      </c>
    </row>
    <row r="259" ht="11.25" customHeight="1">
      <c r="A259">
        <v>259</v>
      </c>
      <c r="B259" t="s">
        <v>3134</v>
      </c>
      <c r="C259" t="s">
        <v>3145</v>
      </c>
      <c r="D259" t="s">
        <v>3146</v>
      </c>
    </row>
    <row r="260" ht="11.25" customHeight="1">
      <c r="A260">
        <v>260</v>
      </c>
      <c r="B260" t="s">
        <v>3134</v>
      </c>
      <c r="C260" t="s">
        <v>3147</v>
      </c>
      <c r="D260" t="s">
        <v>3148</v>
      </c>
    </row>
    <row r="261" ht="11.25" customHeight="1">
      <c r="A261">
        <v>261</v>
      </c>
      <c r="B261" t="s">
        <v>3134</v>
      </c>
      <c r="C261" t="s">
        <v>3149</v>
      </c>
      <c r="D261" t="s">
        <v>3150</v>
      </c>
    </row>
    <row r="262" ht="11.25" customHeight="1">
      <c r="A262">
        <v>262</v>
      </c>
      <c r="B262" t="s">
        <v>3134</v>
      </c>
      <c r="C262" t="s">
        <v>3151</v>
      </c>
      <c r="D262" t="s">
        <v>3152</v>
      </c>
    </row>
    <row r="263" ht="11.25" customHeight="1">
      <c r="A263">
        <v>263</v>
      </c>
      <c r="B263" t="s">
        <v>3153</v>
      </c>
      <c r="C263" t="s">
        <v>3154</v>
      </c>
      <c r="D263" t="s">
        <v>3155</v>
      </c>
    </row>
    <row r="264" ht="11.25" customHeight="1">
      <c r="A264">
        <v>264</v>
      </c>
      <c r="B264" t="s">
        <v>3153</v>
      </c>
      <c r="C264" t="s">
        <v>3156</v>
      </c>
      <c r="D264" t="s">
        <v>3157</v>
      </c>
    </row>
    <row r="265" ht="11.25" customHeight="1">
      <c r="A265">
        <v>265</v>
      </c>
      <c r="B265" t="s">
        <v>3153</v>
      </c>
      <c r="C265" t="s">
        <v>3158</v>
      </c>
      <c r="D265" t="s">
        <v>3159</v>
      </c>
    </row>
    <row r="266" ht="11.25" customHeight="1">
      <c r="A266">
        <v>266</v>
      </c>
      <c r="B266" t="s">
        <v>3153</v>
      </c>
      <c r="C266" t="s">
        <v>3160</v>
      </c>
      <c r="D266" t="s">
        <v>3161</v>
      </c>
    </row>
    <row r="267" ht="11.25" customHeight="1">
      <c r="A267">
        <v>267</v>
      </c>
      <c r="B267" t="s">
        <v>3153</v>
      </c>
      <c r="C267" t="s">
        <v>3153</v>
      </c>
      <c r="D267" t="s">
        <v>3162</v>
      </c>
    </row>
    <row r="268" ht="11.25" customHeight="1">
      <c r="A268">
        <v>268</v>
      </c>
      <c r="B268" t="s">
        <v>3153</v>
      </c>
      <c r="C268" t="s">
        <v>3163</v>
      </c>
      <c r="D268" t="s">
        <v>3164</v>
      </c>
    </row>
    <row r="269" ht="11.25" customHeight="1">
      <c r="A269">
        <v>269</v>
      </c>
      <c r="B269" t="s">
        <v>3153</v>
      </c>
      <c r="C269" t="s">
        <v>3165</v>
      </c>
      <c r="D269" t="s">
        <v>3166</v>
      </c>
    </row>
    <row r="270" ht="11.25" customHeight="1">
      <c r="A270">
        <v>270</v>
      </c>
      <c r="B270" t="s">
        <v>3153</v>
      </c>
      <c r="C270" t="s">
        <v>3167</v>
      </c>
      <c r="D270" t="s">
        <v>3168</v>
      </c>
    </row>
    <row r="271" ht="11.25" customHeight="1">
      <c r="A271">
        <v>271</v>
      </c>
      <c r="B271" t="s">
        <v>3153</v>
      </c>
      <c r="C271" t="s">
        <v>2966</v>
      </c>
      <c r="D271" t="s">
        <v>3169</v>
      </c>
    </row>
    <row r="272" ht="11.25" customHeight="1">
      <c r="A272">
        <v>272</v>
      </c>
      <c r="B272" t="s">
        <v>3153</v>
      </c>
      <c r="C272" t="s">
        <v>3170</v>
      </c>
      <c r="D272" t="s">
        <v>3171</v>
      </c>
    </row>
    <row r="273" ht="11.25" customHeight="1">
      <c r="A273">
        <v>273</v>
      </c>
      <c r="B273" t="s">
        <v>3172</v>
      </c>
      <c r="C273" t="s">
        <v>3173</v>
      </c>
      <c r="D273" t="s">
        <v>3174</v>
      </c>
    </row>
    <row r="274" ht="11.25" customHeight="1">
      <c r="A274">
        <v>274</v>
      </c>
      <c r="B274" t="s">
        <v>3172</v>
      </c>
      <c r="C274" t="s">
        <v>3175</v>
      </c>
      <c r="D274" t="s">
        <v>3176</v>
      </c>
    </row>
    <row r="275" ht="11.25" customHeight="1">
      <c r="A275">
        <v>275</v>
      </c>
      <c r="B275" t="s">
        <v>3172</v>
      </c>
      <c r="C275" t="s">
        <v>3177</v>
      </c>
      <c r="D275" t="s">
        <v>3178</v>
      </c>
    </row>
    <row r="276" ht="11.25" customHeight="1">
      <c r="A276">
        <v>276</v>
      </c>
      <c r="B276" t="s">
        <v>3172</v>
      </c>
      <c r="C276" t="s">
        <v>3179</v>
      </c>
      <c r="D276" t="s">
        <v>3180</v>
      </c>
    </row>
    <row r="277" ht="11.25" customHeight="1">
      <c r="A277">
        <v>277</v>
      </c>
      <c r="B277" t="s">
        <v>3172</v>
      </c>
      <c r="C277" t="s">
        <v>3181</v>
      </c>
      <c r="D277" t="s">
        <v>3182</v>
      </c>
    </row>
    <row r="278" ht="11.25" customHeight="1">
      <c r="A278">
        <v>278</v>
      </c>
      <c r="B278" t="s">
        <v>3172</v>
      </c>
      <c r="C278" t="s">
        <v>3183</v>
      </c>
      <c r="D278" t="s">
        <v>3184</v>
      </c>
    </row>
    <row r="279" ht="11.25" customHeight="1">
      <c r="A279">
        <v>279</v>
      </c>
      <c r="B279" t="s">
        <v>3172</v>
      </c>
      <c r="C279" t="s">
        <v>3172</v>
      </c>
      <c r="D279" t="s">
        <v>3185</v>
      </c>
    </row>
    <row r="280" ht="11.25" customHeight="1">
      <c r="A280">
        <v>280</v>
      </c>
      <c r="B280" t="s">
        <v>3172</v>
      </c>
      <c r="C280" t="s">
        <v>3186</v>
      </c>
      <c r="D280" t="s">
        <v>3187</v>
      </c>
    </row>
    <row r="281" ht="11.25" customHeight="1">
      <c r="A281">
        <v>281</v>
      </c>
      <c r="B281" t="s">
        <v>3172</v>
      </c>
      <c r="C281" t="s">
        <v>3188</v>
      </c>
      <c r="D281" t="s">
        <v>3189</v>
      </c>
    </row>
    <row r="282" ht="11.25" customHeight="1">
      <c r="A282">
        <v>282</v>
      </c>
      <c r="B282" t="s">
        <v>3172</v>
      </c>
      <c r="C282" t="s">
        <v>3190</v>
      </c>
      <c r="D282" t="s">
        <v>3191</v>
      </c>
    </row>
    <row r="283" ht="11.25" customHeight="1">
      <c r="A283">
        <v>283</v>
      </c>
      <c r="B283" t="s">
        <v>3172</v>
      </c>
      <c r="C283" t="s">
        <v>3192</v>
      </c>
      <c r="D283" t="s">
        <v>3193</v>
      </c>
    </row>
    <row r="284" ht="11.25" customHeight="1">
      <c r="A284">
        <v>284</v>
      </c>
      <c r="B284" t="s">
        <v>3194</v>
      </c>
      <c r="C284" t="s">
        <v>3195</v>
      </c>
      <c r="D284" t="s">
        <v>3196</v>
      </c>
    </row>
    <row r="285" ht="11.25" customHeight="1">
      <c r="A285">
        <v>285</v>
      </c>
      <c r="B285" t="s">
        <v>3194</v>
      </c>
      <c r="C285" t="s">
        <v>3194</v>
      </c>
      <c r="D285" t="s">
        <v>3197</v>
      </c>
    </row>
    <row r="286" ht="11.25" customHeight="1">
      <c r="A286">
        <v>286</v>
      </c>
      <c r="B286" t="s">
        <v>3194</v>
      </c>
      <c r="C286" t="s">
        <v>3198</v>
      </c>
      <c r="D286" t="s">
        <v>3199</v>
      </c>
    </row>
    <row r="287" ht="11.25" customHeight="1">
      <c r="A287">
        <v>287</v>
      </c>
      <c r="B287" t="s">
        <v>3194</v>
      </c>
      <c r="C287" t="s">
        <v>3200</v>
      </c>
      <c r="D287" t="s">
        <v>3201</v>
      </c>
    </row>
    <row r="288" ht="11.25" customHeight="1">
      <c r="A288">
        <v>288</v>
      </c>
      <c r="B288" t="s">
        <v>3194</v>
      </c>
      <c r="C288" t="s">
        <v>2966</v>
      </c>
      <c r="D288" t="s">
        <v>3202</v>
      </c>
    </row>
    <row r="289" ht="11.25" customHeight="1">
      <c r="A289">
        <v>289</v>
      </c>
      <c r="B289" t="s">
        <v>3194</v>
      </c>
      <c r="C289" t="s">
        <v>3203</v>
      </c>
      <c r="D289" t="s">
        <v>3204</v>
      </c>
    </row>
    <row r="290" ht="11.25" customHeight="1">
      <c r="A290">
        <v>290</v>
      </c>
      <c r="B290" t="s">
        <v>3194</v>
      </c>
      <c r="C290" t="s">
        <v>3205</v>
      </c>
      <c r="D290" t="s">
        <v>3206</v>
      </c>
    </row>
    <row r="291" ht="11.25" customHeight="1">
      <c r="A291">
        <v>291</v>
      </c>
      <c r="B291" t="s">
        <v>3194</v>
      </c>
      <c r="C291" t="s">
        <v>3207</v>
      </c>
      <c r="D291" t="s">
        <v>3208</v>
      </c>
    </row>
    <row r="292" ht="11.25" customHeight="1">
      <c r="A292">
        <v>292</v>
      </c>
      <c r="B292" t="s">
        <v>3194</v>
      </c>
      <c r="C292" t="s">
        <v>2950</v>
      </c>
      <c r="D292" t="s">
        <v>3209</v>
      </c>
    </row>
    <row r="293" ht="11.25" customHeight="1">
      <c r="A293">
        <v>293</v>
      </c>
      <c r="B293" t="s">
        <v>3194</v>
      </c>
      <c r="C293" t="s">
        <v>3210</v>
      </c>
      <c r="D293" t="s">
        <v>3211</v>
      </c>
    </row>
    <row r="294" ht="11.25" customHeight="1">
      <c r="A294">
        <v>294</v>
      </c>
      <c r="B294" t="s">
        <v>3194</v>
      </c>
      <c r="C294" t="s">
        <v>3212</v>
      </c>
      <c r="D294" t="s">
        <v>3213</v>
      </c>
    </row>
    <row r="295" ht="11.25" customHeight="1">
      <c r="A295">
        <v>295</v>
      </c>
      <c r="B295" t="s">
        <v>3214</v>
      </c>
      <c r="C295" t="s">
        <v>3215</v>
      </c>
      <c r="D295" t="s">
        <v>3216</v>
      </c>
    </row>
    <row r="296" ht="11.25" customHeight="1">
      <c r="A296">
        <v>296</v>
      </c>
      <c r="B296" t="s">
        <v>3214</v>
      </c>
      <c r="C296" t="s">
        <v>3217</v>
      </c>
      <c r="D296" t="s">
        <v>3218</v>
      </c>
    </row>
    <row r="297" ht="11.25" customHeight="1">
      <c r="A297">
        <v>297</v>
      </c>
      <c r="B297" t="s">
        <v>3214</v>
      </c>
      <c r="C297" t="s">
        <v>3219</v>
      </c>
      <c r="D297" t="s">
        <v>3220</v>
      </c>
    </row>
    <row r="298" ht="11.25" customHeight="1">
      <c r="A298">
        <v>298</v>
      </c>
      <c r="B298" t="s">
        <v>3214</v>
      </c>
      <c r="C298" t="s">
        <v>2889</v>
      </c>
      <c r="D298" t="s">
        <v>3221</v>
      </c>
    </row>
    <row r="299" ht="11.25" customHeight="1">
      <c r="A299">
        <v>299</v>
      </c>
      <c r="B299" t="s">
        <v>3214</v>
      </c>
      <c r="C299" t="s">
        <v>3222</v>
      </c>
      <c r="D299" t="s">
        <v>3223</v>
      </c>
    </row>
    <row r="300" ht="11.25" customHeight="1">
      <c r="A300">
        <v>300</v>
      </c>
      <c r="B300" t="s">
        <v>3214</v>
      </c>
      <c r="C300" t="s">
        <v>3224</v>
      </c>
      <c r="D300" t="s">
        <v>3225</v>
      </c>
    </row>
    <row r="301" ht="11.25" customHeight="1">
      <c r="A301">
        <v>301</v>
      </c>
      <c r="B301" t="s">
        <v>3214</v>
      </c>
      <c r="C301" t="s">
        <v>3226</v>
      </c>
      <c r="D301" t="s">
        <v>3227</v>
      </c>
    </row>
    <row r="302" ht="11.25" customHeight="1">
      <c r="A302">
        <v>302</v>
      </c>
      <c r="B302" t="s">
        <v>3214</v>
      </c>
      <c r="C302" t="s">
        <v>2659</v>
      </c>
      <c r="D302" t="s">
        <v>3228</v>
      </c>
    </row>
    <row r="303" ht="11.25" customHeight="1">
      <c r="A303">
        <v>303</v>
      </c>
      <c r="B303" t="s">
        <v>3214</v>
      </c>
      <c r="C303" t="s">
        <v>3214</v>
      </c>
      <c r="D303" t="s">
        <v>3229</v>
      </c>
    </row>
    <row r="304" ht="11.25" customHeight="1">
      <c r="A304">
        <v>304</v>
      </c>
      <c r="B304" t="s">
        <v>3214</v>
      </c>
      <c r="C304" t="s">
        <v>3230</v>
      </c>
      <c r="D304" t="s">
        <v>3231</v>
      </c>
    </row>
    <row r="305" ht="11.25" customHeight="1">
      <c r="A305">
        <v>305</v>
      </c>
      <c r="B305" t="s">
        <v>3214</v>
      </c>
      <c r="C305" t="s">
        <v>3232</v>
      </c>
      <c r="D305" t="s">
        <v>3233</v>
      </c>
    </row>
    <row r="306" ht="11.25" customHeight="1">
      <c r="A306">
        <v>306</v>
      </c>
      <c r="B306" t="s">
        <v>3214</v>
      </c>
      <c r="C306" t="s">
        <v>2762</v>
      </c>
      <c r="D306" t="s">
        <v>3234</v>
      </c>
    </row>
    <row r="307" ht="11.25" customHeight="1">
      <c r="A307">
        <v>307</v>
      </c>
      <c r="B307" t="s">
        <v>3214</v>
      </c>
      <c r="C307" t="s">
        <v>3235</v>
      </c>
      <c r="D307" t="s">
        <v>3236</v>
      </c>
    </row>
    <row r="308" ht="11.25" customHeight="1">
      <c r="A308">
        <v>308</v>
      </c>
      <c r="B308" t="s">
        <v>3214</v>
      </c>
      <c r="C308" t="s">
        <v>3237</v>
      </c>
      <c r="D308" t="s">
        <v>3238</v>
      </c>
    </row>
    <row r="309" ht="11.25" customHeight="1">
      <c r="A309">
        <v>309</v>
      </c>
      <c r="B309" t="s">
        <v>3214</v>
      </c>
      <c r="C309" t="s">
        <v>3064</v>
      </c>
      <c r="D309" t="s">
        <v>3239</v>
      </c>
    </row>
    <row r="310" ht="11.25" customHeight="1">
      <c r="A310">
        <v>310</v>
      </c>
      <c r="B310" t="s">
        <v>3214</v>
      </c>
      <c r="C310" t="s">
        <v>3240</v>
      </c>
      <c r="D310" t="s">
        <v>3241</v>
      </c>
    </row>
    <row r="311" ht="11.25" customHeight="1">
      <c r="A311">
        <v>311</v>
      </c>
      <c r="B311" t="s">
        <v>3214</v>
      </c>
      <c r="C311" t="s">
        <v>3242</v>
      </c>
      <c r="D311" t="s">
        <v>3243</v>
      </c>
    </row>
    <row r="312" ht="11.25" customHeight="1">
      <c r="A312">
        <v>312</v>
      </c>
      <c r="B312" t="s">
        <v>3214</v>
      </c>
      <c r="C312" t="s">
        <v>3244</v>
      </c>
      <c r="D312" t="s">
        <v>3245</v>
      </c>
    </row>
    <row r="313" ht="11.25" customHeight="1">
      <c r="A313">
        <v>313</v>
      </c>
      <c r="B313" t="s">
        <v>3214</v>
      </c>
      <c r="C313" t="s">
        <v>2794</v>
      </c>
      <c r="D313" t="s">
        <v>3246</v>
      </c>
    </row>
    <row r="314" ht="11.25" customHeight="1">
      <c r="A314">
        <v>314</v>
      </c>
      <c r="B314" t="s">
        <v>3247</v>
      </c>
      <c r="C314" t="s">
        <v>3248</v>
      </c>
      <c r="D314" t="s">
        <v>3249</v>
      </c>
    </row>
    <row r="315" ht="11.25" customHeight="1">
      <c r="A315">
        <v>315</v>
      </c>
      <c r="B315" t="s">
        <v>3247</v>
      </c>
      <c r="C315" t="s">
        <v>3250</v>
      </c>
      <c r="D315" t="s">
        <v>3251</v>
      </c>
    </row>
    <row r="316" ht="11.25" customHeight="1">
      <c r="A316">
        <v>316</v>
      </c>
      <c r="B316" t="s">
        <v>3247</v>
      </c>
      <c r="C316" t="s">
        <v>3252</v>
      </c>
      <c r="D316" t="s">
        <v>3253</v>
      </c>
    </row>
    <row r="317" ht="11.25" customHeight="1">
      <c r="A317">
        <v>317</v>
      </c>
      <c r="B317" t="s">
        <v>3247</v>
      </c>
      <c r="C317" t="s">
        <v>3254</v>
      </c>
      <c r="D317" t="s">
        <v>3255</v>
      </c>
    </row>
    <row r="318" ht="11.25" customHeight="1">
      <c r="A318">
        <v>318</v>
      </c>
      <c r="B318" t="s">
        <v>3247</v>
      </c>
      <c r="C318" t="s">
        <v>3256</v>
      </c>
      <c r="D318" t="s">
        <v>3257</v>
      </c>
    </row>
    <row r="319" ht="11.25" customHeight="1">
      <c r="A319">
        <v>319</v>
      </c>
      <c r="B319" t="s">
        <v>3247</v>
      </c>
      <c r="C319" t="s">
        <v>3258</v>
      </c>
      <c r="D319" t="s">
        <v>3259</v>
      </c>
    </row>
    <row r="320" ht="11.25" customHeight="1">
      <c r="A320">
        <v>320</v>
      </c>
      <c r="B320" t="s">
        <v>3247</v>
      </c>
      <c r="C320" t="s">
        <v>3260</v>
      </c>
      <c r="D320" t="s">
        <v>3261</v>
      </c>
    </row>
    <row r="321" ht="11.25" customHeight="1">
      <c r="A321">
        <v>321</v>
      </c>
      <c r="B321" t="s">
        <v>3247</v>
      </c>
      <c r="C321" t="s">
        <v>3247</v>
      </c>
      <c r="D321" t="s">
        <v>3262</v>
      </c>
    </row>
    <row r="322" ht="11.25" customHeight="1">
      <c r="A322">
        <v>322</v>
      </c>
      <c r="B322" t="s">
        <v>3247</v>
      </c>
      <c r="C322" t="s">
        <v>3263</v>
      </c>
      <c r="D322" t="s">
        <v>3264</v>
      </c>
    </row>
    <row r="323" ht="11.25" customHeight="1">
      <c r="A323">
        <v>323</v>
      </c>
      <c r="B323" t="s">
        <v>3247</v>
      </c>
      <c r="C323" t="s">
        <v>3265</v>
      </c>
      <c r="D323" t="s">
        <v>3266</v>
      </c>
    </row>
    <row r="324" ht="11.25" customHeight="1">
      <c r="A324">
        <v>324</v>
      </c>
      <c r="B324" t="s">
        <v>3247</v>
      </c>
      <c r="C324" t="s">
        <v>3064</v>
      </c>
      <c r="D324" t="s">
        <v>3267</v>
      </c>
    </row>
    <row r="325" ht="11.25" customHeight="1">
      <c r="A325">
        <v>325</v>
      </c>
      <c r="B325" t="s">
        <v>3247</v>
      </c>
      <c r="C325" t="s">
        <v>3268</v>
      </c>
      <c r="D325" t="s">
        <v>3269</v>
      </c>
    </row>
    <row r="326" ht="11.25" customHeight="1">
      <c r="A326">
        <v>326</v>
      </c>
      <c r="B326" t="s">
        <v>3247</v>
      </c>
      <c r="C326" t="s">
        <v>3270</v>
      </c>
      <c r="D326" t="s">
        <v>3271</v>
      </c>
    </row>
    <row r="327" ht="11.25" customHeight="1">
      <c r="A327">
        <v>327</v>
      </c>
      <c r="B327" t="s">
        <v>3247</v>
      </c>
      <c r="C327" t="s">
        <v>3272</v>
      </c>
      <c r="D327" t="s">
        <v>3273</v>
      </c>
    </row>
    <row r="328" ht="11.25" customHeight="1">
      <c r="A328">
        <v>328</v>
      </c>
      <c r="B328" t="s">
        <v>3274</v>
      </c>
      <c r="C328" t="s">
        <v>3275</v>
      </c>
      <c r="D328" t="s">
        <v>3276</v>
      </c>
    </row>
    <row r="329" ht="11.25" customHeight="1">
      <c r="A329">
        <v>329</v>
      </c>
      <c r="B329" t="s">
        <v>3274</v>
      </c>
      <c r="C329" t="s">
        <v>3277</v>
      </c>
      <c r="D329" t="s">
        <v>3278</v>
      </c>
    </row>
    <row r="330" ht="11.25" customHeight="1">
      <c r="A330">
        <v>330</v>
      </c>
      <c r="B330" t="s">
        <v>3274</v>
      </c>
      <c r="C330" t="s">
        <v>3279</v>
      </c>
      <c r="D330" t="s">
        <v>3280</v>
      </c>
    </row>
    <row r="331" ht="11.25" customHeight="1">
      <c r="A331">
        <v>331</v>
      </c>
      <c r="B331" t="s">
        <v>3274</v>
      </c>
      <c r="C331" t="s">
        <v>3274</v>
      </c>
      <c r="D331" t="s">
        <v>3281</v>
      </c>
    </row>
    <row r="332" ht="11.25" customHeight="1">
      <c r="A332">
        <v>332</v>
      </c>
      <c r="B332" t="s">
        <v>3274</v>
      </c>
      <c r="C332" t="s">
        <v>2780</v>
      </c>
      <c r="D332" t="s">
        <v>3282</v>
      </c>
    </row>
    <row r="333" ht="11.25" customHeight="1">
      <c r="A333">
        <v>333</v>
      </c>
      <c r="B333" t="s">
        <v>3274</v>
      </c>
      <c r="C333" t="s">
        <v>3283</v>
      </c>
      <c r="D333" t="s">
        <v>3284</v>
      </c>
    </row>
    <row r="334" ht="11.25" customHeight="1">
      <c r="A334">
        <v>334</v>
      </c>
      <c r="B334" t="s">
        <v>3274</v>
      </c>
      <c r="C334" t="s">
        <v>2762</v>
      </c>
      <c r="D334" t="s">
        <v>3285</v>
      </c>
    </row>
    <row r="335" ht="11.25" customHeight="1">
      <c r="A335">
        <v>335</v>
      </c>
      <c r="B335" t="s">
        <v>3274</v>
      </c>
      <c r="C335" t="s">
        <v>3286</v>
      </c>
      <c r="D335" t="s">
        <v>3287</v>
      </c>
    </row>
    <row r="336" ht="11.25" customHeight="1">
      <c r="A336">
        <v>336</v>
      </c>
      <c r="B336" t="s">
        <v>3274</v>
      </c>
      <c r="C336" t="s">
        <v>3288</v>
      </c>
      <c r="D336" t="s">
        <v>3289</v>
      </c>
    </row>
    <row r="337" ht="11.25" customHeight="1">
      <c r="A337">
        <v>337</v>
      </c>
      <c r="B337" t="s">
        <v>3290</v>
      </c>
      <c r="C337" t="s">
        <v>3291</v>
      </c>
      <c r="D337" t="s">
        <v>3292</v>
      </c>
    </row>
    <row r="338" ht="11.25" customHeight="1">
      <c r="A338">
        <v>338</v>
      </c>
      <c r="B338" t="s">
        <v>3290</v>
      </c>
      <c r="C338" t="s">
        <v>3293</v>
      </c>
      <c r="D338" t="s">
        <v>3294</v>
      </c>
    </row>
    <row r="339" ht="11.25" customHeight="1">
      <c r="A339">
        <v>339</v>
      </c>
      <c r="B339" t="s">
        <v>3290</v>
      </c>
      <c r="C339" t="s">
        <v>3295</v>
      </c>
      <c r="D339" t="s">
        <v>3296</v>
      </c>
    </row>
    <row r="340" ht="11.25" customHeight="1">
      <c r="A340">
        <v>340</v>
      </c>
      <c r="B340" t="s">
        <v>3290</v>
      </c>
      <c r="C340" t="s">
        <v>3297</v>
      </c>
      <c r="D340" t="s">
        <v>3298</v>
      </c>
    </row>
    <row r="341" ht="11.25" customHeight="1">
      <c r="A341">
        <v>341</v>
      </c>
      <c r="B341" t="s">
        <v>3290</v>
      </c>
      <c r="C341" t="s">
        <v>3299</v>
      </c>
      <c r="D341" t="s">
        <v>3300</v>
      </c>
    </row>
    <row r="342" ht="11.25" customHeight="1">
      <c r="A342">
        <v>342</v>
      </c>
      <c r="B342" t="s">
        <v>3290</v>
      </c>
      <c r="C342" t="s">
        <v>3290</v>
      </c>
      <c r="D342" t="s">
        <v>3301</v>
      </c>
    </row>
    <row r="343" ht="11.25" customHeight="1">
      <c r="A343">
        <v>343</v>
      </c>
      <c r="B343" t="s">
        <v>3290</v>
      </c>
      <c r="C343" t="s">
        <v>2762</v>
      </c>
      <c r="D343" t="s">
        <v>3302</v>
      </c>
    </row>
    <row r="344" ht="11.25" customHeight="1">
      <c r="A344">
        <v>344</v>
      </c>
      <c r="B344" t="s">
        <v>3290</v>
      </c>
      <c r="C344" t="s">
        <v>3303</v>
      </c>
      <c r="D344" t="s">
        <v>3304</v>
      </c>
    </row>
    <row r="345" ht="11.25" customHeight="1">
      <c r="A345">
        <v>345</v>
      </c>
      <c r="B345" t="s">
        <v>3290</v>
      </c>
      <c r="C345" t="s">
        <v>3305</v>
      </c>
      <c r="D345" t="s">
        <v>3306</v>
      </c>
    </row>
    <row r="346" ht="11.25" customHeight="1">
      <c r="A346">
        <v>346</v>
      </c>
      <c r="B346" t="s">
        <v>3290</v>
      </c>
      <c r="C346" t="s">
        <v>3307</v>
      </c>
      <c r="D346" t="s">
        <v>3308</v>
      </c>
    </row>
    <row r="347" ht="11.25" customHeight="1">
      <c r="A347">
        <v>347</v>
      </c>
      <c r="B347" t="s">
        <v>3290</v>
      </c>
      <c r="C347" t="s">
        <v>3309</v>
      </c>
      <c r="D347" t="s">
        <v>3310</v>
      </c>
    </row>
    <row r="348" ht="11.25" customHeight="1">
      <c r="A348">
        <v>348</v>
      </c>
      <c r="B348" t="s">
        <v>3290</v>
      </c>
      <c r="C348" t="s">
        <v>3311</v>
      </c>
      <c r="D348" t="s">
        <v>3312</v>
      </c>
    </row>
    <row r="349" ht="11.25" customHeight="1">
      <c r="A349">
        <v>349</v>
      </c>
      <c r="B349" t="s">
        <v>3290</v>
      </c>
      <c r="C349" t="s">
        <v>3313</v>
      </c>
      <c r="D349" t="s">
        <v>3314</v>
      </c>
    </row>
    <row r="350" ht="11.25" customHeight="1">
      <c r="A350">
        <v>350</v>
      </c>
      <c r="B350" t="s">
        <v>3315</v>
      </c>
      <c r="C350" t="s">
        <v>3316</v>
      </c>
      <c r="D350" t="s">
        <v>3317</v>
      </c>
    </row>
    <row r="351" ht="11.25" customHeight="1">
      <c r="A351">
        <v>351</v>
      </c>
      <c r="B351" t="s">
        <v>3315</v>
      </c>
      <c r="C351" t="s">
        <v>3318</v>
      </c>
      <c r="D351" t="s">
        <v>3319</v>
      </c>
    </row>
    <row r="352" ht="11.25" customHeight="1">
      <c r="A352">
        <v>352</v>
      </c>
      <c r="B352" t="s">
        <v>3315</v>
      </c>
      <c r="C352" t="s">
        <v>3320</v>
      </c>
      <c r="D352" t="s">
        <v>3321</v>
      </c>
    </row>
    <row r="353" ht="11.25" customHeight="1">
      <c r="A353">
        <v>353</v>
      </c>
      <c r="B353" t="s">
        <v>3315</v>
      </c>
      <c r="C353" t="s">
        <v>3315</v>
      </c>
      <c r="D353" t="s">
        <v>3322</v>
      </c>
    </row>
    <row r="354" ht="11.25" customHeight="1">
      <c r="A354">
        <v>354</v>
      </c>
      <c r="B354" t="s">
        <v>3315</v>
      </c>
      <c r="C354" t="s">
        <v>3323</v>
      </c>
      <c r="D354" t="s">
        <v>3324</v>
      </c>
    </row>
    <row r="355" ht="11.25" customHeight="1">
      <c r="A355">
        <v>355</v>
      </c>
      <c r="B355" t="s">
        <v>3315</v>
      </c>
      <c r="C355" t="s">
        <v>3325</v>
      </c>
      <c r="D355" t="s">
        <v>3326</v>
      </c>
    </row>
    <row r="356" ht="11.25" customHeight="1">
      <c r="A356">
        <v>356</v>
      </c>
      <c r="B356" t="s">
        <v>3315</v>
      </c>
      <c r="C356" t="s">
        <v>2834</v>
      </c>
      <c r="D356" t="s">
        <v>3327</v>
      </c>
    </row>
    <row r="357" ht="11.25" customHeight="1">
      <c r="A357">
        <v>357</v>
      </c>
      <c r="B357" t="s">
        <v>3315</v>
      </c>
      <c r="C357" t="s">
        <v>3328</v>
      </c>
      <c r="D357" t="s">
        <v>3329</v>
      </c>
    </row>
    <row r="358" ht="11.25" customHeight="1">
      <c r="A358">
        <v>358</v>
      </c>
      <c r="B358" t="s">
        <v>3330</v>
      </c>
      <c r="C358" t="s">
        <v>3331</v>
      </c>
      <c r="D358" t="s">
        <v>3332</v>
      </c>
    </row>
    <row r="359" ht="11.25" customHeight="1">
      <c r="A359">
        <v>359</v>
      </c>
      <c r="B359" t="s">
        <v>3330</v>
      </c>
      <c r="C359" t="s">
        <v>2996</v>
      </c>
      <c r="D359" t="s">
        <v>3333</v>
      </c>
    </row>
    <row r="360" ht="11.25" customHeight="1">
      <c r="A360">
        <v>360</v>
      </c>
      <c r="B360" t="s">
        <v>3330</v>
      </c>
      <c r="C360" t="s">
        <v>3334</v>
      </c>
      <c r="D360" t="s">
        <v>3335</v>
      </c>
    </row>
    <row r="361" ht="11.25" customHeight="1">
      <c r="A361">
        <v>361</v>
      </c>
      <c r="B361" t="s">
        <v>3330</v>
      </c>
      <c r="C361" t="s">
        <v>3179</v>
      </c>
      <c r="D361" t="s">
        <v>3336</v>
      </c>
    </row>
    <row r="362" ht="11.25" customHeight="1">
      <c r="A362">
        <v>362</v>
      </c>
      <c r="B362" t="s">
        <v>3330</v>
      </c>
      <c r="C362" t="s">
        <v>3254</v>
      </c>
      <c r="D362" t="s">
        <v>3337</v>
      </c>
    </row>
    <row r="363" ht="11.25" customHeight="1">
      <c r="A363">
        <v>363</v>
      </c>
      <c r="B363" t="s">
        <v>3330</v>
      </c>
      <c r="C363" t="s">
        <v>2860</v>
      </c>
      <c r="D363" t="s">
        <v>3338</v>
      </c>
    </row>
    <row r="364" ht="11.25" customHeight="1">
      <c r="A364">
        <v>364</v>
      </c>
      <c r="B364" t="s">
        <v>3330</v>
      </c>
      <c r="C364" t="s">
        <v>3339</v>
      </c>
      <c r="D364" t="s">
        <v>3340</v>
      </c>
    </row>
    <row r="365" ht="11.25" customHeight="1">
      <c r="A365">
        <v>365</v>
      </c>
      <c r="B365" t="s">
        <v>3330</v>
      </c>
      <c r="C365" t="s">
        <v>3330</v>
      </c>
      <c r="D365" t="s">
        <v>3341</v>
      </c>
    </row>
    <row r="366" ht="11.25" customHeight="1">
      <c r="A366">
        <v>366</v>
      </c>
      <c r="B366" t="s">
        <v>3330</v>
      </c>
      <c r="C366" t="s">
        <v>3342</v>
      </c>
      <c r="D366" t="s">
        <v>3343</v>
      </c>
    </row>
    <row r="367" ht="11.25" customHeight="1">
      <c r="A367">
        <v>367</v>
      </c>
      <c r="B367" t="s">
        <v>3330</v>
      </c>
      <c r="C367" t="s">
        <v>3344</v>
      </c>
      <c r="D367" t="s">
        <v>3345</v>
      </c>
    </row>
    <row r="368" ht="11.25" customHeight="1">
      <c r="A368">
        <v>368</v>
      </c>
      <c r="B368" t="s">
        <v>3330</v>
      </c>
      <c r="C368" t="s">
        <v>3346</v>
      </c>
      <c r="D368" t="s">
        <v>3347</v>
      </c>
    </row>
    <row r="369" ht="11.25" customHeight="1">
      <c r="A369">
        <v>369</v>
      </c>
      <c r="B369" t="s">
        <v>3330</v>
      </c>
      <c r="C369" t="s">
        <v>3348</v>
      </c>
      <c r="D369" t="s">
        <v>3349</v>
      </c>
    </row>
    <row r="370" ht="11.25" customHeight="1">
      <c r="A370">
        <v>370</v>
      </c>
      <c r="B370" t="s">
        <v>3330</v>
      </c>
      <c r="C370" t="s">
        <v>3350</v>
      </c>
      <c r="D370" t="s">
        <v>3351</v>
      </c>
    </row>
    <row r="371" ht="11.25" customHeight="1">
      <c r="A371">
        <v>371</v>
      </c>
      <c r="B371" t="s">
        <v>3330</v>
      </c>
      <c r="C371" t="s">
        <v>3352</v>
      </c>
      <c r="D371" t="s">
        <v>3353</v>
      </c>
    </row>
    <row r="372" ht="11.25" customHeight="1">
      <c r="A372">
        <v>372</v>
      </c>
      <c r="B372" t="s">
        <v>3330</v>
      </c>
      <c r="C372" t="s">
        <v>3354</v>
      </c>
      <c r="D372" t="s">
        <v>3355</v>
      </c>
    </row>
    <row r="373" ht="11.25" customHeight="1">
      <c r="A373">
        <v>373</v>
      </c>
      <c r="B373" t="s">
        <v>3330</v>
      </c>
      <c r="C373" t="s">
        <v>3356</v>
      </c>
      <c r="D373" t="s">
        <v>3357</v>
      </c>
    </row>
    <row r="374" ht="11.25" customHeight="1">
      <c r="A374">
        <v>374</v>
      </c>
      <c r="B374" t="s">
        <v>3358</v>
      </c>
      <c r="C374" t="s">
        <v>3359</v>
      </c>
      <c r="D374" t="s">
        <v>3360</v>
      </c>
    </row>
    <row r="375" ht="11.25" customHeight="1">
      <c r="A375">
        <v>375</v>
      </c>
      <c r="B375" t="s">
        <v>3358</v>
      </c>
      <c r="C375" t="s">
        <v>3361</v>
      </c>
      <c r="D375" t="s">
        <v>3362</v>
      </c>
    </row>
    <row r="376" ht="11.25" customHeight="1">
      <c r="A376">
        <v>376</v>
      </c>
      <c r="B376" t="s">
        <v>3358</v>
      </c>
      <c r="C376" t="s">
        <v>3363</v>
      </c>
      <c r="D376" t="s">
        <v>3364</v>
      </c>
    </row>
    <row r="377" ht="11.25" customHeight="1">
      <c r="A377">
        <v>377</v>
      </c>
      <c r="B377" t="s">
        <v>3358</v>
      </c>
      <c r="C377" t="s">
        <v>3365</v>
      </c>
      <c r="D377" t="s">
        <v>3366</v>
      </c>
    </row>
    <row r="378" ht="11.25" customHeight="1">
      <c r="A378">
        <v>378</v>
      </c>
      <c r="B378" t="s">
        <v>3358</v>
      </c>
      <c r="C378" t="s">
        <v>3367</v>
      </c>
      <c r="D378" t="s">
        <v>3368</v>
      </c>
    </row>
    <row r="379" ht="11.25" customHeight="1">
      <c r="A379">
        <v>379</v>
      </c>
      <c r="B379" t="s">
        <v>3358</v>
      </c>
      <c r="C379" t="s">
        <v>3358</v>
      </c>
      <c r="D379" t="s">
        <v>3369</v>
      </c>
    </row>
    <row r="380" ht="11.25" customHeight="1">
      <c r="A380">
        <v>380</v>
      </c>
      <c r="B380" t="s">
        <v>3358</v>
      </c>
      <c r="C380" t="s">
        <v>3370</v>
      </c>
      <c r="D380" t="s">
        <v>3371</v>
      </c>
    </row>
    <row r="381" ht="11.25" customHeight="1">
      <c r="A381">
        <v>381</v>
      </c>
      <c r="B381" t="s">
        <v>3358</v>
      </c>
      <c r="C381" t="s">
        <v>3372</v>
      </c>
      <c r="D381" t="s">
        <v>3373</v>
      </c>
    </row>
    <row r="382" ht="11.25" customHeight="1">
      <c r="A382">
        <v>382</v>
      </c>
      <c r="B382" t="s">
        <v>3358</v>
      </c>
      <c r="C382" t="s">
        <v>3374</v>
      </c>
      <c r="D382" t="s">
        <v>3375</v>
      </c>
    </row>
    <row r="383" ht="11.25" customHeight="1">
      <c r="A383">
        <v>383</v>
      </c>
      <c r="B383" t="s">
        <v>3358</v>
      </c>
      <c r="C383" t="s">
        <v>3376</v>
      </c>
      <c r="D383" t="s">
        <v>3377</v>
      </c>
    </row>
    <row r="384" ht="11.25" customHeight="1">
      <c r="A384">
        <v>384</v>
      </c>
      <c r="B384" t="s">
        <v>3378</v>
      </c>
      <c r="C384" t="s">
        <v>3379</v>
      </c>
      <c r="D384" t="s">
        <v>3380</v>
      </c>
    </row>
    <row r="385" ht="11.25" customHeight="1">
      <c r="A385">
        <v>385</v>
      </c>
      <c r="B385" t="s">
        <v>3378</v>
      </c>
      <c r="C385" t="s">
        <v>3381</v>
      </c>
      <c r="D385" t="s">
        <v>3382</v>
      </c>
    </row>
    <row r="386" ht="11.25" customHeight="1">
      <c r="A386">
        <v>386</v>
      </c>
      <c r="B386" t="s">
        <v>3378</v>
      </c>
      <c r="C386" t="s">
        <v>2815</v>
      </c>
      <c r="D386" t="s">
        <v>3383</v>
      </c>
    </row>
    <row r="387" ht="11.25" customHeight="1">
      <c r="A387">
        <v>387</v>
      </c>
      <c r="B387" t="s">
        <v>3378</v>
      </c>
      <c r="C387" t="s">
        <v>3384</v>
      </c>
      <c r="D387" t="s">
        <v>3385</v>
      </c>
    </row>
    <row r="388" ht="11.25" customHeight="1">
      <c r="A388">
        <v>388</v>
      </c>
      <c r="B388" t="s">
        <v>3378</v>
      </c>
      <c r="C388" t="s">
        <v>3386</v>
      </c>
      <c r="D388" t="s">
        <v>3387</v>
      </c>
    </row>
    <row r="389" ht="11.25" customHeight="1">
      <c r="A389">
        <v>389</v>
      </c>
      <c r="B389" t="s">
        <v>3378</v>
      </c>
      <c r="C389" t="s">
        <v>3388</v>
      </c>
      <c r="D389" t="s">
        <v>3389</v>
      </c>
    </row>
    <row r="390" ht="11.25" customHeight="1">
      <c r="A390">
        <v>390</v>
      </c>
      <c r="B390" t="s">
        <v>3378</v>
      </c>
      <c r="C390" t="s">
        <v>3390</v>
      </c>
      <c r="D390" t="s">
        <v>3391</v>
      </c>
    </row>
    <row r="391" ht="11.25" customHeight="1">
      <c r="A391">
        <v>391</v>
      </c>
      <c r="B391" t="s">
        <v>3378</v>
      </c>
      <c r="C391" t="s">
        <v>3392</v>
      </c>
      <c r="D391" t="s">
        <v>3393</v>
      </c>
    </row>
    <row r="392" ht="11.25" customHeight="1">
      <c r="A392">
        <v>392</v>
      </c>
      <c r="B392" t="s">
        <v>3378</v>
      </c>
      <c r="C392" t="s">
        <v>3394</v>
      </c>
      <c r="D392" t="s">
        <v>3395</v>
      </c>
    </row>
    <row r="393" ht="11.25" customHeight="1">
      <c r="A393">
        <v>393</v>
      </c>
      <c r="B393" t="s">
        <v>3378</v>
      </c>
      <c r="C393" t="s">
        <v>3396</v>
      </c>
      <c r="D393" t="s">
        <v>3397</v>
      </c>
    </row>
    <row r="394" ht="11.25" customHeight="1">
      <c r="A394">
        <v>394</v>
      </c>
      <c r="B394" t="s">
        <v>3378</v>
      </c>
      <c r="C394" t="s">
        <v>3378</v>
      </c>
      <c r="D394" t="s">
        <v>3398</v>
      </c>
    </row>
    <row r="395" ht="11.25" customHeight="1">
      <c r="A395">
        <v>395</v>
      </c>
      <c r="B395" t="s">
        <v>3378</v>
      </c>
      <c r="C395" t="s">
        <v>2740</v>
      </c>
      <c r="D395" t="s">
        <v>3399</v>
      </c>
    </row>
    <row r="396" ht="11.25" customHeight="1">
      <c r="A396">
        <v>396</v>
      </c>
      <c r="B396" t="s">
        <v>3378</v>
      </c>
      <c r="C396" t="s">
        <v>3400</v>
      </c>
      <c r="D396" t="s">
        <v>3401</v>
      </c>
    </row>
    <row r="397" ht="11.25" customHeight="1">
      <c r="A397">
        <v>397</v>
      </c>
      <c r="B397" t="s">
        <v>3378</v>
      </c>
      <c r="C397" t="s">
        <v>3402</v>
      </c>
      <c r="D397" t="s">
        <v>3403</v>
      </c>
    </row>
    <row r="398" ht="11.25" customHeight="1">
      <c r="A398">
        <v>398</v>
      </c>
      <c r="B398" t="s">
        <v>3378</v>
      </c>
      <c r="C398" t="s">
        <v>3404</v>
      </c>
      <c r="D398" t="s">
        <v>3405</v>
      </c>
    </row>
    <row r="399" ht="11.25" customHeight="1">
      <c r="A399">
        <v>399</v>
      </c>
      <c r="B399" t="s">
        <v>3378</v>
      </c>
      <c r="C399" t="s">
        <v>3406</v>
      </c>
      <c r="D399" t="s">
        <v>3407</v>
      </c>
    </row>
    <row r="400" ht="11.25" customHeight="1">
      <c r="A400">
        <v>400</v>
      </c>
      <c r="B400" t="s">
        <v>3378</v>
      </c>
      <c r="C400" t="s">
        <v>3408</v>
      </c>
      <c r="D400" t="s">
        <v>3409</v>
      </c>
    </row>
    <row r="401" ht="11.25" customHeight="1">
      <c r="A401">
        <v>401</v>
      </c>
      <c r="B401" t="s">
        <v>3378</v>
      </c>
      <c r="C401" t="s">
        <v>3410</v>
      </c>
      <c r="D401" t="s">
        <v>3411</v>
      </c>
    </row>
    <row r="402" ht="11.25" customHeight="1">
      <c r="A402">
        <v>402</v>
      </c>
      <c r="B402" t="s">
        <v>3378</v>
      </c>
      <c r="C402" t="s">
        <v>3412</v>
      </c>
      <c r="D402" t="s">
        <v>3413</v>
      </c>
    </row>
    <row r="403" ht="11.25" customHeight="1">
      <c r="A403">
        <v>403</v>
      </c>
      <c r="B403" t="s">
        <v>3414</v>
      </c>
      <c r="C403" t="s">
        <v>2751</v>
      </c>
      <c r="D403" t="s">
        <v>3415</v>
      </c>
    </row>
    <row r="404" ht="11.25" customHeight="1">
      <c r="A404">
        <v>404</v>
      </c>
      <c r="B404" t="s">
        <v>3414</v>
      </c>
      <c r="C404" t="s">
        <v>3416</v>
      </c>
      <c r="D404" t="s">
        <v>3417</v>
      </c>
    </row>
    <row r="405" ht="11.25" customHeight="1">
      <c r="A405">
        <v>405</v>
      </c>
      <c r="B405" t="s">
        <v>3414</v>
      </c>
      <c r="C405" t="s">
        <v>3418</v>
      </c>
      <c r="D405" t="s">
        <v>3419</v>
      </c>
    </row>
    <row r="406" ht="11.25" customHeight="1">
      <c r="A406">
        <v>406</v>
      </c>
      <c r="B406" t="s">
        <v>3414</v>
      </c>
      <c r="C406" t="s">
        <v>2898</v>
      </c>
      <c r="D406" t="s">
        <v>3420</v>
      </c>
    </row>
    <row r="407" ht="11.25" customHeight="1">
      <c r="A407">
        <v>407</v>
      </c>
      <c r="B407" t="s">
        <v>3414</v>
      </c>
      <c r="C407" t="s">
        <v>2762</v>
      </c>
      <c r="D407" t="s">
        <v>3421</v>
      </c>
    </row>
    <row r="408" ht="11.25" customHeight="1">
      <c r="A408">
        <v>408</v>
      </c>
      <c r="B408" t="s">
        <v>3414</v>
      </c>
      <c r="C408" t="s">
        <v>3422</v>
      </c>
      <c r="D408" t="s">
        <v>3423</v>
      </c>
    </row>
    <row r="409" ht="11.25" customHeight="1">
      <c r="A409">
        <v>409</v>
      </c>
      <c r="B409" t="s">
        <v>3414</v>
      </c>
      <c r="C409" t="s">
        <v>3424</v>
      </c>
      <c r="D409" t="s">
        <v>3425</v>
      </c>
    </row>
    <row r="410" ht="11.25" customHeight="1">
      <c r="A410">
        <v>410</v>
      </c>
      <c r="B410" t="s">
        <v>3414</v>
      </c>
      <c r="C410" t="s">
        <v>3414</v>
      </c>
      <c r="D410" t="s">
        <v>3426</v>
      </c>
    </row>
    <row r="411" ht="11.25" customHeight="1">
      <c r="A411">
        <v>411</v>
      </c>
      <c r="B411" t="s">
        <v>3414</v>
      </c>
      <c r="C411" t="s">
        <v>3427</v>
      </c>
      <c r="D411" t="s">
        <v>3428</v>
      </c>
    </row>
    <row r="412" ht="11.25" customHeight="1">
      <c r="A412">
        <v>412</v>
      </c>
      <c r="B412" t="s">
        <v>3414</v>
      </c>
      <c r="C412" t="s">
        <v>3429</v>
      </c>
      <c r="D412" t="s">
        <v>3430</v>
      </c>
    </row>
    <row r="413" ht="11.25" customHeight="1">
      <c r="A413">
        <v>413</v>
      </c>
      <c r="B413" t="s">
        <v>3431</v>
      </c>
      <c r="C413" t="s">
        <v>3432</v>
      </c>
      <c r="D413" t="s">
        <v>3433</v>
      </c>
    </row>
    <row r="414" ht="11.25" customHeight="1">
      <c r="A414">
        <v>414</v>
      </c>
      <c r="B414" t="s">
        <v>3431</v>
      </c>
      <c r="C414" t="s">
        <v>3434</v>
      </c>
      <c r="D414" t="s">
        <v>3435</v>
      </c>
    </row>
    <row r="415" ht="11.25" customHeight="1">
      <c r="A415">
        <v>415</v>
      </c>
      <c r="B415" t="s">
        <v>3431</v>
      </c>
      <c r="C415" t="s">
        <v>3436</v>
      </c>
      <c r="D415" t="s">
        <v>3437</v>
      </c>
    </row>
    <row r="416" ht="11.25" customHeight="1">
      <c r="A416">
        <v>416</v>
      </c>
      <c r="B416" t="s">
        <v>3431</v>
      </c>
      <c r="C416" t="s">
        <v>3438</v>
      </c>
      <c r="D416" t="s">
        <v>3439</v>
      </c>
    </row>
    <row r="417" ht="11.25" customHeight="1">
      <c r="A417">
        <v>417</v>
      </c>
      <c r="B417" t="s">
        <v>3431</v>
      </c>
      <c r="C417" t="s">
        <v>3440</v>
      </c>
      <c r="D417" t="s">
        <v>3441</v>
      </c>
    </row>
    <row r="418" ht="11.25" customHeight="1">
      <c r="A418">
        <v>418</v>
      </c>
      <c r="B418" t="s">
        <v>3431</v>
      </c>
      <c r="C418" t="s">
        <v>3442</v>
      </c>
      <c r="D418" t="s">
        <v>3443</v>
      </c>
    </row>
    <row r="419" ht="11.25" customHeight="1">
      <c r="A419">
        <v>419</v>
      </c>
      <c r="B419" t="s">
        <v>3431</v>
      </c>
      <c r="C419" t="s">
        <v>3263</v>
      </c>
      <c r="D419" t="s">
        <v>3444</v>
      </c>
    </row>
    <row r="420" ht="11.25" customHeight="1">
      <c r="A420">
        <v>420</v>
      </c>
      <c r="B420" t="s">
        <v>3431</v>
      </c>
      <c r="C420" t="s">
        <v>2762</v>
      </c>
      <c r="D420" t="s">
        <v>3445</v>
      </c>
    </row>
    <row r="421" ht="11.25" customHeight="1">
      <c r="A421">
        <v>421</v>
      </c>
      <c r="B421" t="s">
        <v>3431</v>
      </c>
      <c r="C421" t="s">
        <v>3446</v>
      </c>
      <c r="D421" t="s">
        <v>3447</v>
      </c>
    </row>
    <row r="422" ht="11.25" customHeight="1">
      <c r="A422">
        <v>422</v>
      </c>
      <c r="B422" t="s">
        <v>3431</v>
      </c>
      <c r="C422" t="s">
        <v>3448</v>
      </c>
      <c r="D422" t="s">
        <v>3449</v>
      </c>
    </row>
    <row r="423" ht="11.25" customHeight="1">
      <c r="A423">
        <v>423</v>
      </c>
      <c r="B423" t="s">
        <v>3431</v>
      </c>
      <c r="C423" t="s">
        <v>3431</v>
      </c>
      <c r="D423" t="s">
        <v>3450</v>
      </c>
    </row>
    <row r="424" ht="11.25" customHeight="1">
      <c r="A424">
        <v>424</v>
      </c>
      <c r="B424" t="s">
        <v>3431</v>
      </c>
      <c r="C424" t="s">
        <v>3451</v>
      </c>
      <c r="D424" t="s">
        <v>3452</v>
      </c>
    </row>
    <row r="425" ht="11.25" customHeight="1">
      <c r="A425">
        <v>425</v>
      </c>
      <c r="B425" t="s">
        <v>3453</v>
      </c>
      <c r="C425" t="s">
        <v>2685</v>
      </c>
      <c r="D425" t="s">
        <v>3454</v>
      </c>
    </row>
    <row r="426" ht="11.25" customHeight="1">
      <c r="A426">
        <v>426</v>
      </c>
      <c r="B426" t="s">
        <v>3453</v>
      </c>
      <c r="C426" t="s">
        <v>3455</v>
      </c>
      <c r="D426" t="s">
        <v>3456</v>
      </c>
    </row>
    <row r="427" ht="11.25" customHeight="1">
      <c r="A427">
        <v>427</v>
      </c>
      <c r="B427" t="s">
        <v>3453</v>
      </c>
      <c r="C427" t="s">
        <v>3457</v>
      </c>
      <c r="D427" t="s">
        <v>3458</v>
      </c>
    </row>
    <row r="428" ht="11.25" customHeight="1">
      <c r="A428">
        <v>428</v>
      </c>
      <c r="B428" t="s">
        <v>3453</v>
      </c>
      <c r="C428" t="s">
        <v>3459</v>
      </c>
      <c r="D428" t="s">
        <v>3460</v>
      </c>
    </row>
    <row r="429" ht="11.25" customHeight="1">
      <c r="A429">
        <v>429</v>
      </c>
      <c r="B429" t="s">
        <v>3453</v>
      </c>
      <c r="C429" t="s">
        <v>3461</v>
      </c>
      <c r="D429" t="s">
        <v>3462</v>
      </c>
    </row>
    <row r="430" ht="11.25" customHeight="1">
      <c r="A430">
        <v>430</v>
      </c>
      <c r="B430" t="s">
        <v>3453</v>
      </c>
      <c r="C430" t="s">
        <v>3463</v>
      </c>
      <c r="D430" t="s">
        <v>3464</v>
      </c>
    </row>
    <row r="431" ht="11.25" customHeight="1">
      <c r="A431">
        <v>431</v>
      </c>
      <c r="B431" t="s">
        <v>3453</v>
      </c>
      <c r="C431" t="s">
        <v>3465</v>
      </c>
      <c r="D431" t="s">
        <v>3466</v>
      </c>
    </row>
    <row r="432" ht="11.25" customHeight="1">
      <c r="A432">
        <v>432</v>
      </c>
      <c r="B432" t="s">
        <v>3453</v>
      </c>
      <c r="C432" t="s">
        <v>3467</v>
      </c>
      <c r="D432" t="s">
        <v>3468</v>
      </c>
    </row>
    <row r="433" ht="11.25" customHeight="1">
      <c r="A433">
        <v>433</v>
      </c>
      <c r="B433" t="s">
        <v>3453</v>
      </c>
      <c r="C433" t="s">
        <v>3469</v>
      </c>
      <c r="D433" t="s">
        <v>3470</v>
      </c>
    </row>
    <row r="434" ht="11.25" customHeight="1">
      <c r="A434">
        <v>434</v>
      </c>
      <c r="B434" t="s">
        <v>3453</v>
      </c>
      <c r="C434" t="s">
        <v>3453</v>
      </c>
      <c r="D434" t="s">
        <v>3471</v>
      </c>
    </row>
    <row r="435" ht="11.25" customHeight="1">
      <c r="A435">
        <v>435</v>
      </c>
      <c r="B435" t="s">
        <v>3453</v>
      </c>
      <c r="C435" t="s">
        <v>3472</v>
      </c>
      <c r="D435" t="s">
        <v>3473</v>
      </c>
    </row>
    <row r="436" ht="11.25" customHeight="1">
      <c r="A436">
        <v>436</v>
      </c>
      <c r="B436" t="s">
        <v>3453</v>
      </c>
      <c r="C436" t="s">
        <v>3474</v>
      </c>
      <c r="D436" t="s">
        <v>3475</v>
      </c>
    </row>
    <row r="437" ht="11.25" customHeight="1">
      <c r="A437">
        <v>437</v>
      </c>
      <c r="B437" t="s">
        <v>3453</v>
      </c>
      <c r="C437" t="s">
        <v>3476</v>
      </c>
      <c r="D437" t="s">
        <v>3477</v>
      </c>
    </row>
    <row r="438" ht="11.25" customHeight="1">
      <c r="A438">
        <v>438</v>
      </c>
      <c r="B438" t="s">
        <v>3453</v>
      </c>
      <c r="C438" t="s">
        <v>3478</v>
      </c>
      <c r="D438" t="s">
        <v>3479</v>
      </c>
    </row>
    <row r="439" ht="11.25" customHeight="1">
      <c r="A439">
        <v>439</v>
      </c>
      <c r="B439" t="s">
        <v>3480</v>
      </c>
      <c r="C439" t="s">
        <v>3481</v>
      </c>
      <c r="D439" t="s">
        <v>3482</v>
      </c>
    </row>
    <row r="440" ht="11.25" customHeight="1">
      <c r="A440">
        <v>440</v>
      </c>
      <c r="B440" t="s">
        <v>3480</v>
      </c>
      <c r="C440" t="s">
        <v>3483</v>
      </c>
      <c r="D440" t="s">
        <v>3484</v>
      </c>
    </row>
    <row r="441" ht="11.25" customHeight="1">
      <c r="A441">
        <v>441</v>
      </c>
      <c r="B441" t="s">
        <v>3480</v>
      </c>
      <c r="C441" t="s">
        <v>3485</v>
      </c>
      <c r="D441" t="s">
        <v>3486</v>
      </c>
    </row>
    <row r="442" ht="11.25" customHeight="1">
      <c r="A442">
        <v>442</v>
      </c>
      <c r="B442" t="s">
        <v>3480</v>
      </c>
      <c r="C442" t="s">
        <v>3487</v>
      </c>
      <c r="D442" t="s">
        <v>3488</v>
      </c>
    </row>
    <row r="443" ht="11.25" customHeight="1">
      <c r="A443">
        <v>443</v>
      </c>
      <c r="B443" t="s">
        <v>3480</v>
      </c>
      <c r="C443" t="s">
        <v>3064</v>
      </c>
      <c r="D443" t="s">
        <v>3489</v>
      </c>
    </row>
    <row r="444" ht="11.25" customHeight="1">
      <c r="A444">
        <v>444</v>
      </c>
      <c r="B444" t="s">
        <v>3480</v>
      </c>
      <c r="C444" t="s">
        <v>3490</v>
      </c>
      <c r="D444" t="s">
        <v>3491</v>
      </c>
    </row>
    <row r="445" ht="11.25" customHeight="1">
      <c r="A445">
        <v>445</v>
      </c>
      <c r="B445" t="s">
        <v>3480</v>
      </c>
      <c r="C445" t="s">
        <v>3480</v>
      </c>
      <c r="D445" t="s">
        <v>3492</v>
      </c>
    </row>
    <row r="446" ht="11.25" customHeight="1">
      <c r="A446">
        <v>446</v>
      </c>
      <c r="B446" t="s">
        <v>3480</v>
      </c>
      <c r="C446" t="s">
        <v>3493</v>
      </c>
      <c r="D446" t="s">
        <v>3494</v>
      </c>
    </row>
    <row r="447" ht="11.25" customHeight="1">
      <c r="A447">
        <v>447</v>
      </c>
      <c r="B447" t="s">
        <v>3480</v>
      </c>
      <c r="C447" t="s">
        <v>3495</v>
      </c>
      <c r="D447" t="s">
        <v>3496</v>
      </c>
    </row>
    <row r="448" ht="11.25" customHeight="1">
      <c r="A448">
        <v>448</v>
      </c>
      <c r="B448" t="s">
        <v>3480</v>
      </c>
      <c r="C448" t="s">
        <v>3497</v>
      </c>
      <c r="D448" t="s">
        <v>3498</v>
      </c>
    </row>
    <row r="449" ht="11.25" customHeight="1">
      <c r="A449">
        <v>449</v>
      </c>
      <c r="B449" t="s">
        <v>3480</v>
      </c>
      <c r="C449" t="s">
        <v>3499</v>
      </c>
      <c r="D449" t="s">
        <v>3500</v>
      </c>
    </row>
    <row r="450" ht="11.25" customHeight="1">
      <c r="A450">
        <v>450</v>
      </c>
      <c r="B450" t="s">
        <v>3480</v>
      </c>
      <c r="C450" t="s">
        <v>3501</v>
      </c>
      <c r="D450" t="s">
        <v>3502</v>
      </c>
    </row>
    <row r="451" ht="11.25" customHeight="1">
      <c r="A451">
        <v>451</v>
      </c>
      <c r="B451" t="s">
        <v>3480</v>
      </c>
      <c r="C451" t="s">
        <v>3503</v>
      </c>
      <c r="D451" t="s">
        <v>3504</v>
      </c>
    </row>
    <row r="452" ht="11.25" customHeight="1">
      <c r="A452">
        <v>452</v>
      </c>
      <c r="B452" t="s">
        <v>3505</v>
      </c>
      <c r="C452" t="s">
        <v>3506</v>
      </c>
      <c r="D452" t="s">
        <v>3507</v>
      </c>
    </row>
    <row r="453" ht="11.25" customHeight="1">
      <c r="A453">
        <v>453</v>
      </c>
      <c r="B453" t="s">
        <v>3505</v>
      </c>
      <c r="C453" t="s">
        <v>3508</v>
      </c>
      <c r="D453" t="s">
        <v>3509</v>
      </c>
    </row>
    <row r="454" ht="11.25" customHeight="1">
      <c r="A454">
        <v>454</v>
      </c>
      <c r="B454" t="s">
        <v>3505</v>
      </c>
      <c r="C454" t="s">
        <v>3510</v>
      </c>
      <c r="D454" t="s">
        <v>3511</v>
      </c>
    </row>
    <row r="455" ht="11.25" customHeight="1">
      <c r="A455">
        <v>455</v>
      </c>
      <c r="B455" t="s">
        <v>3505</v>
      </c>
      <c r="C455" t="s">
        <v>3512</v>
      </c>
      <c r="D455" t="s">
        <v>3513</v>
      </c>
    </row>
    <row r="456" ht="11.25" customHeight="1">
      <c r="A456">
        <v>456</v>
      </c>
      <c r="B456" t="s">
        <v>3505</v>
      </c>
      <c r="C456" t="s">
        <v>3514</v>
      </c>
      <c r="D456" t="s">
        <v>3515</v>
      </c>
    </row>
    <row r="457" ht="11.25" customHeight="1">
      <c r="A457">
        <v>457</v>
      </c>
      <c r="B457" t="s">
        <v>3505</v>
      </c>
      <c r="C457" t="s">
        <v>3177</v>
      </c>
      <c r="D457" t="s">
        <v>3516</v>
      </c>
    </row>
    <row r="458" ht="11.25" customHeight="1">
      <c r="A458">
        <v>458</v>
      </c>
      <c r="B458" t="s">
        <v>3505</v>
      </c>
      <c r="C458" t="s">
        <v>3517</v>
      </c>
      <c r="D458" t="s">
        <v>3518</v>
      </c>
    </row>
    <row r="459" ht="11.25" customHeight="1">
      <c r="A459">
        <v>459</v>
      </c>
      <c r="B459" t="s">
        <v>3505</v>
      </c>
      <c r="C459" t="s">
        <v>3519</v>
      </c>
      <c r="D459" t="s">
        <v>3520</v>
      </c>
    </row>
    <row r="460" ht="11.25" customHeight="1">
      <c r="A460">
        <v>460</v>
      </c>
      <c r="B460" t="s">
        <v>3505</v>
      </c>
      <c r="C460" t="s">
        <v>3521</v>
      </c>
      <c r="D460" t="s">
        <v>3522</v>
      </c>
    </row>
    <row r="461" ht="11.25" customHeight="1">
      <c r="A461">
        <v>461</v>
      </c>
      <c r="B461" t="s">
        <v>3505</v>
      </c>
      <c r="C461" t="s">
        <v>3505</v>
      </c>
      <c r="D461" t="s">
        <v>3523</v>
      </c>
    </row>
    <row r="462" ht="11.25" customHeight="1">
      <c r="A462">
        <v>462</v>
      </c>
      <c r="B462" t="s">
        <v>3505</v>
      </c>
      <c r="C462" t="s">
        <v>3374</v>
      </c>
      <c r="D462" t="s">
        <v>3524</v>
      </c>
    </row>
    <row r="463" ht="11.25" customHeight="1">
      <c r="A463">
        <v>463</v>
      </c>
      <c r="B463" t="s">
        <v>3505</v>
      </c>
      <c r="C463" t="s">
        <v>3525</v>
      </c>
      <c r="D463" t="s">
        <v>3526</v>
      </c>
    </row>
    <row r="464" ht="11.25" customHeight="1">
      <c r="A464">
        <v>464</v>
      </c>
      <c r="B464" t="s">
        <v>3505</v>
      </c>
      <c r="C464" t="s">
        <v>3527</v>
      </c>
      <c r="D464" t="s">
        <v>3528</v>
      </c>
    </row>
    <row r="465" ht="11.25" customHeight="1">
      <c r="A465">
        <v>465</v>
      </c>
      <c r="B465" t="s">
        <v>3529</v>
      </c>
      <c r="C465" t="s">
        <v>3530</v>
      </c>
      <c r="D465" t="s">
        <v>3531</v>
      </c>
    </row>
    <row r="466" ht="11.25" customHeight="1">
      <c r="A466">
        <v>466</v>
      </c>
      <c r="B466" t="s">
        <v>3529</v>
      </c>
      <c r="C466" t="s">
        <v>3532</v>
      </c>
      <c r="D466" t="s">
        <v>3533</v>
      </c>
    </row>
    <row r="467" ht="11.25" customHeight="1">
      <c r="A467">
        <v>467</v>
      </c>
      <c r="B467" t="s">
        <v>3529</v>
      </c>
      <c r="C467" t="s">
        <v>3534</v>
      </c>
      <c r="D467" t="s">
        <v>3535</v>
      </c>
    </row>
    <row r="468" ht="11.25" customHeight="1">
      <c r="A468">
        <v>468</v>
      </c>
      <c r="B468" t="s">
        <v>3529</v>
      </c>
      <c r="C468" t="s">
        <v>3536</v>
      </c>
      <c r="D468" t="s">
        <v>3537</v>
      </c>
    </row>
    <row r="469" ht="11.25" customHeight="1">
      <c r="A469">
        <v>469</v>
      </c>
      <c r="B469" t="s">
        <v>3529</v>
      </c>
      <c r="C469" t="s">
        <v>3538</v>
      </c>
      <c r="D469" t="s">
        <v>3539</v>
      </c>
    </row>
    <row r="470" ht="11.25" customHeight="1">
      <c r="A470">
        <v>470</v>
      </c>
      <c r="B470" t="s">
        <v>3529</v>
      </c>
      <c r="C470" t="s">
        <v>3540</v>
      </c>
      <c r="D470" t="s">
        <v>3541</v>
      </c>
    </row>
    <row r="471" ht="11.25" customHeight="1">
      <c r="A471">
        <v>471</v>
      </c>
      <c r="B471" t="s">
        <v>3529</v>
      </c>
      <c r="C471" t="s">
        <v>3542</v>
      </c>
      <c r="D471" t="s">
        <v>3543</v>
      </c>
    </row>
    <row r="472" ht="11.25" customHeight="1">
      <c r="A472">
        <v>472</v>
      </c>
      <c r="B472" t="s">
        <v>3529</v>
      </c>
      <c r="C472" t="s">
        <v>3544</v>
      </c>
      <c r="D472" t="s">
        <v>3545</v>
      </c>
    </row>
    <row r="473" ht="11.25" customHeight="1">
      <c r="A473">
        <v>473</v>
      </c>
      <c r="B473" t="s">
        <v>3529</v>
      </c>
      <c r="C473" t="s">
        <v>3546</v>
      </c>
      <c r="D473" t="s">
        <v>3547</v>
      </c>
    </row>
    <row r="474" ht="11.25" customHeight="1">
      <c r="A474">
        <v>474</v>
      </c>
      <c r="B474" t="s">
        <v>3529</v>
      </c>
      <c r="C474" t="s">
        <v>3548</v>
      </c>
      <c r="D474" t="s">
        <v>3549</v>
      </c>
    </row>
    <row r="475" ht="11.25" customHeight="1">
      <c r="A475">
        <v>475</v>
      </c>
      <c r="B475" t="s">
        <v>3529</v>
      </c>
      <c r="C475" t="s">
        <v>3550</v>
      </c>
      <c r="D475" t="s">
        <v>3551</v>
      </c>
    </row>
    <row r="476" ht="11.25" customHeight="1">
      <c r="A476">
        <v>476</v>
      </c>
      <c r="B476" t="s">
        <v>3529</v>
      </c>
      <c r="C476" t="s">
        <v>3552</v>
      </c>
      <c r="D476" t="s">
        <v>3553</v>
      </c>
    </row>
    <row r="477" ht="11.25" customHeight="1">
      <c r="A477">
        <v>477</v>
      </c>
      <c r="B477" t="s">
        <v>3529</v>
      </c>
      <c r="C477" t="s">
        <v>3288</v>
      </c>
      <c r="D477" t="s">
        <v>3554</v>
      </c>
    </row>
    <row r="478" ht="11.25" customHeight="1">
      <c r="A478">
        <v>478</v>
      </c>
      <c r="B478" t="s">
        <v>3529</v>
      </c>
      <c r="C478" t="s">
        <v>3529</v>
      </c>
      <c r="D478" t="s">
        <v>3555</v>
      </c>
    </row>
    <row r="479" ht="11.25" customHeight="1">
      <c r="A479">
        <v>479</v>
      </c>
      <c r="B479" t="s">
        <v>3529</v>
      </c>
      <c r="C479" t="s">
        <v>3556</v>
      </c>
      <c r="D479" t="s">
        <v>3557</v>
      </c>
    </row>
    <row r="480" ht="11.25" customHeight="1">
      <c r="A480">
        <v>480</v>
      </c>
      <c r="B480" t="s">
        <v>3529</v>
      </c>
      <c r="C480" t="s">
        <v>3242</v>
      </c>
      <c r="D480" t="s">
        <v>3558</v>
      </c>
    </row>
    <row r="481" ht="11.25" customHeight="1">
      <c r="A481">
        <v>481</v>
      </c>
      <c r="B481" t="s">
        <v>3529</v>
      </c>
      <c r="C481" t="s">
        <v>3559</v>
      </c>
      <c r="D481" t="s">
        <v>3560</v>
      </c>
    </row>
    <row r="482" ht="11.25" customHeight="1">
      <c r="A482">
        <v>482</v>
      </c>
      <c r="B482" t="s">
        <v>3529</v>
      </c>
      <c r="C482" t="s">
        <v>3561</v>
      </c>
      <c r="D482" t="s">
        <v>3562</v>
      </c>
    </row>
    <row r="483" ht="11.25" customHeight="1">
      <c r="A483">
        <v>483</v>
      </c>
      <c r="B483" t="s">
        <v>3563</v>
      </c>
      <c r="C483" t="s">
        <v>3564</v>
      </c>
      <c r="D483" t="s">
        <v>3565</v>
      </c>
    </row>
    <row r="484" ht="11.25" customHeight="1">
      <c r="A484">
        <v>484</v>
      </c>
      <c r="B484" t="s">
        <v>3563</v>
      </c>
      <c r="C484" t="s">
        <v>3566</v>
      </c>
      <c r="D484" t="s">
        <v>3567</v>
      </c>
    </row>
    <row r="485" ht="11.25" customHeight="1">
      <c r="A485">
        <v>485</v>
      </c>
      <c r="B485" t="s">
        <v>3563</v>
      </c>
      <c r="C485" t="s">
        <v>2659</v>
      </c>
      <c r="D485" t="s">
        <v>3568</v>
      </c>
    </row>
    <row r="486" ht="11.25" customHeight="1">
      <c r="A486">
        <v>486</v>
      </c>
      <c r="B486" t="s">
        <v>3563</v>
      </c>
      <c r="C486" t="s">
        <v>3569</v>
      </c>
      <c r="D486" t="s">
        <v>3570</v>
      </c>
    </row>
    <row r="487" ht="11.25" customHeight="1">
      <c r="A487">
        <v>487</v>
      </c>
      <c r="B487" t="s">
        <v>3563</v>
      </c>
      <c r="C487" t="s">
        <v>3571</v>
      </c>
      <c r="D487" t="s">
        <v>3572</v>
      </c>
    </row>
    <row r="488" ht="11.25" customHeight="1">
      <c r="A488">
        <v>488</v>
      </c>
      <c r="B488" t="s">
        <v>3563</v>
      </c>
      <c r="C488" t="s">
        <v>3563</v>
      </c>
      <c r="D488" t="s">
        <v>3573</v>
      </c>
    </row>
    <row r="489" ht="11.25" customHeight="1">
      <c r="A489">
        <v>489</v>
      </c>
      <c r="B489" t="s">
        <v>3563</v>
      </c>
      <c r="C489" t="s">
        <v>3574</v>
      </c>
      <c r="D489" t="s">
        <v>3575</v>
      </c>
    </row>
    <row r="490" ht="11.25" customHeight="1">
      <c r="A490">
        <v>490</v>
      </c>
      <c r="B490" t="s">
        <v>3563</v>
      </c>
      <c r="C490" t="s">
        <v>2834</v>
      </c>
      <c r="D490" t="s">
        <v>3576</v>
      </c>
    </row>
    <row r="491" ht="11.25" customHeight="1">
      <c r="A491">
        <v>491</v>
      </c>
      <c r="B491" t="s">
        <v>3563</v>
      </c>
      <c r="C491" t="s">
        <v>3577</v>
      </c>
      <c r="D491" t="s">
        <v>3578</v>
      </c>
    </row>
    <row r="492" ht="11.25" customHeight="1">
      <c r="A492">
        <v>492</v>
      </c>
      <c r="B492" t="s">
        <v>3563</v>
      </c>
      <c r="C492" t="s">
        <v>3579</v>
      </c>
      <c r="D492" t="s">
        <v>3580</v>
      </c>
    </row>
    <row r="493" ht="11.25" customHeight="1">
      <c r="A493">
        <v>493</v>
      </c>
      <c r="B493" t="s">
        <v>3581</v>
      </c>
      <c r="C493" t="s">
        <v>3582</v>
      </c>
      <c r="D493" t="s">
        <v>3583</v>
      </c>
    </row>
    <row r="494" ht="11.25" customHeight="1">
      <c r="A494">
        <v>494</v>
      </c>
      <c r="B494" t="s">
        <v>3581</v>
      </c>
      <c r="C494" t="s">
        <v>3584</v>
      </c>
      <c r="D494" t="s">
        <v>3585</v>
      </c>
    </row>
    <row r="495" ht="11.25" customHeight="1">
      <c r="A495">
        <v>495</v>
      </c>
      <c r="B495" t="s">
        <v>3581</v>
      </c>
      <c r="C495" t="s">
        <v>3442</v>
      </c>
      <c r="D495" t="s">
        <v>3586</v>
      </c>
    </row>
    <row r="496" ht="11.25" customHeight="1">
      <c r="A496">
        <v>496</v>
      </c>
      <c r="B496" t="s">
        <v>3581</v>
      </c>
      <c r="C496" t="s">
        <v>3587</v>
      </c>
      <c r="D496" t="s">
        <v>3588</v>
      </c>
    </row>
    <row r="497" ht="11.25" customHeight="1">
      <c r="A497">
        <v>497</v>
      </c>
      <c r="B497" t="s">
        <v>3581</v>
      </c>
      <c r="C497" t="s">
        <v>3589</v>
      </c>
      <c r="D497" t="s">
        <v>3590</v>
      </c>
    </row>
    <row r="498" ht="11.25" customHeight="1">
      <c r="A498">
        <v>498</v>
      </c>
      <c r="B498" t="s">
        <v>3581</v>
      </c>
      <c r="C498" t="s">
        <v>3591</v>
      </c>
      <c r="D498" t="s">
        <v>3592</v>
      </c>
    </row>
    <row r="499" ht="11.25" customHeight="1">
      <c r="A499">
        <v>499</v>
      </c>
      <c r="B499" t="s">
        <v>3581</v>
      </c>
      <c r="C499" t="s">
        <v>3593</v>
      </c>
      <c r="D499" t="s">
        <v>3594</v>
      </c>
    </row>
    <row r="500" ht="11.25" customHeight="1">
      <c r="A500">
        <v>500</v>
      </c>
      <c r="B500" t="s">
        <v>3581</v>
      </c>
      <c r="C500" t="s">
        <v>3581</v>
      </c>
      <c r="D500" t="s">
        <v>3595</v>
      </c>
    </row>
    <row r="501" ht="11.25" customHeight="1">
      <c r="A501">
        <v>501</v>
      </c>
      <c r="B501" t="s">
        <v>3581</v>
      </c>
      <c r="C501" t="s">
        <v>3596</v>
      </c>
      <c r="D501" t="s">
        <v>3597</v>
      </c>
    </row>
    <row r="502" ht="11.25" customHeight="1">
      <c r="A502">
        <v>502</v>
      </c>
      <c r="B502" t="s">
        <v>3581</v>
      </c>
      <c r="C502" t="s">
        <v>3598</v>
      </c>
      <c r="D502" t="s">
        <v>3599</v>
      </c>
    </row>
    <row r="503" ht="11.25" customHeight="1">
      <c r="A503">
        <v>503</v>
      </c>
      <c r="B503" t="s">
        <v>3581</v>
      </c>
      <c r="C503" t="s">
        <v>3600</v>
      </c>
      <c r="D503" t="s">
        <v>3601</v>
      </c>
    </row>
    <row r="504" ht="11.25" customHeight="1">
      <c r="A504">
        <v>504</v>
      </c>
      <c r="B504" t="s">
        <v>3581</v>
      </c>
      <c r="C504" t="s">
        <v>3602</v>
      </c>
      <c r="D504" t="s">
        <v>3603</v>
      </c>
    </row>
    <row r="505" ht="11.25" customHeight="1">
      <c r="A505">
        <v>505</v>
      </c>
      <c r="B505" t="s">
        <v>3581</v>
      </c>
      <c r="C505" t="s">
        <v>3604</v>
      </c>
      <c r="D505" t="s">
        <v>3605</v>
      </c>
    </row>
    <row r="506" ht="11.25" customHeight="1">
      <c r="A506">
        <v>506</v>
      </c>
      <c r="B506" t="s">
        <v>3606</v>
      </c>
      <c r="C506" t="s">
        <v>2815</v>
      </c>
      <c r="D506" t="s">
        <v>3607</v>
      </c>
    </row>
    <row r="507" ht="11.25" customHeight="1">
      <c r="A507">
        <v>507</v>
      </c>
      <c r="B507" t="s">
        <v>3606</v>
      </c>
      <c r="C507" t="s">
        <v>3113</v>
      </c>
      <c r="D507" t="s">
        <v>3608</v>
      </c>
    </row>
    <row r="508" ht="11.25" customHeight="1">
      <c r="A508">
        <v>508</v>
      </c>
      <c r="B508" t="s">
        <v>3606</v>
      </c>
      <c r="C508" t="s">
        <v>3609</v>
      </c>
      <c r="D508" t="s">
        <v>3610</v>
      </c>
    </row>
    <row r="509" ht="11.25" customHeight="1">
      <c r="A509">
        <v>509</v>
      </c>
      <c r="B509" t="s">
        <v>3606</v>
      </c>
      <c r="C509" t="s">
        <v>3611</v>
      </c>
      <c r="D509" t="s">
        <v>3612</v>
      </c>
    </row>
    <row r="510" ht="11.25" customHeight="1">
      <c r="A510">
        <v>510</v>
      </c>
      <c r="B510" t="s">
        <v>3606</v>
      </c>
      <c r="C510" t="s">
        <v>3606</v>
      </c>
      <c r="D510" t="s">
        <v>3613</v>
      </c>
    </row>
    <row r="511" ht="11.25" customHeight="1">
      <c r="A511">
        <v>511</v>
      </c>
      <c r="B511" t="s">
        <v>3606</v>
      </c>
      <c r="C511" t="s">
        <v>3614</v>
      </c>
      <c r="D511" t="s">
        <v>3615</v>
      </c>
    </row>
    <row r="512" ht="11.25" customHeight="1">
      <c r="A512">
        <v>512</v>
      </c>
      <c r="B512" t="s">
        <v>3606</v>
      </c>
      <c r="C512" t="s">
        <v>3616</v>
      </c>
      <c r="D512" t="s">
        <v>3617</v>
      </c>
    </row>
    <row r="513" ht="11.25" customHeight="1">
      <c r="A513">
        <v>513</v>
      </c>
      <c r="B513" t="s">
        <v>3606</v>
      </c>
      <c r="C513" t="s">
        <v>3618</v>
      </c>
      <c r="D513" t="s">
        <v>3619</v>
      </c>
    </row>
    <row r="514" ht="11.25" customHeight="1">
      <c r="A514">
        <v>514</v>
      </c>
      <c r="B514" t="s">
        <v>3606</v>
      </c>
      <c r="C514" t="s">
        <v>2906</v>
      </c>
      <c r="D514" t="s">
        <v>3620</v>
      </c>
    </row>
    <row r="515" ht="11.25" customHeight="1">
      <c r="A515">
        <v>515</v>
      </c>
      <c r="B515" t="s">
        <v>3621</v>
      </c>
      <c r="C515" t="s">
        <v>3622</v>
      </c>
      <c r="D515" t="s">
        <v>3623</v>
      </c>
    </row>
    <row r="516" ht="11.25" customHeight="1">
      <c r="A516">
        <v>516</v>
      </c>
      <c r="B516" t="s">
        <v>3621</v>
      </c>
      <c r="C516" t="s">
        <v>2691</v>
      </c>
      <c r="D516" t="s">
        <v>3624</v>
      </c>
    </row>
    <row r="517" ht="11.25" customHeight="1">
      <c r="A517">
        <v>517</v>
      </c>
      <c r="B517" t="s">
        <v>3621</v>
      </c>
      <c r="C517" t="s">
        <v>3625</v>
      </c>
      <c r="D517" t="s">
        <v>3626</v>
      </c>
    </row>
    <row r="518" ht="11.25" customHeight="1">
      <c r="A518">
        <v>518</v>
      </c>
      <c r="B518" t="s">
        <v>3621</v>
      </c>
      <c r="C518" t="s">
        <v>3627</v>
      </c>
      <c r="D518" t="s">
        <v>3628</v>
      </c>
    </row>
    <row r="519" ht="11.25" customHeight="1">
      <c r="A519">
        <v>519</v>
      </c>
      <c r="B519" t="s">
        <v>3621</v>
      </c>
      <c r="C519" t="s">
        <v>3621</v>
      </c>
      <c r="D519" t="s">
        <v>3629</v>
      </c>
    </row>
    <row r="520" ht="11.25" customHeight="1">
      <c r="A520">
        <v>520</v>
      </c>
      <c r="B520" t="s">
        <v>3621</v>
      </c>
      <c r="C520" t="s">
        <v>3630</v>
      </c>
      <c r="D520" t="s">
        <v>3631</v>
      </c>
    </row>
    <row r="521" ht="11.25" customHeight="1">
      <c r="A521">
        <v>521</v>
      </c>
      <c r="B521" t="s">
        <v>3621</v>
      </c>
      <c r="C521" t="s">
        <v>3632</v>
      </c>
      <c r="D521" t="s">
        <v>3633</v>
      </c>
    </row>
    <row r="522" ht="11.25" customHeight="1">
      <c r="A522">
        <v>522</v>
      </c>
      <c r="B522" t="s">
        <v>3634</v>
      </c>
      <c r="C522" t="s">
        <v>3215</v>
      </c>
      <c r="D522" t="s">
        <v>3635</v>
      </c>
    </row>
    <row r="523" ht="11.25" customHeight="1">
      <c r="A523">
        <v>523</v>
      </c>
      <c r="B523" t="s">
        <v>3634</v>
      </c>
      <c r="C523" t="s">
        <v>3636</v>
      </c>
      <c r="D523" t="s">
        <v>3637</v>
      </c>
    </row>
    <row r="524" ht="11.25" customHeight="1">
      <c r="A524">
        <v>524</v>
      </c>
      <c r="B524" t="s">
        <v>3634</v>
      </c>
      <c r="C524" t="s">
        <v>3638</v>
      </c>
      <c r="D524" t="s">
        <v>3639</v>
      </c>
    </row>
    <row r="525" ht="11.25" customHeight="1">
      <c r="A525">
        <v>525</v>
      </c>
      <c r="B525" t="s">
        <v>3634</v>
      </c>
      <c r="C525" t="s">
        <v>3640</v>
      </c>
      <c r="D525" t="s">
        <v>3641</v>
      </c>
    </row>
    <row r="526" ht="11.25" customHeight="1">
      <c r="A526">
        <v>526</v>
      </c>
      <c r="B526" t="s">
        <v>3634</v>
      </c>
      <c r="C526" t="s">
        <v>3634</v>
      </c>
      <c r="D526" t="s">
        <v>3642</v>
      </c>
    </row>
    <row r="527" ht="11.25" customHeight="1">
      <c r="A527">
        <v>527</v>
      </c>
      <c r="B527" t="s">
        <v>3643</v>
      </c>
      <c r="C527" t="s">
        <v>2683</v>
      </c>
      <c r="D527" t="s">
        <v>3644</v>
      </c>
    </row>
    <row r="528" ht="11.25" customHeight="1">
      <c r="A528">
        <v>528</v>
      </c>
      <c r="B528" t="s">
        <v>3643</v>
      </c>
      <c r="C528" t="s">
        <v>3645</v>
      </c>
      <c r="D528" t="s">
        <v>3646</v>
      </c>
    </row>
    <row r="529" ht="11.25" customHeight="1">
      <c r="A529">
        <v>529</v>
      </c>
      <c r="B529" t="s">
        <v>3643</v>
      </c>
      <c r="C529" t="s">
        <v>3647</v>
      </c>
      <c r="D529" t="s">
        <v>3648</v>
      </c>
    </row>
    <row r="530" ht="11.25" customHeight="1">
      <c r="A530">
        <v>530</v>
      </c>
      <c r="B530" t="s">
        <v>3643</v>
      </c>
      <c r="C530" t="s">
        <v>3649</v>
      </c>
      <c r="D530" t="s">
        <v>3650</v>
      </c>
    </row>
    <row r="531" ht="11.25" customHeight="1">
      <c r="A531">
        <v>531</v>
      </c>
      <c r="B531" t="s">
        <v>3643</v>
      </c>
      <c r="C531" t="s">
        <v>3643</v>
      </c>
      <c r="D531" t="s">
        <v>3651</v>
      </c>
    </row>
    <row r="532" ht="11.25" customHeight="1">
      <c r="A532">
        <v>532</v>
      </c>
      <c r="B532" t="s">
        <v>3643</v>
      </c>
      <c r="C532" t="s">
        <v>3652</v>
      </c>
      <c r="D532" t="s">
        <v>3653</v>
      </c>
    </row>
    <row r="533" ht="11.25" customHeight="1">
      <c r="A533">
        <v>533</v>
      </c>
      <c r="B533" t="s">
        <v>3654</v>
      </c>
      <c r="C533" t="s">
        <v>3655</v>
      </c>
      <c r="D533" t="s">
        <v>3656</v>
      </c>
    </row>
    <row r="534" ht="11.25" customHeight="1">
      <c r="A534">
        <v>534</v>
      </c>
      <c r="B534" t="s">
        <v>3654</v>
      </c>
      <c r="C534" t="s">
        <v>3657</v>
      </c>
      <c r="D534" t="s">
        <v>3658</v>
      </c>
    </row>
    <row r="535" ht="11.25" customHeight="1">
      <c r="A535">
        <v>535</v>
      </c>
      <c r="B535" t="s">
        <v>3654</v>
      </c>
      <c r="C535" t="s">
        <v>3177</v>
      </c>
      <c r="D535" t="s">
        <v>3659</v>
      </c>
    </row>
    <row r="536" ht="11.25" customHeight="1">
      <c r="A536">
        <v>536</v>
      </c>
      <c r="B536" t="s">
        <v>3654</v>
      </c>
      <c r="C536" t="s">
        <v>3660</v>
      </c>
      <c r="D536" t="s">
        <v>3661</v>
      </c>
    </row>
    <row r="537" ht="11.25" customHeight="1">
      <c r="A537">
        <v>537</v>
      </c>
      <c r="B537" t="s">
        <v>3654</v>
      </c>
      <c r="C537" t="s">
        <v>3662</v>
      </c>
      <c r="D537" t="s">
        <v>3663</v>
      </c>
    </row>
    <row r="538" ht="11.25" customHeight="1">
      <c r="A538">
        <v>538</v>
      </c>
      <c r="B538" t="s">
        <v>3654</v>
      </c>
      <c r="C538" t="s">
        <v>3664</v>
      </c>
      <c r="D538" t="s">
        <v>3665</v>
      </c>
    </row>
    <row r="539" ht="11.25" customHeight="1">
      <c r="A539">
        <v>539</v>
      </c>
      <c r="B539" t="s">
        <v>3654</v>
      </c>
      <c r="C539" t="s">
        <v>2982</v>
      </c>
      <c r="D539" t="s">
        <v>3666</v>
      </c>
    </row>
    <row r="540" ht="11.25" customHeight="1">
      <c r="A540">
        <v>540</v>
      </c>
      <c r="B540" t="s">
        <v>3654</v>
      </c>
      <c r="C540" t="s">
        <v>3667</v>
      </c>
      <c r="D540" t="s">
        <v>3668</v>
      </c>
    </row>
    <row r="541" ht="11.25" customHeight="1">
      <c r="A541">
        <v>541</v>
      </c>
      <c r="B541" t="s">
        <v>3654</v>
      </c>
      <c r="C541" t="s">
        <v>3669</v>
      </c>
      <c r="D541" t="s">
        <v>3670</v>
      </c>
    </row>
    <row r="542" ht="11.25" customHeight="1">
      <c r="A542">
        <v>542</v>
      </c>
      <c r="B542" t="s">
        <v>3654</v>
      </c>
      <c r="C542" t="s">
        <v>3671</v>
      </c>
      <c r="D542" t="s">
        <v>3672</v>
      </c>
    </row>
    <row r="543" ht="11.25" customHeight="1">
      <c r="A543">
        <v>543</v>
      </c>
      <c r="B543" t="s">
        <v>3654</v>
      </c>
      <c r="C543" t="s">
        <v>3673</v>
      </c>
      <c r="D543" t="s">
        <v>3674</v>
      </c>
    </row>
    <row r="544" ht="11.25" customHeight="1">
      <c r="A544">
        <v>544</v>
      </c>
      <c r="B544" t="s">
        <v>3654</v>
      </c>
      <c r="C544" t="s">
        <v>3675</v>
      </c>
      <c r="D544" t="s">
        <v>3676</v>
      </c>
    </row>
    <row r="545" ht="11.25" customHeight="1">
      <c r="A545">
        <v>545</v>
      </c>
      <c r="B545" t="s">
        <v>3654</v>
      </c>
      <c r="C545" t="s">
        <v>3677</v>
      </c>
      <c r="D545" t="s">
        <v>3678</v>
      </c>
    </row>
    <row r="546" ht="11.25" customHeight="1">
      <c r="A546">
        <v>546</v>
      </c>
      <c r="B546" t="s">
        <v>3654</v>
      </c>
      <c r="C546" t="s">
        <v>3679</v>
      </c>
      <c r="D546" t="s">
        <v>3680</v>
      </c>
    </row>
    <row r="547" ht="11.25" customHeight="1">
      <c r="A547">
        <v>547</v>
      </c>
      <c r="B547" t="s">
        <v>3654</v>
      </c>
      <c r="C547" t="s">
        <v>3681</v>
      </c>
      <c r="D547" t="s">
        <v>3682</v>
      </c>
    </row>
    <row r="548" ht="11.25" customHeight="1">
      <c r="A548">
        <v>548</v>
      </c>
      <c r="B548" t="s">
        <v>3654</v>
      </c>
      <c r="C548" t="s">
        <v>3654</v>
      </c>
      <c r="D548" t="s">
        <v>3683</v>
      </c>
    </row>
    <row r="549" ht="11.25" customHeight="1">
      <c r="A549">
        <v>549</v>
      </c>
      <c r="B549" t="s">
        <v>3654</v>
      </c>
      <c r="C549" t="s">
        <v>3684</v>
      </c>
      <c r="D549" t="s">
        <v>3685</v>
      </c>
    </row>
    <row r="550" ht="11.25" customHeight="1">
      <c r="A550">
        <v>550</v>
      </c>
      <c r="B550" t="s">
        <v>3654</v>
      </c>
      <c r="C550" t="s">
        <v>3686</v>
      </c>
      <c r="D550" t="s">
        <v>3687</v>
      </c>
    </row>
    <row r="551" ht="11.25" customHeight="1">
      <c r="A551">
        <v>551</v>
      </c>
      <c r="B551" t="s">
        <v>3654</v>
      </c>
      <c r="C551" t="s">
        <v>3688</v>
      </c>
      <c r="D551" t="s">
        <v>3689</v>
      </c>
    </row>
    <row r="552" ht="11.25" customHeight="1">
      <c r="A552">
        <v>552</v>
      </c>
      <c r="B552" t="s">
        <v>3690</v>
      </c>
      <c r="C552" t="s">
        <v>3691</v>
      </c>
      <c r="D552" t="s">
        <v>3692</v>
      </c>
    </row>
    <row r="553" ht="11.25" customHeight="1">
      <c r="A553">
        <v>553</v>
      </c>
      <c r="B553" t="s">
        <v>3690</v>
      </c>
      <c r="C553" t="s">
        <v>3693</v>
      </c>
      <c r="D553" t="s">
        <v>3694</v>
      </c>
    </row>
    <row r="554" ht="11.25" customHeight="1">
      <c r="A554">
        <v>554</v>
      </c>
      <c r="B554" t="s">
        <v>3690</v>
      </c>
      <c r="C554" t="s">
        <v>3695</v>
      </c>
      <c r="D554" t="s">
        <v>3696</v>
      </c>
    </row>
    <row r="555" ht="11.25" customHeight="1">
      <c r="A555">
        <v>555</v>
      </c>
      <c r="B555" t="s">
        <v>3690</v>
      </c>
      <c r="C555" t="s">
        <v>3690</v>
      </c>
      <c r="D555" t="s">
        <v>3697</v>
      </c>
    </row>
    <row r="556" ht="11.25" customHeight="1">
      <c r="A556">
        <v>556</v>
      </c>
      <c r="B556" t="s">
        <v>3690</v>
      </c>
      <c r="C556" t="s">
        <v>3698</v>
      </c>
      <c r="D556" t="s">
        <v>3699</v>
      </c>
    </row>
    <row r="557" ht="11.25" customHeight="1">
      <c r="A557">
        <v>557</v>
      </c>
      <c r="B557" t="s">
        <v>3690</v>
      </c>
      <c r="C557" t="s">
        <v>3700</v>
      </c>
      <c r="D557" t="s">
        <v>3701</v>
      </c>
    </row>
    <row r="558" ht="11.25" customHeight="1">
      <c r="A558">
        <v>558</v>
      </c>
      <c r="B558" t="s">
        <v>3702</v>
      </c>
      <c r="C558" t="s">
        <v>3703</v>
      </c>
      <c r="D558" t="s">
        <v>3704</v>
      </c>
    </row>
    <row r="559" ht="11.25" customHeight="1">
      <c r="A559">
        <v>559</v>
      </c>
      <c r="B559" t="s">
        <v>3702</v>
      </c>
      <c r="C559" t="s">
        <v>3705</v>
      </c>
      <c r="D559" t="s">
        <v>3706</v>
      </c>
    </row>
    <row r="560" ht="11.25" customHeight="1">
      <c r="A560">
        <v>560</v>
      </c>
      <c r="B560" t="s">
        <v>3702</v>
      </c>
      <c r="C560" t="s">
        <v>3461</v>
      </c>
      <c r="D560" t="s">
        <v>3707</v>
      </c>
    </row>
    <row r="561" ht="11.25" customHeight="1">
      <c r="A561">
        <v>561</v>
      </c>
      <c r="B561" t="s">
        <v>3702</v>
      </c>
      <c r="C561" t="s">
        <v>2659</v>
      </c>
      <c r="D561" t="s">
        <v>3708</v>
      </c>
    </row>
    <row r="562" ht="11.25" customHeight="1">
      <c r="A562">
        <v>562</v>
      </c>
      <c r="B562" t="s">
        <v>3702</v>
      </c>
      <c r="C562" t="s">
        <v>3056</v>
      </c>
      <c r="D562" t="s">
        <v>3709</v>
      </c>
    </row>
    <row r="563" ht="11.25" customHeight="1">
      <c r="A563">
        <v>563</v>
      </c>
      <c r="B563" t="s">
        <v>3702</v>
      </c>
      <c r="C563" t="s">
        <v>3442</v>
      </c>
      <c r="D563" t="s">
        <v>3710</v>
      </c>
    </row>
    <row r="564" ht="11.25" customHeight="1">
      <c r="A564">
        <v>564</v>
      </c>
      <c r="B564" t="s">
        <v>3702</v>
      </c>
      <c r="C564" t="s">
        <v>2691</v>
      </c>
      <c r="D564" t="s">
        <v>3711</v>
      </c>
    </row>
    <row r="565" ht="11.25" customHeight="1">
      <c r="A565">
        <v>565</v>
      </c>
      <c r="B565" t="s">
        <v>3702</v>
      </c>
      <c r="C565" t="s">
        <v>3712</v>
      </c>
      <c r="D565" t="s">
        <v>3713</v>
      </c>
    </row>
    <row r="566" ht="11.25" customHeight="1">
      <c r="A566">
        <v>566</v>
      </c>
      <c r="B566" t="s">
        <v>3702</v>
      </c>
      <c r="C566" t="s">
        <v>3714</v>
      </c>
      <c r="D566" t="s">
        <v>3715</v>
      </c>
    </row>
    <row r="567" ht="11.25" customHeight="1">
      <c r="A567">
        <v>567</v>
      </c>
      <c r="B567" t="s">
        <v>3702</v>
      </c>
      <c r="C567" t="s">
        <v>3716</v>
      </c>
      <c r="D567" t="s">
        <v>3717</v>
      </c>
    </row>
    <row r="568" ht="11.25" customHeight="1">
      <c r="A568">
        <v>568</v>
      </c>
      <c r="B568" t="s">
        <v>3702</v>
      </c>
      <c r="C568" t="s">
        <v>3064</v>
      </c>
      <c r="D568" t="s">
        <v>3718</v>
      </c>
    </row>
    <row r="569" ht="11.25" customHeight="1">
      <c r="A569">
        <v>569</v>
      </c>
      <c r="B569" t="s">
        <v>3702</v>
      </c>
      <c r="C569" t="s">
        <v>3525</v>
      </c>
      <c r="D569" t="s">
        <v>3719</v>
      </c>
    </row>
    <row r="570" ht="11.25" customHeight="1">
      <c r="A570">
        <v>570</v>
      </c>
      <c r="B570" t="s">
        <v>3702</v>
      </c>
      <c r="C570" t="s">
        <v>3702</v>
      </c>
      <c r="D570" t="s">
        <v>3720</v>
      </c>
    </row>
    <row r="571" ht="11.25" customHeight="1">
      <c r="A571">
        <v>571</v>
      </c>
      <c r="B571" t="s">
        <v>3702</v>
      </c>
      <c r="C571" t="s">
        <v>3721</v>
      </c>
      <c r="D571" t="s">
        <v>3722</v>
      </c>
    </row>
    <row r="572" ht="11.25" customHeight="1">
      <c r="A572">
        <v>572</v>
      </c>
      <c r="B572" t="s">
        <v>3702</v>
      </c>
      <c r="C572" t="s">
        <v>3723</v>
      </c>
      <c r="D572" t="s">
        <v>3724</v>
      </c>
    </row>
    <row r="573" ht="11.25" customHeight="1">
      <c r="A573">
        <v>573</v>
      </c>
      <c r="B573" t="s">
        <v>3702</v>
      </c>
      <c r="C573" t="s">
        <v>3725</v>
      </c>
      <c r="D573" t="s">
        <v>3726</v>
      </c>
    </row>
    <row r="574" ht="11.25" customHeight="1">
      <c r="A574">
        <v>574</v>
      </c>
      <c r="B574" t="s">
        <v>3702</v>
      </c>
      <c r="C574" t="s">
        <v>3727</v>
      </c>
      <c r="D574" t="s">
        <v>3728</v>
      </c>
    </row>
    <row r="575" ht="11.25" customHeight="1">
      <c r="A575">
        <v>575</v>
      </c>
      <c r="B575" t="s">
        <v>3702</v>
      </c>
      <c r="C575" t="s">
        <v>3729</v>
      </c>
      <c r="D575" t="s">
        <v>3730</v>
      </c>
    </row>
    <row r="576" ht="11.25" customHeight="1">
      <c r="A576">
        <v>576</v>
      </c>
      <c r="B576" t="s">
        <v>3731</v>
      </c>
      <c r="C576" t="s">
        <v>3732</v>
      </c>
      <c r="D576" t="s">
        <v>3733</v>
      </c>
    </row>
    <row r="577" ht="11.25" customHeight="1">
      <c r="A577">
        <v>577</v>
      </c>
      <c r="B577" t="s">
        <v>3731</v>
      </c>
      <c r="C577" t="s">
        <v>3734</v>
      </c>
      <c r="D577" t="s">
        <v>3735</v>
      </c>
    </row>
    <row r="578" ht="11.25" customHeight="1">
      <c r="A578">
        <v>578</v>
      </c>
      <c r="B578" t="s">
        <v>3731</v>
      </c>
      <c r="C578" t="s">
        <v>3736</v>
      </c>
      <c r="D578" t="s">
        <v>3737</v>
      </c>
    </row>
    <row r="579" ht="11.25" customHeight="1">
      <c r="A579">
        <v>579</v>
      </c>
      <c r="B579" t="s">
        <v>3731</v>
      </c>
      <c r="C579" t="s">
        <v>3738</v>
      </c>
      <c r="D579" t="s">
        <v>3739</v>
      </c>
    </row>
    <row r="580" ht="11.25" customHeight="1">
      <c r="A580">
        <v>580</v>
      </c>
      <c r="B580" t="s">
        <v>3731</v>
      </c>
      <c r="C580" t="s">
        <v>3740</v>
      </c>
      <c r="D580" t="s">
        <v>3741</v>
      </c>
    </row>
    <row r="581" ht="11.25" customHeight="1">
      <c r="A581">
        <v>581</v>
      </c>
      <c r="B581" t="s">
        <v>3731</v>
      </c>
      <c r="C581" t="s">
        <v>3742</v>
      </c>
      <c r="D581" t="s">
        <v>3743</v>
      </c>
    </row>
    <row r="582" ht="11.25" customHeight="1">
      <c r="A582">
        <v>582</v>
      </c>
      <c r="B582" t="s">
        <v>3731</v>
      </c>
      <c r="C582" t="s">
        <v>3744</v>
      </c>
      <c r="D582" t="s">
        <v>3745</v>
      </c>
    </row>
    <row r="583" ht="11.25" customHeight="1">
      <c r="A583">
        <v>583</v>
      </c>
      <c r="B583" t="s">
        <v>3731</v>
      </c>
      <c r="C583" t="s">
        <v>3731</v>
      </c>
      <c r="D583" t="s">
        <v>3746</v>
      </c>
    </row>
    <row r="584" ht="11.25" customHeight="1">
      <c r="A584">
        <v>584</v>
      </c>
      <c r="B584" t="s">
        <v>3731</v>
      </c>
      <c r="C584" t="s">
        <v>3747</v>
      </c>
      <c r="D584" t="s">
        <v>3748</v>
      </c>
    </row>
    <row r="585" ht="11.25" customHeight="1">
      <c r="A585">
        <v>585</v>
      </c>
      <c r="B585" t="s">
        <v>3731</v>
      </c>
      <c r="C585" t="s">
        <v>3749</v>
      </c>
      <c r="D585" t="s">
        <v>3750</v>
      </c>
    </row>
    <row r="586" ht="11.25" customHeight="1">
      <c r="A586">
        <v>586</v>
      </c>
      <c r="B586" t="s">
        <v>3751</v>
      </c>
      <c r="C586" t="s">
        <v>2685</v>
      </c>
      <c r="D586" t="s">
        <v>3752</v>
      </c>
    </row>
    <row r="587" ht="11.25" customHeight="1">
      <c r="A587">
        <v>587</v>
      </c>
      <c r="B587" t="s">
        <v>3751</v>
      </c>
      <c r="C587" t="s">
        <v>3455</v>
      </c>
      <c r="D587" t="s">
        <v>3753</v>
      </c>
    </row>
    <row r="588" ht="11.25" customHeight="1">
      <c r="A588">
        <v>588</v>
      </c>
      <c r="B588" t="s">
        <v>3751</v>
      </c>
      <c r="C588" t="s">
        <v>3754</v>
      </c>
      <c r="D588" t="s">
        <v>3755</v>
      </c>
    </row>
    <row r="589" ht="11.25" customHeight="1">
      <c r="A589">
        <v>589</v>
      </c>
      <c r="B589" t="s">
        <v>3751</v>
      </c>
      <c r="C589" t="s">
        <v>3756</v>
      </c>
      <c r="D589" t="s">
        <v>3757</v>
      </c>
    </row>
    <row r="590" ht="11.25" customHeight="1">
      <c r="A590">
        <v>590</v>
      </c>
      <c r="B590" t="s">
        <v>3751</v>
      </c>
      <c r="C590" t="s">
        <v>3758</v>
      </c>
      <c r="D590" t="s">
        <v>3759</v>
      </c>
    </row>
    <row r="591" ht="11.25" customHeight="1">
      <c r="A591">
        <v>591</v>
      </c>
      <c r="B591" t="s">
        <v>3751</v>
      </c>
      <c r="C591" t="s">
        <v>3049</v>
      </c>
      <c r="D591" t="s">
        <v>3760</v>
      </c>
    </row>
    <row r="592" ht="11.25" customHeight="1">
      <c r="A592">
        <v>592</v>
      </c>
      <c r="B592" t="s">
        <v>3751</v>
      </c>
      <c r="C592" t="s">
        <v>3761</v>
      </c>
      <c r="D592" t="s">
        <v>3762</v>
      </c>
    </row>
    <row r="593" ht="11.25" customHeight="1">
      <c r="A593">
        <v>593</v>
      </c>
      <c r="B593" t="s">
        <v>3751</v>
      </c>
      <c r="C593" t="s">
        <v>3763</v>
      </c>
      <c r="D593" t="s">
        <v>3764</v>
      </c>
    </row>
    <row r="594" ht="11.25" customHeight="1">
      <c r="A594">
        <v>594</v>
      </c>
      <c r="B594" t="s">
        <v>3751</v>
      </c>
      <c r="C594" t="s">
        <v>3751</v>
      </c>
      <c r="D594" t="s">
        <v>3765</v>
      </c>
    </row>
    <row r="595" ht="11.25" customHeight="1">
      <c r="A595">
        <v>595</v>
      </c>
      <c r="B595" t="s">
        <v>3751</v>
      </c>
      <c r="C595" t="s">
        <v>3766</v>
      </c>
      <c r="D595" t="s">
        <v>3767</v>
      </c>
    </row>
    <row r="596" ht="11.25" customHeight="1">
      <c r="A596">
        <v>596</v>
      </c>
      <c r="B596" t="s">
        <v>3751</v>
      </c>
      <c r="C596" t="s">
        <v>3768</v>
      </c>
      <c r="D596" t="s">
        <v>3769</v>
      </c>
    </row>
    <row r="597" ht="11.25" customHeight="1">
      <c r="A597">
        <v>597</v>
      </c>
      <c r="B597" t="s">
        <v>3751</v>
      </c>
      <c r="C597" t="s">
        <v>3770</v>
      </c>
      <c r="D597" t="s">
        <v>3771</v>
      </c>
    </row>
    <row r="598" ht="11.25" customHeight="1">
      <c r="A598">
        <v>598</v>
      </c>
      <c r="B598" t="s">
        <v>3772</v>
      </c>
      <c r="C598" t="s">
        <v>3773</v>
      </c>
      <c r="D598" t="s">
        <v>3774</v>
      </c>
    </row>
    <row r="599" ht="11.25" customHeight="1">
      <c r="A599">
        <v>599</v>
      </c>
      <c r="B599" t="s">
        <v>3772</v>
      </c>
      <c r="C599" t="s">
        <v>2815</v>
      </c>
      <c r="D599" t="s">
        <v>3775</v>
      </c>
    </row>
    <row r="600" ht="11.25" customHeight="1">
      <c r="A600">
        <v>600</v>
      </c>
      <c r="B600" t="s">
        <v>3772</v>
      </c>
      <c r="C600" t="s">
        <v>3776</v>
      </c>
      <c r="D600" t="s">
        <v>3777</v>
      </c>
    </row>
    <row r="601" ht="11.25" customHeight="1">
      <c r="A601">
        <v>601</v>
      </c>
      <c r="B601" t="s">
        <v>3772</v>
      </c>
      <c r="C601" t="s">
        <v>3778</v>
      </c>
      <c r="D601" t="s">
        <v>3779</v>
      </c>
    </row>
    <row r="602" ht="11.25" customHeight="1">
      <c r="A602">
        <v>602</v>
      </c>
      <c r="B602" t="s">
        <v>3772</v>
      </c>
      <c r="C602" t="s">
        <v>3758</v>
      </c>
      <c r="D602" t="s">
        <v>3780</v>
      </c>
    </row>
    <row r="603" ht="11.25" customHeight="1">
      <c r="A603">
        <v>603</v>
      </c>
      <c r="B603" t="s">
        <v>3772</v>
      </c>
      <c r="C603" t="s">
        <v>3781</v>
      </c>
      <c r="D603" t="s">
        <v>3782</v>
      </c>
    </row>
    <row r="604" ht="11.25" customHeight="1">
      <c r="A604">
        <v>604</v>
      </c>
      <c r="B604" t="s">
        <v>3772</v>
      </c>
      <c r="C604" t="s">
        <v>3783</v>
      </c>
      <c r="D604" t="s">
        <v>3784</v>
      </c>
    </row>
    <row r="605" ht="11.25" customHeight="1">
      <c r="A605">
        <v>605</v>
      </c>
      <c r="B605" t="s">
        <v>3772</v>
      </c>
      <c r="C605" t="s">
        <v>3785</v>
      </c>
      <c r="D605" t="s">
        <v>3786</v>
      </c>
    </row>
    <row r="606" ht="11.25" customHeight="1">
      <c r="A606">
        <v>606</v>
      </c>
      <c r="B606" t="s">
        <v>3772</v>
      </c>
      <c r="C606" t="s">
        <v>3787</v>
      </c>
      <c r="D606" t="s">
        <v>3788</v>
      </c>
    </row>
    <row r="607" ht="11.25" customHeight="1">
      <c r="A607">
        <v>607</v>
      </c>
      <c r="B607" t="s">
        <v>3772</v>
      </c>
      <c r="C607" t="s">
        <v>3772</v>
      </c>
      <c r="D607" t="s">
        <v>3789</v>
      </c>
    </row>
    <row r="608" ht="11.25" customHeight="1">
      <c r="A608">
        <v>608</v>
      </c>
      <c r="B608" t="s">
        <v>3772</v>
      </c>
      <c r="C608" t="s">
        <v>3790</v>
      </c>
      <c r="D608" t="s">
        <v>3791</v>
      </c>
    </row>
    <row r="609" ht="11.25" customHeight="1">
      <c r="A609">
        <v>609</v>
      </c>
      <c r="B609" t="s">
        <v>3772</v>
      </c>
      <c r="C609" t="s">
        <v>3792</v>
      </c>
      <c r="D609" t="s">
        <v>3793</v>
      </c>
    </row>
    <row r="610" ht="11.25" customHeight="1">
      <c r="A610">
        <v>610</v>
      </c>
      <c r="B610" t="s">
        <v>3772</v>
      </c>
      <c r="C610" t="s">
        <v>2884</v>
      </c>
      <c r="D610" t="s">
        <v>3794</v>
      </c>
    </row>
    <row r="611" ht="11.25" customHeight="1">
      <c r="A611">
        <v>611</v>
      </c>
      <c r="B611" t="s">
        <v>3772</v>
      </c>
      <c r="C611" t="s">
        <v>3795</v>
      </c>
      <c r="D611" t="s">
        <v>3796</v>
      </c>
    </row>
    <row r="612" ht="11.25" customHeight="1">
      <c r="A612">
        <v>612</v>
      </c>
      <c r="B612" t="s">
        <v>3772</v>
      </c>
      <c r="C612" t="s">
        <v>3797</v>
      </c>
      <c r="D612" t="s">
        <v>3798</v>
      </c>
    </row>
    <row r="613" ht="11.25" customHeight="1">
      <c r="A613">
        <v>613</v>
      </c>
      <c r="B613" t="s">
        <v>3799</v>
      </c>
      <c r="C613" t="s">
        <v>3800</v>
      </c>
      <c r="D613" t="s">
        <v>3801</v>
      </c>
    </row>
    <row r="614" ht="11.25" customHeight="1">
      <c r="A614">
        <v>614</v>
      </c>
      <c r="B614" t="s">
        <v>3799</v>
      </c>
      <c r="C614" t="s">
        <v>3802</v>
      </c>
      <c r="D614" t="s">
        <v>3803</v>
      </c>
    </row>
    <row r="615" ht="11.25" customHeight="1">
      <c r="A615">
        <v>615</v>
      </c>
      <c r="B615" t="s">
        <v>3799</v>
      </c>
      <c r="C615" t="s">
        <v>3804</v>
      </c>
      <c r="D615" t="s">
        <v>3805</v>
      </c>
    </row>
    <row r="616" ht="11.25" customHeight="1">
      <c r="A616">
        <v>616</v>
      </c>
      <c r="B616" t="s">
        <v>3799</v>
      </c>
      <c r="C616" t="s">
        <v>3342</v>
      </c>
      <c r="D616" t="s">
        <v>3806</v>
      </c>
    </row>
    <row r="617" ht="11.25" customHeight="1">
      <c r="A617">
        <v>617</v>
      </c>
      <c r="B617" t="s">
        <v>3799</v>
      </c>
      <c r="C617" t="s">
        <v>3807</v>
      </c>
      <c r="D617" t="s">
        <v>3808</v>
      </c>
    </row>
    <row r="618" ht="11.25" customHeight="1">
      <c r="A618">
        <v>618</v>
      </c>
      <c r="B618" t="s">
        <v>3799</v>
      </c>
      <c r="C618" t="s">
        <v>3618</v>
      </c>
      <c r="D618" t="s">
        <v>3809</v>
      </c>
    </row>
    <row r="619" ht="11.25" customHeight="1">
      <c r="A619">
        <v>619</v>
      </c>
      <c r="B619" t="s">
        <v>3799</v>
      </c>
      <c r="C619" t="s">
        <v>3799</v>
      </c>
      <c r="D619" t="s">
        <v>3810</v>
      </c>
    </row>
    <row r="620" ht="11.25" customHeight="1">
      <c r="A620">
        <v>620</v>
      </c>
      <c r="B620" t="s">
        <v>3799</v>
      </c>
      <c r="C620" t="s">
        <v>3811</v>
      </c>
      <c r="D620" t="s">
        <v>3812</v>
      </c>
    </row>
    <row r="621" ht="11.25" customHeight="1">
      <c r="A621">
        <v>621</v>
      </c>
      <c r="B621" t="s">
        <v>3813</v>
      </c>
      <c r="C621" t="s">
        <v>3814</v>
      </c>
      <c r="D621" t="s">
        <v>3815</v>
      </c>
    </row>
    <row r="622" ht="11.25" customHeight="1">
      <c r="A622">
        <v>622</v>
      </c>
      <c r="B622" t="s">
        <v>3813</v>
      </c>
      <c r="C622" t="s">
        <v>2780</v>
      </c>
      <c r="D622" t="s">
        <v>3816</v>
      </c>
    </row>
    <row r="623" ht="11.25" customHeight="1">
      <c r="A623">
        <v>623</v>
      </c>
      <c r="B623" t="s">
        <v>3813</v>
      </c>
      <c r="C623" t="s">
        <v>3817</v>
      </c>
      <c r="D623" t="s">
        <v>3818</v>
      </c>
    </row>
    <row r="624" ht="11.25" customHeight="1">
      <c r="A624">
        <v>624</v>
      </c>
      <c r="B624" t="s">
        <v>3813</v>
      </c>
      <c r="C624" t="s">
        <v>3819</v>
      </c>
      <c r="D624" t="s">
        <v>3820</v>
      </c>
    </row>
    <row r="625" ht="11.25" customHeight="1">
      <c r="A625">
        <v>625</v>
      </c>
      <c r="B625" t="s">
        <v>3813</v>
      </c>
      <c r="C625" t="s">
        <v>3821</v>
      </c>
      <c r="D625" t="s">
        <v>3822</v>
      </c>
    </row>
    <row r="626" ht="11.25" customHeight="1">
      <c r="A626">
        <v>626</v>
      </c>
      <c r="B626" t="s">
        <v>3813</v>
      </c>
      <c r="C626" t="s">
        <v>3823</v>
      </c>
      <c r="D626" t="s">
        <v>3824</v>
      </c>
    </row>
    <row r="627" ht="11.25" customHeight="1">
      <c r="A627">
        <v>627</v>
      </c>
      <c r="B627" t="s">
        <v>3813</v>
      </c>
      <c r="C627" t="s">
        <v>3825</v>
      </c>
      <c r="D627" t="s">
        <v>3826</v>
      </c>
    </row>
    <row r="628" ht="11.25" customHeight="1">
      <c r="A628">
        <v>628</v>
      </c>
      <c r="B628" t="s">
        <v>3813</v>
      </c>
      <c r="C628" t="s">
        <v>3813</v>
      </c>
      <c r="D628" t="s">
        <v>3827</v>
      </c>
    </row>
    <row r="629" ht="11.25" customHeight="1">
      <c r="A629">
        <v>629</v>
      </c>
      <c r="B629" t="s">
        <v>3813</v>
      </c>
      <c r="C629" t="s">
        <v>3828</v>
      </c>
      <c r="D629" t="s">
        <v>3829</v>
      </c>
    </row>
    <row r="630" ht="11.25" customHeight="1">
      <c r="A630">
        <v>630</v>
      </c>
      <c r="B630" t="s">
        <v>3813</v>
      </c>
      <c r="C630" t="s">
        <v>3830</v>
      </c>
      <c r="D630" t="s">
        <v>3831</v>
      </c>
    </row>
    <row r="631" ht="11.25" customHeight="1">
      <c r="A631">
        <v>631</v>
      </c>
      <c r="B631" t="s">
        <v>3832</v>
      </c>
      <c r="C631" t="s">
        <v>2685</v>
      </c>
      <c r="D631" t="s">
        <v>3833</v>
      </c>
    </row>
    <row r="632" ht="11.25" customHeight="1">
      <c r="A632">
        <v>632</v>
      </c>
      <c r="B632" t="s">
        <v>3832</v>
      </c>
      <c r="C632" t="s">
        <v>3834</v>
      </c>
      <c r="D632" t="s">
        <v>3835</v>
      </c>
    </row>
    <row r="633" ht="11.25" customHeight="1">
      <c r="A633">
        <v>633</v>
      </c>
      <c r="B633" t="s">
        <v>3832</v>
      </c>
      <c r="C633" t="s">
        <v>3836</v>
      </c>
      <c r="D633" t="s">
        <v>3837</v>
      </c>
    </row>
    <row r="634" ht="11.25" customHeight="1">
      <c r="A634">
        <v>634</v>
      </c>
      <c r="B634" t="s">
        <v>3832</v>
      </c>
      <c r="C634" t="s">
        <v>3838</v>
      </c>
      <c r="D634" t="s">
        <v>3839</v>
      </c>
    </row>
    <row r="635" ht="11.25" customHeight="1">
      <c r="A635">
        <v>635</v>
      </c>
      <c r="B635" t="s">
        <v>3832</v>
      </c>
      <c r="C635" t="s">
        <v>3840</v>
      </c>
      <c r="D635" t="s">
        <v>3841</v>
      </c>
    </row>
    <row r="636" ht="11.25" customHeight="1">
      <c r="A636">
        <v>636</v>
      </c>
      <c r="B636" t="s">
        <v>3832</v>
      </c>
      <c r="C636" t="s">
        <v>3842</v>
      </c>
      <c r="D636" t="s">
        <v>3843</v>
      </c>
    </row>
    <row r="637" ht="11.25" customHeight="1">
      <c r="A637">
        <v>637</v>
      </c>
      <c r="B637" t="s">
        <v>3832</v>
      </c>
      <c r="C637" t="s">
        <v>3844</v>
      </c>
      <c r="D637" t="s">
        <v>3845</v>
      </c>
    </row>
    <row r="638" ht="11.25" customHeight="1">
      <c r="A638">
        <v>638</v>
      </c>
      <c r="B638" t="s">
        <v>3832</v>
      </c>
      <c r="C638" t="s">
        <v>3442</v>
      </c>
      <c r="D638" t="s">
        <v>3846</v>
      </c>
    </row>
    <row r="639" ht="11.25" customHeight="1">
      <c r="A639">
        <v>639</v>
      </c>
      <c r="B639" t="s">
        <v>3832</v>
      </c>
      <c r="C639" t="s">
        <v>3847</v>
      </c>
      <c r="D639" t="s">
        <v>3848</v>
      </c>
    </row>
    <row r="640" ht="11.25" customHeight="1">
      <c r="A640">
        <v>640</v>
      </c>
      <c r="B640" t="s">
        <v>3832</v>
      </c>
      <c r="C640" t="s">
        <v>3849</v>
      </c>
      <c r="D640" t="s">
        <v>3850</v>
      </c>
    </row>
    <row r="641" ht="11.25" customHeight="1">
      <c r="A641">
        <v>641</v>
      </c>
      <c r="B641" t="s">
        <v>3832</v>
      </c>
      <c r="C641" t="s">
        <v>3766</v>
      </c>
      <c r="D641" t="s">
        <v>3851</v>
      </c>
    </row>
    <row r="642" ht="11.25" customHeight="1">
      <c r="A642">
        <v>642</v>
      </c>
      <c r="B642" t="s">
        <v>3832</v>
      </c>
      <c r="C642" t="s">
        <v>3832</v>
      </c>
      <c r="D642" t="s">
        <v>3852</v>
      </c>
    </row>
    <row r="643" ht="11.25" customHeight="1">
      <c r="A643">
        <v>643</v>
      </c>
      <c r="B643" t="s">
        <v>3832</v>
      </c>
      <c r="C643" t="s">
        <v>3853</v>
      </c>
      <c r="D643" t="s">
        <v>3854</v>
      </c>
    </row>
    <row r="644" ht="11.25" customHeight="1">
      <c r="A644">
        <v>644</v>
      </c>
      <c r="B644" t="s">
        <v>3832</v>
      </c>
      <c r="C644" t="s">
        <v>3855</v>
      </c>
      <c r="D644" t="s">
        <v>3856</v>
      </c>
    </row>
    <row r="645" ht="11.25" customHeight="1">
      <c r="A645">
        <v>645</v>
      </c>
      <c r="B645" t="s">
        <v>3857</v>
      </c>
      <c r="C645" t="s">
        <v>3858</v>
      </c>
      <c r="D645" t="s">
        <v>3859</v>
      </c>
    </row>
    <row r="646" ht="11.25" customHeight="1">
      <c r="A646">
        <v>646</v>
      </c>
      <c r="B646" t="s">
        <v>3857</v>
      </c>
      <c r="C646" t="s">
        <v>3860</v>
      </c>
      <c r="D646" t="s">
        <v>3861</v>
      </c>
    </row>
    <row r="647" ht="11.25" customHeight="1">
      <c r="A647">
        <v>647</v>
      </c>
      <c r="B647" t="s">
        <v>3857</v>
      </c>
      <c r="C647" t="s">
        <v>3862</v>
      </c>
      <c r="D647" t="s">
        <v>3863</v>
      </c>
    </row>
    <row r="648" ht="11.25" customHeight="1">
      <c r="A648">
        <v>648</v>
      </c>
      <c r="B648" t="s">
        <v>3857</v>
      </c>
      <c r="C648" t="s">
        <v>3864</v>
      </c>
      <c r="D648" t="s">
        <v>3865</v>
      </c>
    </row>
    <row r="649" ht="11.25" customHeight="1">
      <c r="A649">
        <v>649</v>
      </c>
      <c r="B649" t="s">
        <v>3857</v>
      </c>
      <c r="C649" t="s">
        <v>3866</v>
      </c>
      <c r="D649" t="s">
        <v>3867</v>
      </c>
    </row>
    <row r="650" ht="11.25" customHeight="1">
      <c r="A650">
        <v>650</v>
      </c>
      <c r="B650" t="s">
        <v>3857</v>
      </c>
      <c r="C650" t="s">
        <v>3868</v>
      </c>
      <c r="D650" t="s">
        <v>3869</v>
      </c>
    </row>
    <row r="651" ht="11.25" customHeight="1">
      <c r="A651">
        <v>651</v>
      </c>
      <c r="B651" t="s">
        <v>3857</v>
      </c>
      <c r="C651" t="s">
        <v>3870</v>
      </c>
      <c r="D651" t="s">
        <v>3871</v>
      </c>
    </row>
    <row r="652" ht="11.25" customHeight="1">
      <c r="A652">
        <v>652</v>
      </c>
      <c r="B652" t="s">
        <v>3857</v>
      </c>
      <c r="C652" t="s">
        <v>3618</v>
      </c>
      <c r="D652" t="s">
        <v>3872</v>
      </c>
    </row>
    <row r="653" ht="11.25" customHeight="1">
      <c r="A653">
        <v>653</v>
      </c>
      <c r="B653" t="s">
        <v>3857</v>
      </c>
      <c r="C653" t="s">
        <v>3873</v>
      </c>
      <c r="D653" t="s">
        <v>3874</v>
      </c>
    </row>
    <row r="654" ht="11.25" customHeight="1">
      <c r="A654">
        <v>654</v>
      </c>
      <c r="B654" t="s">
        <v>3857</v>
      </c>
      <c r="C654" t="s">
        <v>3857</v>
      </c>
      <c r="D654" t="s">
        <v>3875</v>
      </c>
    </row>
    <row r="655" ht="11.25" customHeight="1">
      <c r="A655">
        <v>655</v>
      </c>
      <c r="B655" t="s">
        <v>3857</v>
      </c>
      <c r="C655" t="s">
        <v>3876</v>
      </c>
      <c r="D655" t="s">
        <v>3877</v>
      </c>
    </row>
    <row r="656" ht="11.25" customHeight="1">
      <c r="A656">
        <v>656</v>
      </c>
      <c r="B656" t="s">
        <v>3878</v>
      </c>
      <c r="C656" t="s">
        <v>3879</v>
      </c>
      <c r="D656" t="s">
        <v>3880</v>
      </c>
    </row>
    <row r="657" ht="11.25" customHeight="1">
      <c r="A657">
        <v>657</v>
      </c>
      <c r="B657" t="s">
        <v>3878</v>
      </c>
      <c r="C657" t="s">
        <v>3881</v>
      </c>
      <c r="D657" t="s">
        <v>3882</v>
      </c>
    </row>
    <row r="658" ht="11.25" customHeight="1">
      <c r="A658">
        <v>658</v>
      </c>
      <c r="B658" t="s">
        <v>3878</v>
      </c>
      <c r="C658" t="s">
        <v>2651</v>
      </c>
      <c r="D658" t="s">
        <v>3883</v>
      </c>
    </row>
    <row r="659" ht="11.25" customHeight="1">
      <c r="A659">
        <v>659</v>
      </c>
      <c r="B659" t="s">
        <v>3878</v>
      </c>
      <c r="C659" t="s">
        <v>3884</v>
      </c>
      <c r="D659" t="s">
        <v>3885</v>
      </c>
    </row>
    <row r="660" ht="11.25" customHeight="1">
      <c r="A660">
        <v>660</v>
      </c>
      <c r="B660" t="s">
        <v>3878</v>
      </c>
      <c r="C660" t="s">
        <v>3886</v>
      </c>
      <c r="D660" t="s">
        <v>3887</v>
      </c>
    </row>
    <row r="661" ht="11.25" customHeight="1">
      <c r="A661">
        <v>661</v>
      </c>
      <c r="B661" t="s">
        <v>3878</v>
      </c>
      <c r="C661" t="s">
        <v>3888</v>
      </c>
      <c r="D661" t="s">
        <v>3889</v>
      </c>
    </row>
    <row r="662" ht="11.25" customHeight="1">
      <c r="A662">
        <v>662</v>
      </c>
      <c r="B662" t="s">
        <v>3878</v>
      </c>
      <c r="C662" t="s">
        <v>3890</v>
      </c>
      <c r="D662" t="s">
        <v>3891</v>
      </c>
    </row>
    <row r="663" ht="11.25" customHeight="1">
      <c r="A663">
        <v>663</v>
      </c>
      <c r="B663" t="s">
        <v>3878</v>
      </c>
      <c r="C663" t="s">
        <v>3892</v>
      </c>
      <c r="D663" t="s">
        <v>3893</v>
      </c>
    </row>
    <row r="664" ht="11.25" customHeight="1">
      <c r="A664">
        <v>664</v>
      </c>
      <c r="B664" t="s">
        <v>3878</v>
      </c>
      <c r="C664" t="s">
        <v>3894</v>
      </c>
      <c r="D664" t="s">
        <v>3895</v>
      </c>
    </row>
    <row r="665" ht="11.25" customHeight="1">
      <c r="A665">
        <v>665</v>
      </c>
      <c r="B665" t="s">
        <v>3878</v>
      </c>
      <c r="C665" t="s">
        <v>3896</v>
      </c>
      <c r="D665" t="s">
        <v>3897</v>
      </c>
    </row>
    <row r="666" ht="11.25" customHeight="1">
      <c r="A666">
        <v>666</v>
      </c>
      <c r="B666" t="s">
        <v>3878</v>
      </c>
      <c r="C666" t="s">
        <v>3878</v>
      </c>
      <c r="D666" t="s">
        <v>3898</v>
      </c>
    </row>
    <row r="667" ht="11.25" customHeight="1">
      <c r="A667">
        <v>667</v>
      </c>
      <c r="B667" t="s">
        <v>3878</v>
      </c>
      <c r="C667" t="s">
        <v>3899</v>
      </c>
      <c r="D667" t="s">
        <v>3900</v>
      </c>
    </row>
    <row r="668" ht="11.25" customHeight="1">
      <c r="A668">
        <v>668</v>
      </c>
      <c r="B668" t="s">
        <v>3878</v>
      </c>
      <c r="C668" t="s">
        <v>3901</v>
      </c>
      <c r="D668" t="s">
        <v>3902</v>
      </c>
    </row>
    <row r="669" ht="11.25" customHeight="1">
      <c r="A669">
        <v>669</v>
      </c>
      <c r="B669" t="s">
        <v>3903</v>
      </c>
      <c r="C669" t="s">
        <v>2751</v>
      </c>
      <c r="D669" t="s">
        <v>3904</v>
      </c>
    </row>
    <row r="670" ht="11.25" customHeight="1">
      <c r="A670">
        <v>670</v>
      </c>
      <c r="B670" t="s">
        <v>3903</v>
      </c>
      <c r="C670" t="s">
        <v>2815</v>
      </c>
      <c r="D670" t="s">
        <v>3905</v>
      </c>
    </row>
    <row r="671" ht="11.25" customHeight="1">
      <c r="A671">
        <v>671</v>
      </c>
      <c r="B671" t="s">
        <v>3903</v>
      </c>
      <c r="C671" t="s">
        <v>2661</v>
      </c>
      <c r="D671" t="s">
        <v>3906</v>
      </c>
    </row>
    <row r="672" ht="11.25" customHeight="1">
      <c r="A672">
        <v>672</v>
      </c>
      <c r="B672" t="s">
        <v>3903</v>
      </c>
      <c r="C672" t="s">
        <v>3907</v>
      </c>
      <c r="D672" t="s">
        <v>3908</v>
      </c>
    </row>
    <row r="673" ht="11.25" customHeight="1">
      <c r="A673">
        <v>673</v>
      </c>
      <c r="B673" t="s">
        <v>3903</v>
      </c>
      <c r="C673" t="s">
        <v>3118</v>
      </c>
      <c r="D673" t="s">
        <v>3909</v>
      </c>
    </row>
    <row r="674" ht="11.25" customHeight="1">
      <c r="A674">
        <v>674</v>
      </c>
      <c r="B674" t="s">
        <v>3903</v>
      </c>
      <c r="C674" t="s">
        <v>3910</v>
      </c>
      <c r="D674" t="s">
        <v>3911</v>
      </c>
    </row>
    <row r="675" ht="11.25" customHeight="1">
      <c r="A675">
        <v>675</v>
      </c>
      <c r="B675" t="s">
        <v>3903</v>
      </c>
      <c r="C675" t="s">
        <v>3912</v>
      </c>
      <c r="D675" t="s">
        <v>3913</v>
      </c>
    </row>
    <row r="676" ht="11.25" customHeight="1">
      <c r="A676">
        <v>676</v>
      </c>
      <c r="B676" t="s">
        <v>3903</v>
      </c>
      <c r="C676" t="s">
        <v>3914</v>
      </c>
      <c r="D676" t="s">
        <v>3915</v>
      </c>
    </row>
    <row r="677" ht="11.25" customHeight="1">
      <c r="A677">
        <v>677</v>
      </c>
      <c r="B677" t="s">
        <v>3903</v>
      </c>
      <c r="C677" t="s">
        <v>3903</v>
      </c>
      <c r="D677" t="s">
        <v>3916</v>
      </c>
    </row>
    <row r="678" ht="11.25" customHeight="1">
      <c r="A678">
        <v>678</v>
      </c>
      <c r="B678" t="s">
        <v>3903</v>
      </c>
      <c r="C678" t="s">
        <v>3830</v>
      </c>
      <c r="D678" t="s">
        <v>3917</v>
      </c>
    </row>
    <row r="679" ht="11.25" customHeight="1">
      <c r="A679">
        <v>679</v>
      </c>
      <c r="B679" t="s">
        <v>3918</v>
      </c>
      <c r="C679" t="s">
        <v>3919</v>
      </c>
      <c r="D679" t="s">
        <v>3920</v>
      </c>
    </row>
    <row r="680" ht="11.25" customHeight="1">
      <c r="A680">
        <v>680</v>
      </c>
      <c r="B680" t="s">
        <v>3918</v>
      </c>
      <c r="C680" t="s">
        <v>3921</v>
      </c>
      <c r="D680" t="s">
        <v>3922</v>
      </c>
    </row>
    <row r="681" ht="11.25" customHeight="1">
      <c r="A681">
        <v>681</v>
      </c>
      <c r="B681" t="s">
        <v>3918</v>
      </c>
      <c r="C681" t="s">
        <v>3923</v>
      </c>
      <c r="D681" t="s">
        <v>3924</v>
      </c>
    </row>
    <row r="682" ht="11.25" customHeight="1">
      <c r="A682">
        <v>682</v>
      </c>
      <c r="B682" t="s">
        <v>3918</v>
      </c>
      <c r="C682" t="s">
        <v>3925</v>
      </c>
      <c r="D682" t="s">
        <v>3926</v>
      </c>
    </row>
    <row r="683" ht="11.25" customHeight="1">
      <c r="A683">
        <v>683</v>
      </c>
      <c r="B683" t="s">
        <v>3918</v>
      </c>
      <c r="C683" t="s">
        <v>3927</v>
      </c>
      <c r="D683" t="s">
        <v>3928</v>
      </c>
    </row>
    <row r="684" ht="11.25" customHeight="1">
      <c r="A684">
        <v>684</v>
      </c>
      <c r="B684" t="s">
        <v>3918</v>
      </c>
      <c r="C684" t="s">
        <v>3929</v>
      </c>
      <c r="D684" t="s">
        <v>3930</v>
      </c>
    </row>
    <row r="685" ht="11.25" customHeight="1">
      <c r="A685">
        <v>685</v>
      </c>
      <c r="B685" t="s">
        <v>3918</v>
      </c>
      <c r="C685" t="s">
        <v>3931</v>
      </c>
      <c r="D685" t="s">
        <v>3932</v>
      </c>
    </row>
    <row r="686" ht="11.25" customHeight="1">
      <c r="A686">
        <v>686</v>
      </c>
      <c r="B686" t="s">
        <v>3918</v>
      </c>
      <c r="C686" t="s">
        <v>3933</v>
      </c>
      <c r="D686" t="s">
        <v>3934</v>
      </c>
    </row>
    <row r="687" ht="11.25" customHeight="1">
      <c r="A687">
        <v>687</v>
      </c>
      <c r="B687" t="s">
        <v>3918</v>
      </c>
      <c r="C687" t="s">
        <v>3918</v>
      </c>
      <c r="D687" t="s">
        <v>3935</v>
      </c>
    </row>
    <row r="688" ht="11.25" customHeight="1">
      <c r="A688">
        <v>688</v>
      </c>
      <c r="B688" t="s">
        <v>3918</v>
      </c>
      <c r="C688" t="s">
        <v>3936</v>
      </c>
      <c r="D688" t="s">
        <v>3937</v>
      </c>
    </row>
    <row r="689" ht="11.25" customHeight="1">
      <c r="A689">
        <v>689</v>
      </c>
      <c r="B689" t="s">
        <v>3938</v>
      </c>
      <c r="C689" t="s">
        <v>3939</v>
      </c>
      <c r="D689" t="s">
        <v>3940</v>
      </c>
    </row>
    <row r="690" ht="11.25" customHeight="1">
      <c r="A690">
        <v>690</v>
      </c>
      <c r="B690" t="s">
        <v>3938</v>
      </c>
      <c r="C690" t="s">
        <v>3384</v>
      </c>
      <c r="D690" t="s">
        <v>3941</v>
      </c>
    </row>
    <row r="691" ht="11.25" customHeight="1">
      <c r="A691">
        <v>691</v>
      </c>
      <c r="B691" t="s">
        <v>3938</v>
      </c>
      <c r="C691" t="s">
        <v>3942</v>
      </c>
      <c r="D691" t="s">
        <v>3943</v>
      </c>
    </row>
    <row r="692" ht="11.25" customHeight="1">
      <c r="A692">
        <v>692</v>
      </c>
      <c r="B692" t="s">
        <v>3938</v>
      </c>
      <c r="C692" t="s">
        <v>3944</v>
      </c>
      <c r="D692" t="s">
        <v>3945</v>
      </c>
    </row>
    <row r="693" ht="11.25" customHeight="1">
      <c r="A693">
        <v>693</v>
      </c>
      <c r="B693" t="s">
        <v>3938</v>
      </c>
      <c r="C693" t="s">
        <v>2876</v>
      </c>
      <c r="D693" t="s">
        <v>3946</v>
      </c>
    </row>
    <row r="694" ht="11.25" customHeight="1">
      <c r="A694">
        <v>694</v>
      </c>
      <c r="B694" t="s">
        <v>3938</v>
      </c>
      <c r="C694" t="s">
        <v>3947</v>
      </c>
      <c r="D694" t="s">
        <v>3948</v>
      </c>
    </row>
    <row r="695" ht="11.25" customHeight="1">
      <c r="A695">
        <v>695</v>
      </c>
      <c r="B695" t="s">
        <v>3938</v>
      </c>
      <c r="C695" t="s">
        <v>3921</v>
      </c>
      <c r="D695" t="s">
        <v>3949</v>
      </c>
    </row>
    <row r="696" ht="11.25" customHeight="1">
      <c r="A696">
        <v>696</v>
      </c>
      <c r="B696" t="s">
        <v>3938</v>
      </c>
      <c r="C696" t="s">
        <v>3950</v>
      </c>
      <c r="D696" t="s">
        <v>3951</v>
      </c>
    </row>
    <row r="697" ht="11.25" customHeight="1">
      <c r="A697">
        <v>697</v>
      </c>
      <c r="B697" t="s">
        <v>3938</v>
      </c>
      <c r="C697" t="s">
        <v>3952</v>
      </c>
      <c r="D697" t="s">
        <v>3953</v>
      </c>
    </row>
    <row r="698" ht="11.25" customHeight="1">
      <c r="A698">
        <v>698</v>
      </c>
      <c r="B698" t="s">
        <v>3938</v>
      </c>
      <c r="C698" t="s">
        <v>3954</v>
      </c>
      <c r="D698" t="s">
        <v>3955</v>
      </c>
    </row>
    <row r="699" ht="11.25" customHeight="1">
      <c r="A699">
        <v>699</v>
      </c>
      <c r="B699" t="s">
        <v>3938</v>
      </c>
      <c r="C699" t="s">
        <v>2740</v>
      </c>
      <c r="D699" t="s">
        <v>3956</v>
      </c>
    </row>
    <row r="700" ht="11.25" customHeight="1">
      <c r="A700">
        <v>700</v>
      </c>
      <c r="B700" t="s">
        <v>3938</v>
      </c>
      <c r="C700" t="s">
        <v>3957</v>
      </c>
      <c r="D700" t="s">
        <v>3958</v>
      </c>
    </row>
    <row r="701" ht="11.25" customHeight="1">
      <c r="A701">
        <v>701</v>
      </c>
      <c r="B701" t="s">
        <v>3938</v>
      </c>
      <c r="C701" t="s">
        <v>3493</v>
      </c>
      <c r="D701" t="s">
        <v>3959</v>
      </c>
    </row>
    <row r="702" ht="11.25" customHeight="1">
      <c r="A702">
        <v>702</v>
      </c>
      <c r="B702" t="s">
        <v>3938</v>
      </c>
      <c r="C702" t="s">
        <v>3960</v>
      </c>
      <c r="D702" t="s">
        <v>3961</v>
      </c>
    </row>
    <row r="703" ht="11.25" customHeight="1">
      <c r="A703">
        <v>703</v>
      </c>
      <c r="B703" t="s">
        <v>3938</v>
      </c>
      <c r="C703" t="s">
        <v>3962</v>
      </c>
      <c r="D703" t="s">
        <v>3963</v>
      </c>
    </row>
    <row r="704" ht="11.25" customHeight="1">
      <c r="A704">
        <v>704</v>
      </c>
      <c r="B704" t="s">
        <v>3938</v>
      </c>
      <c r="C704" t="s">
        <v>3964</v>
      </c>
      <c r="D704" t="s">
        <v>3965</v>
      </c>
    </row>
    <row r="705" ht="11.25" customHeight="1">
      <c r="A705">
        <v>705</v>
      </c>
      <c r="B705" t="s">
        <v>3938</v>
      </c>
      <c r="C705" t="s">
        <v>3966</v>
      </c>
      <c r="D705" t="s">
        <v>3967</v>
      </c>
    </row>
    <row r="706" ht="11.25" customHeight="1">
      <c r="A706">
        <v>706</v>
      </c>
      <c r="B706" t="s">
        <v>3938</v>
      </c>
      <c r="C706" t="s">
        <v>3968</v>
      </c>
      <c r="D706" t="s">
        <v>3969</v>
      </c>
    </row>
    <row r="707" ht="11.25" customHeight="1">
      <c r="A707">
        <v>707</v>
      </c>
      <c r="B707" t="s">
        <v>3938</v>
      </c>
      <c r="C707" t="s">
        <v>3938</v>
      </c>
      <c r="D707" t="s">
        <v>3970</v>
      </c>
    </row>
    <row r="708" ht="11.25" customHeight="1">
      <c r="A708">
        <v>708</v>
      </c>
      <c r="B708" t="s">
        <v>3938</v>
      </c>
      <c r="C708" t="s">
        <v>3971</v>
      </c>
      <c r="D708" t="s">
        <v>3972</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3" width="9.140625"/>
    <col customWidth="1" min="2" max="2" style="783" width="84.28125"/>
    <col min="3" max="3" style="783" width="9.140625"/>
  </cols>
  <sheetData>
    <row r="1" ht="11.25" customHeight="1">
      <c r="A1" s="783" t="s">
        <v>3973</v>
      </c>
      <c r="B1" s="783" t="s">
        <v>3974</v>
      </c>
      <c r="C1" s="783" t="s">
        <v>1210</v>
      </c>
    </row>
    <row r="2" ht="11.25" customHeight="1">
      <c r="A2" s="783">
        <v>4189678</v>
      </c>
      <c r="B2" s="783" t="s">
        <v>3975</v>
      </c>
      <c r="C2" s="783" t="s">
        <v>3976</v>
      </c>
    </row>
    <row r="3" ht="11.25" customHeight="1">
      <c r="A3" s="783">
        <v>4190415</v>
      </c>
      <c r="B3" s="783" t="s">
        <v>3977</v>
      </c>
      <c r="C3" s="783" t="s">
        <v>3976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399" width="38.421875"/>
    <col min="2" max="5" style="1399" width="9.140625"/>
  </cols>
  <sheetData>
    <row r="1" ht="15" customHeight="1">
      <c r="A1" s="1400" t="s">
        <v>3978</v>
      </c>
      <c r="B1" s="1400" t="s">
        <v>3979</v>
      </c>
      <c r="C1" s="1400"/>
      <c r="D1" s="1400"/>
      <c r="E1" s="1400"/>
    </row>
    <row r="2" ht="15" customHeight="1">
      <c r="A2" s="1400"/>
      <c r="B2" s="1400"/>
      <c r="C2" s="1400"/>
      <c r="D2" s="1400"/>
      <c r="E2" s="1400"/>
    </row>
    <row r="3" ht="15" customHeight="1">
      <c r="A3" s="1400"/>
      <c r="B3" s="1400"/>
      <c r="C3" s="1400"/>
      <c r="D3" s="1400"/>
      <c r="E3" s="1400"/>
    </row>
    <row r="4" ht="15" customHeight="1">
      <c r="A4" s="1400"/>
      <c r="B4" s="1400"/>
      <c r="C4" s="1400"/>
      <c r="D4" s="1400"/>
      <c r="E4" s="1400"/>
    </row>
    <row r="5" ht="15" customHeight="1">
      <c r="A5" s="1400"/>
      <c r="B5" s="1400"/>
      <c r="C5" s="1400"/>
      <c r="D5" s="1400"/>
      <c r="E5" s="1400"/>
    </row>
    <row r="6" ht="15" customHeight="1">
      <c r="A6" s="1400"/>
      <c r="B6" s="1400"/>
      <c r="C6" s="1400"/>
      <c r="D6" s="1400"/>
      <c r="E6" s="1400"/>
    </row>
    <row r="7" ht="15" customHeight="1">
      <c r="A7" s="1400"/>
      <c r="B7" s="1400"/>
      <c r="C7" s="1400"/>
      <c r="D7" s="1400"/>
      <c r="E7" s="1400"/>
    </row>
    <row r="8" ht="15" customHeight="1">
      <c r="A8" s="1400"/>
      <c r="B8" s="1400"/>
      <c r="C8" s="1400"/>
      <c r="D8" s="1400"/>
      <c r="E8" s="1400"/>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3980</v>
      </c>
      <c r="B1" t="b">
        <v>1</v>
      </c>
    </row>
    <row r="2" ht="11.25" customHeight="1">
      <c r="A2" t="s">
        <v>3981</v>
      </c>
      <c r="B2" t="b">
        <v>0</v>
      </c>
    </row>
    <row r="3" ht="11.25" customHeight="1">
      <c r="A3" t="s">
        <v>3982</v>
      </c>
      <c r="B3" t="b">
        <v>1</v>
      </c>
    </row>
    <row r="4" ht="11.25" customHeight="1">
      <c r="A4" t="s">
        <v>3983</v>
      </c>
      <c r="B4" t="b">
        <v>0</v>
      </c>
    </row>
    <row r="5" ht="11.25" customHeight="1">
      <c r="A5" t="s">
        <v>3984</v>
      </c>
      <c r="B5" t="b">
        <v>0</v>
      </c>
    </row>
    <row r="6" ht="11.25" customHeight="1">
      <c r="A6" t="s">
        <v>3985</v>
      </c>
      <c r="B6" t="b">
        <v>0</v>
      </c>
    </row>
    <row r="7" ht="11.25" customHeight="1">
      <c r="A7" t="s">
        <v>3986</v>
      </c>
      <c r="B7" t="b">
        <v>0</v>
      </c>
    </row>
    <row r="8" ht="11.25" customHeight="1">
      <c r="A8" t="s">
        <v>3987</v>
      </c>
      <c r="B8" t="b">
        <v>0</v>
      </c>
    </row>
    <row r="9" ht="11.25" customHeight="1">
      <c r="A9" t="s">
        <v>3988</v>
      </c>
      <c r="B9" t="b">
        <v>0</v>
      </c>
    </row>
    <row r="10" ht="11.25" customHeight="1">
      <c r="A10" t="s">
        <v>3989</v>
      </c>
      <c r="B10" t="b">
        <v>0</v>
      </c>
    </row>
    <row r="11" ht="11.25" customHeight="1">
      <c r="A11" t="s">
        <v>3990</v>
      </c>
      <c r="B11" t="b">
        <v>0</v>
      </c>
    </row>
    <row r="12" ht="11.25" customHeight="1">
      <c r="A12" t="s">
        <v>3991</v>
      </c>
      <c r="B12" t="b">
        <v>1</v>
      </c>
    </row>
    <row r="13" ht="11.25" customHeight="1">
      <c r="A13" t="s">
        <v>3992</v>
      </c>
      <c r="B13" t="b">
        <v>0</v>
      </c>
    </row>
    <row r="14" ht="11.25" customHeight="1">
      <c r="A14" t="s">
        <v>3993</v>
      </c>
      <c r="B14" t="b">
        <v>0</v>
      </c>
    </row>
    <row r="15" ht="11.25" customHeight="1">
      <c r="A15" t="s">
        <v>3994</v>
      </c>
      <c r="B15" t="b">
        <v>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1"/>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2" t="s">
        <v>3995</v>
      </c>
      <c r="B1" s="1402" t="s">
        <v>3996</v>
      </c>
    </row>
    <row r="2" ht="11.25" customHeight="1">
      <c r="A2" s="183" t="s">
        <v>3997</v>
      </c>
      <c r="B2" s="183" t="s">
        <v>3998</v>
      </c>
    </row>
    <row r="3" ht="11.25" customHeight="1">
      <c r="A3" s="183" t="s">
        <v>3999</v>
      </c>
      <c r="B3" s="183" t="s">
        <v>4000</v>
      </c>
    </row>
    <row r="4" ht="11.25" customHeight="1">
      <c r="A4" s="183" t="s">
        <v>4001</v>
      </c>
      <c r="B4" s="183" t="s">
        <v>4002</v>
      </c>
    </row>
    <row r="5" ht="11.25" customHeight="1">
      <c r="A5" s="183" t="s">
        <v>4003</v>
      </c>
      <c r="B5" s="183" t="s">
        <v>4004</v>
      </c>
    </row>
    <row r="6" ht="11.25" customHeight="1">
      <c r="A6" s="183" t="s">
        <v>4005</v>
      </c>
      <c r="B6" s="183" t="s">
        <v>4006</v>
      </c>
    </row>
    <row r="7" ht="11.25" customHeight="1">
      <c r="A7" s="183" t="s">
        <v>4007</v>
      </c>
      <c r="B7" s="183" t="s">
        <v>4008</v>
      </c>
    </row>
    <row r="8" ht="11.25" customHeight="1">
      <c r="A8" s="183" t="s">
        <v>4009</v>
      </c>
      <c r="B8" s="183" t="s">
        <v>4010</v>
      </c>
    </row>
    <row r="9" ht="11.25" customHeight="1">
      <c r="A9" s="183" t="s">
        <v>4011</v>
      </c>
      <c r="B9" s="183" t="s">
        <v>4012</v>
      </c>
    </row>
    <row r="10" ht="11.25" customHeight="1">
      <c r="A10" s="183" t="s">
        <v>4013</v>
      </c>
      <c r="B10" s="183" t="s">
        <v>4014</v>
      </c>
    </row>
    <row r="11" ht="11.25" customHeight="1">
      <c r="A11" s="183" t="s">
        <v>4015</v>
      </c>
      <c r="B11" s="183" t="s">
        <v>4016</v>
      </c>
    </row>
    <row r="12" ht="11.25" customHeight="1">
      <c r="A12" s="183" t="s">
        <v>4017</v>
      </c>
      <c r="B12" s="183" t="s">
        <v>4018</v>
      </c>
    </row>
    <row r="13" ht="11.25" customHeight="1">
      <c r="A13" s="183" t="s">
        <v>4019</v>
      </c>
      <c r="B13" s="183" t="s">
        <v>4020</v>
      </c>
    </row>
    <row r="14" ht="11.25" customHeight="1">
      <c r="A14" s="183" t="s">
        <v>4021</v>
      </c>
      <c r="B14" s="183" t="s">
        <v>4022</v>
      </c>
    </row>
    <row r="15" ht="11.25" customHeight="1">
      <c r="A15" s="183" t="s">
        <v>4023</v>
      </c>
      <c r="B15" s="183" t="s">
        <v>4024</v>
      </c>
    </row>
    <row r="16" ht="11.25" customHeight="1">
      <c r="A16" s="183" t="s">
        <v>4025</v>
      </c>
      <c r="B16" s="183" t="s">
        <v>4026</v>
      </c>
    </row>
    <row r="17" ht="11.25" customHeight="1">
      <c r="A17" s="183" t="s">
        <v>4027</v>
      </c>
      <c r="B17" s="183" t="s">
        <v>4028</v>
      </c>
    </row>
    <row r="18" ht="11.25" customHeight="1">
      <c r="A18" s="183" t="s">
        <v>4029</v>
      </c>
      <c r="B18" s="183" t="s">
        <v>4030</v>
      </c>
    </row>
    <row r="19" ht="11.25" customHeight="1">
      <c r="A19" s="183" t="s">
        <v>4031</v>
      </c>
      <c r="B19" s="183" t="s">
        <v>4032</v>
      </c>
    </row>
    <row r="20" ht="11.25" customHeight="1">
      <c r="A20" s="183" t="s">
        <v>4033</v>
      </c>
      <c r="B20" s="183" t="s">
        <v>4034</v>
      </c>
    </row>
    <row r="21" ht="11.25" customHeight="1">
      <c r="A21" s="183" t="s">
        <v>4035</v>
      </c>
      <c r="B21" s="183" t="s">
        <v>4036</v>
      </c>
    </row>
    <row r="22" ht="11.25" customHeight="1">
      <c r="A22" s="183" t="s">
        <v>4037</v>
      </c>
      <c r="B22" s="183" t="s">
        <v>4038</v>
      </c>
    </row>
    <row r="23" ht="11.25" customHeight="1">
      <c r="A23" s="183" t="s">
        <v>4039</v>
      </c>
      <c r="B23" s="183" t="s">
        <v>4040</v>
      </c>
    </row>
    <row r="24" ht="11.25" customHeight="1">
      <c r="A24" s="183" t="s">
        <v>4041</v>
      </c>
      <c r="B24" s="183" t="s">
        <v>4042</v>
      </c>
    </row>
    <row r="25" ht="11.25" customHeight="1">
      <c r="A25" s="183" t="s">
        <v>4043</v>
      </c>
      <c r="B25" s="183" t="s">
        <v>4044</v>
      </c>
    </row>
    <row r="26" ht="11.25" customHeight="1">
      <c r="A26" s="183" t="s">
        <v>4045</v>
      </c>
      <c r="B26" s="183" t="s">
        <v>4046</v>
      </c>
    </row>
    <row r="27" ht="11.25" customHeight="1">
      <c r="A27" s="183" t="s">
        <v>4047</v>
      </c>
      <c r="B27" s="183" t="s">
        <v>4048</v>
      </c>
    </row>
    <row r="28" ht="11.25" customHeight="1">
      <c r="A28" s="183" t="s">
        <v>4049</v>
      </c>
      <c r="B28" s="183" t="s">
        <v>4050</v>
      </c>
    </row>
    <row r="29" ht="11.25" customHeight="1">
      <c r="A29" s="183" t="s">
        <v>4051</v>
      </c>
      <c r="B29" s="183" t="s">
        <v>4052</v>
      </c>
    </row>
    <row r="30" ht="11.25" customHeight="1">
      <c r="A30" s="183" t="s">
        <v>4053</v>
      </c>
      <c r="B30" s="183" t="s">
        <v>4054</v>
      </c>
    </row>
    <row r="31" ht="11.25" customHeight="1">
      <c r="A31" s="183" t="s">
        <v>4055</v>
      </c>
      <c r="B31" s="183" t="s">
        <v>4056</v>
      </c>
    </row>
    <row r="32" ht="11.25" customHeight="1">
      <c r="A32" s="183" t="s">
        <v>4057</v>
      </c>
      <c r="B32" s="183" t="s">
        <v>4058</v>
      </c>
    </row>
    <row r="33" ht="11.25" customHeight="1">
      <c r="A33" s="183" t="s">
        <v>4059</v>
      </c>
      <c r="B33" s="183" t="s">
        <v>4060</v>
      </c>
    </row>
    <row r="34" ht="11.25" customHeight="1">
      <c r="A34" s="183" t="s">
        <v>4061</v>
      </c>
      <c r="B34" s="183" t="s">
        <v>4062</v>
      </c>
    </row>
    <row r="35" ht="11.25" customHeight="1">
      <c r="A35" s="183" t="s">
        <v>4063</v>
      </c>
      <c r="B35" s="183" t="s">
        <v>4064</v>
      </c>
    </row>
    <row r="36" ht="11.25" customHeight="1">
      <c r="A36" s="183" t="s">
        <v>4065</v>
      </c>
      <c r="B36" s="183" t="s">
        <v>4066</v>
      </c>
    </row>
    <row r="37" ht="11.25" customHeight="1">
      <c r="A37" s="183" t="s">
        <v>4067</v>
      </c>
      <c r="B37" s="183" t="s">
        <v>4068</v>
      </c>
    </row>
    <row r="38" ht="11.25" customHeight="1">
      <c r="A38" s="183" t="s">
        <v>4069</v>
      </c>
      <c r="B38" s="183" t="s">
        <v>4070</v>
      </c>
    </row>
    <row r="39" ht="11.25" customHeight="1">
      <c r="A39" s="183" t="s">
        <v>4071</v>
      </c>
      <c r="B39" s="183" t="s">
        <v>4072</v>
      </c>
    </row>
    <row r="40" ht="11.25" customHeight="1">
      <c r="A40" s="183" t="s">
        <v>4073</v>
      </c>
      <c r="B40" s="183" t="s">
        <v>4074</v>
      </c>
    </row>
    <row r="41" ht="11.25" customHeight="1">
      <c r="A41" s="183" t="s">
        <v>4075</v>
      </c>
      <c r="B41" s="183" t="s">
        <v>4076</v>
      </c>
    </row>
    <row r="42" ht="11.25" customHeight="1">
      <c r="A42" s="183" t="s">
        <v>4077</v>
      </c>
      <c r="B42" s="183" t="s">
        <v>4078</v>
      </c>
    </row>
    <row r="43" ht="11.25" customHeight="1">
      <c r="A43" s="183" t="s">
        <v>4079</v>
      </c>
      <c r="B43" s="183" t="s">
        <v>4080</v>
      </c>
    </row>
    <row r="44" ht="11.25" customHeight="1">
      <c r="A44" s="183" t="s">
        <v>4081</v>
      </c>
      <c r="B44" s="183" t="s">
        <v>4082</v>
      </c>
    </row>
    <row r="45" ht="11.25" customHeight="1">
      <c r="A45" s="183" t="s">
        <v>4083</v>
      </c>
      <c r="B45" s="183" t="s">
        <v>4084</v>
      </c>
    </row>
    <row r="46" ht="11.25" customHeight="1">
      <c r="A46" s="183" t="s">
        <v>4085</v>
      </c>
      <c r="B46" s="183" t="s">
        <v>4086</v>
      </c>
    </row>
    <row r="47" ht="11.25" customHeight="1">
      <c r="A47" s="183" t="s">
        <v>4087</v>
      </c>
      <c r="B47" s="183" t="s">
        <v>4088</v>
      </c>
    </row>
    <row r="48" ht="11.25" customHeight="1">
      <c r="A48" s="183" t="s">
        <v>4089</v>
      </c>
      <c r="B48" s="183" t="s">
        <v>4090</v>
      </c>
    </row>
    <row r="49" ht="11.25" customHeight="1">
      <c r="A49" s="183" t="s">
        <v>4091</v>
      </c>
      <c r="B49" s="183" t="s">
        <v>4092</v>
      </c>
    </row>
    <row r="50" ht="11.25" customHeight="1">
      <c r="A50" s="183" t="s">
        <v>4093</v>
      </c>
      <c r="B50" s="183" t="s">
        <v>4094</v>
      </c>
    </row>
    <row r="51" ht="11.25" customHeight="1">
      <c r="A51" s="183" t="s">
        <v>4095</v>
      </c>
      <c r="B51" s="183" t="s">
        <v>4096</v>
      </c>
    </row>
    <row r="52" ht="11.25" customHeight="1">
      <c r="A52" s="183" t="s">
        <v>4097</v>
      </c>
      <c r="B52" s="183" t="s">
        <v>4098</v>
      </c>
    </row>
    <row r="53" ht="11.25" customHeight="1">
      <c r="A53" s="183" t="s">
        <v>4099</v>
      </c>
      <c r="B53" s="183" t="s">
        <v>4100</v>
      </c>
    </row>
    <row r="54" ht="11.25" customHeight="1">
      <c r="A54" s="183" t="s">
        <v>4101</v>
      </c>
      <c r="B54" s="183" t="s">
        <v>4102</v>
      </c>
    </row>
    <row r="55" ht="11.25" customHeight="1">
      <c r="A55" s="183" t="s">
        <v>4103</v>
      </c>
      <c r="B55" s="183" t="s">
        <v>4104</v>
      </c>
    </row>
    <row r="56" ht="11.25" customHeight="1">
      <c r="A56" s="183" t="s">
        <v>4105</v>
      </c>
      <c r="B56" s="183" t="s">
        <v>4106</v>
      </c>
    </row>
    <row r="57" ht="11.25" customHeight="1">
      <c r="A57" s="183" t="s">
        <v>4107</v>
      </c>
      <c r="B57" s="183" t="s">
        <v>4108</v>
      </c>
    </row>
    <row r="58" ht="11.25" customHeight="1">
      <c r="A58" s="183" t="s">
        <v>4109</v>
      </c>
      <c r="B58" s="183" t="s">
        <v>4110</v>
      </c>
    </row>
    <row r="59" ht="11.25" customHeight="1">
      <c r="A59" s="183" t="s">
        <v>4111</v>
      </c>
      <c r="B59" s="183" t="s">
        <v>4112</v>
      </c>
    </row>
    <row r="60" ht="11.25" customHeight="1">
      <c r="A60" s="183" t="s">
        <v>4113</v>
      </c>
      <c r="B60" s="183" t="s">
        <v>4114</v>
      </c>
    </row>
    <row r="61" ht="11.25" customHeight="1">
      <c r="A61" s="183"/>
      <c r="B61" s="183" t="s">
        <v>4115</v>
      </c>
    </row>
    <row r="62" ht="11.25" customHeight="1">
      <c r="A62" s="183"/>
      <c r="B62" s="183" t="s">
        <v>4116</v>
      </c>
    </row>
    <row r="63" ht="11.25" customHeight="1">
      <c r="A63" s="183"/>
      <c r="B63" s="183" t="s">
        <v>4117</v>
      </c>
    </row>
    <row r="64" ht="11.25" customHeight="1">
      <c r="A64" s="183"/>
      <c r="B64" s="183" t="s">
        <v>4118</v>
      </c>
    </row>
    <row r="65" ht="11.25" customHeight="1">
      <c r="A65" s="183"/>
      <c r="B65" s="183" t="s">
        <v>4119</v>
      </c>
    </row>
    <row r="66" ht="11.25" customHeight="1">
      <c r="A66" s="183"/>
      <c r="B66" s="183" t="s">
        <v>4120</v>
      </c>
    </row>
    <row r="67" ht="11.25" customHeight="1">
      <c r="A67" s="183"/>
      <c r="B67" s="183" t="s">
        <v>4121</v>
      </c>
    </row>
    <row r="68" ht="11.25" customHeight="1">
      <c r="A68" s="183"/>
      <c r="B68" s="183" t="s">
        <v>4122</v>
      </c>
    </row>
    <row r="69" ht="11.25" customHeight="1">
      <c r="A69" s="183"/>
      <c r="B69" s="183" t="s">
        <v>4123</v>
      </c>
    </row>
    <row r="70" ht="11.25" customHeight="1">
      <c r="A70" s="183"/>
      <c r="B70" s="183" t="s">
        <v>4124</v>
      </c>
    </row>
    <row r="71" ht="11.25" customHeight="1">
      <c r="A71" s="183"/>
      <c r="B71" s="183"/>
    </row>
    <row r="72" ht="11.25" customHeight="1">
      <c r="A72" s="183"/>
      <c r="B72" s="183"/>
    </row>
    <row r="73" ht="11.25" customHeight="1">
      <c r="A73" s="183"/>
      <c r="B73" s="183"/>
    </row>
    <row r="74" ht="11.25" customHeight="1">
      <c r="A74" s="183"/>
      <c r="B74" s="183"/>
    </row>
    <row r="75" ht="11.25" customHeight="1">
      <c r="A75" s="183"/>
      <c r="B75" s="183"/>
    </row>
    <row r="76" ht="11.25" customHeight="1">
      <c r="A76" s="183"/>
      <c r="B76" s="183"/>
    </row>
    <row r="77" ht="11.25" customHeight="1">
      <c r="A77" s="183"/>
      <c r="B77" s="183"/>
    </row>
    <row r="78" ht="11.25" customHeight="1">
      <c r="A78" s="183"/>
      <c r="B78" s="183"/>
    </row>
    <row r="79" ht="11.25" customHeight="1">
      <c r="A79" s="183"/>
      <c r="B79" s="183"/>
    </row>
    <row r="80" ht="11.25" customHeight="1">
      <c r="A80" s="183"/>
      <c r="B80" s="183"/>
    </row>
    <row r="81" ht="11.25" customHeight="1">
      <c r="A81" s="183"/>
      <c r="B81" s="183"/>
    </row>
    <row r="82" ht="11.25" customHeight="1">
      <c r="A82" s="183"/>
      <c r="B82" s="183"/>
    </row>
    <row r="83" ht="11.25" customHeight="1">
      <c r="A83" s="183"/>
      <c r="B83" s="183"/>
    </row>
    <row r="84" ht="11.25" customHeight="1">
      <c r="A84" s="183"/>
      <c r="B84" s="183"/>
    </row>
    <row r="85" ht="11.25" customHeight="1">
      <c r="A85" s="183"/>
      <c r="B85" s="183"/>
    </row>
    <row r="86" ht="11.25" customHeight="1">
      <c r="A86" s="183"/>
      <c r="B86" s="183"/>
    </row>
    <row r="87" ht="11.25" customHeight="1">
      <c r="A87" s="183"/>
      <c r="B87" s="183"/>
    </row>
    <row r="88" ht="11.25" customHeight="1">
      <c r="A88" s="183"/>
      <c r="B88" s="183"/>
    </row>
    <row r="89" ht="11.25" customHeight="1">
      <c r="A89" s="183"/>
      <c r="B89" s="183"/>
    </row>
    <row r="90" ht="11.25" customHeight="1">
      <c r="A90" s="183"/>
      <c r="B90" s="183"/>
    </row>
    <row r="91" ht="11.25" customHeight="1">
      <c r="A91" s="183"/>
      <c r="B91" s="183"/>
    </row>
    <row r="92" ht="11.25" customHeight="1">
      <c r="A92" s="183"/>
      <c r="B92" s="183"/>
    </row>
    <row r="93" ht="11.25" customHeight="1">
      <c r="A93" s="183"/>
      <c r="B93" s="183"/>
    </row>
    <row r="94" ht="11.25" customHeight="1">
      <c r="A94" s="183"/>
      <c r="B94" s="183"/>
    </row>
    <row r="95" ht="11.25" customHeight="1">
      <c r="A95" s="183"/>
      <c r="B95" s="183"/>
    </row>
    <row r="96" ht="11.25" customHeight="1">
      <c r="A96" s="183"/>
      <c r="B96" s="183"/>
    </row>
    <row r="97" ht="11.25" customHeight="1">
      <c r="A97" s="183"/>
      <c r="B97" s="183"/>
    </row>
    <row r="98" ht="11.25" customHeight="1">
      <c r="A98" s="183"/>
      <c r="B98" s="183"/>
    </row>
    <row r="99" ht="11.25" customHeight="1">
      <c r="A99" s="183"/>
      <c r="B99" s="183"/>
    </row>
    <row r="100" ht="11.25" customHeight="1">
      <c r="A100" s="183"/>
      <c r="B100" s="183"/>
    </row>
    <row r="101" ht="11.25" customHeight="1">
      <c r="A101" s="183"/>
      <c r="B101" s="183"/>
    </row>
    <row r="102" ht="11.25" customHeight="1">
      <c r="A102" s="183"/>
      <c r="B102" s="183"/>
    </row>
    <row r="103" ht="11.25" customHeight="1">
      <c r="A103" s="183"/>
      <c r="B103" s="183"/>
    </row>
    <row r="104" ht="11.25" customHeight="1">
      <c r="A104" s="183"/>
      <c r="B104" s="183"/>
    </row>
    <row r="105" ht="11.25" customHeight="1">
      <c r="A105" s="183"/>
      <c r="B105" s="183"/>
    </row>
    <row r="106" ht="11.25" customHeight="1">
      <c r="A106" s="183"/>
      <c r="B106" s="183"/>
    </row>
    <row r="107" ht="11.25" customHeight="1">
      <c r="A107" s="183"/>
      <c r="B107" s="183"/>
    </row>
    <row r="108" ht="11.25" customHeight="1">
      <c r="A108" s="183"/>
      <c r="B108" s="183"/>
    </row>
    <row r="109" ht="11.25" customHeight="1">
      <c r="A109" s="183"/>
      <c r="B109" s="183"/>
    </row>
    <row r="110" ht="11.25" customHeight="1">
      <c r="A110" s="183"/>
      <c r="B110" s="183"/>
    </row>
    <row r="111" ht="11.25" customHeight="1">
      <c r="A111" s="183"/>
      <c r="B111" s="183"/>
    </row>
    <row r="112" ht="11.25" customHeight="1">
      <c r="A112" s="183"/>
      <c r="B112" s="183"/>
    </row>
    <row r="113" ht="11.25" customHeight="1">
      <c r="A113" s="183"/>
      <c r="B113" s="183"/>
    </row>
    <row r="114" ht="11.25" customHeight="1">
      <c r="A114" s="183"/>
      <c r="B114" s="183"/>
    </row>
    <row r="115" ht="11.25" customHeight="1">
      <c r="A115" s="183"/>
      <c r="B115" s="183"/>
    </row>
    <row r="116" ht="11.25" customHeight="1">
      <c r="A116" s="183"/>
      <c r="B116" s="183"/>
    </row>
    <row r="117" ht="11.25" customHeight="1">
      <c r="A117" s="183"/>
      <c r="B117" s="183"/>
    </row>
    <row r="118" ht="11.25" customHeight="1">
      <c r="A118" s="183"/>
      <c r="B118" s="183"/>
    </row>
    <row r="119" ht="11.25" customHeight="1">
      <c r="A119" s="183"/>
      <c r="B119" s="183"/>
    </row>
    <row r="120" ht="11.25" customHeight="1">
      <c r="A120" s="183"/>
      <c r="B120" s="183"/>
    </row>
    <row r="121" ht="11.25" customHeight="1">
      <c r="A121" s="183"/>
      <c r="B121" s="183"/>
    </row>
    <row r="122" ht="11.25" customHeight="1">
      <c r="A122" s="183"/>
      <c r="B122" s="183"/>
    </row>
    <row r="123" ht="11.25" customHeight="1">
      <c r="A123" s="183"/>
      <c r="B123" s="183"/>
    </row>
    <row r="124" ht="11.25" customHeight="1">
      <c r="A124" s="183"/>
      <c r="B124" s="183"/>
    </row>
    <row r="125" ht="11.25" customHeight="1">
      <c r="A125" s="183"/>
      <c r="B125" s="183"/>
    </row>
    <row r="126" ht="11.25" customHeight="1">
      <c r="A126" s="183"/>
      <c r="B126" s="183"/>
    </row>
    <row r="127" ht="11.25" customHeight="1">
      <c r="A127" s="183"/>
      <c r="B127" s="183"/>
    </row>
    <row r="128" ht="11.25" customHeight="1">
      <c r="A128" s="183"/>
      <c r="B128" s="183"/>
    </row>
    <row r="129" ht="11.25" customHeight="1">
      <c r="A129" s="183"/>
      <c r="B129" s="183"/>
    </row>
    <row r="130" ht="11.25" customHeight="1">
      <c r="A130" s="183"/>
      <c r="B130" s="183"/>
    </row>
    <row r="131" ht="11.25" customHeight="1">
      <c r="A131" s="183"/>
      <c r="B131" s="183"/>
    </row>
    <row r="132" ht="11.25" customHeight="1">
      <c r="A132" s="183"/>
      <c r="B132" s="183"/>
    </row>
    <row r="133" ht="11.25" customHeight="1">
      <c r="A133" s="183"/>
      <c r="B133" s="183"/>
    </row>
    <row r="134" ht="11.25" customHeight="1">
      <c r="A134" s="183"/>
      <c r="B134" s="183"/>
    </row>
    <row r="135" ht="11.25" customHeight="1">
      <c r="A135" s="183"/>
      <c r="B135" s="183"/>
    </row>
    <row r="136" ht="11.25" customHeight="1">
      <c r="A136" s="183"/>
      <c r="B136" s="183"/>
    </row>
    <row r="137" ht="11.25" customHeight="1">
      <c r="A137" s="183"/>
      <c r="B137" s="183"/>
    </row>
    <row r="138" ht="11.25" customHeight="1">
      <c r="A138" s="183"/>
      <c r="B138" s="183"/>
    </row>
    <row r="139" ht="11.25" customHeight="1">
      <c r="A139" s="183"/>
      <c r="B139" s="183"/>
    </row>
    <row r="140" ht="11.25" customHeight="1">
      <c r="A140" s="183"/>
      <c r="B140" s="183"/>
    </row>
    <row r="141" ht="11.25" customHeight="1">
      <c r="A141" s="183"/>
      <c r="B141" s="183"/>
    </row>
    <row r="142" ht="11.25" customHeight="1">
      <c r="A142" s="183"/>
      <c r="B142" s="183"/>
    </row>
    <row r="143" ht="11.25" customHeight="1">
      <c r="A143" s="183"/>
      <c r="B143" s="183"/>
    </row>
    <row r="144" ht="11.25" customHeight="1">
      <c r="A144" s="183"/>
      <c r="B144" s="183"/>
    </row>
    <row r="145" ht="11.25" customHeight="1">
      <c r="A145" s="183"/>
      <c r="B145" s="183"/>
    </row>
    <row r="146" ht="11.25" customHeight="1">
      <c r="A146" s="183"/>
      <c r="B146" s="183"/>
    </row>
    <row r="147" ht="11.25" customHeight="1">
      <c r="A147" s="183"/>
      <c r="B147" s="183"/>
    </row>
    <row r="148" ht="11.25" customHeight="1">
      <c r="A148" s="183"/>
      <c r="B148" s="183"/>
    </row>
    <row r="149" ht="11.25" customHeight="1">
      <c r="A149" s="183"/>
      <c r="B149" s="183"/>
    </row>
    <row r="150" ht="11.25" customHeight="1">
      <c r="A150" s="183"/>
      <c r="B150" s="183"/>
    </row>
    <row r="151" ht="11.25" customHeight="1">
      <c r="A151" s="183"/>
      <c r="B151" s="183"/>
    </row>
    <row r="152" ht="11.25" customHeight="1">
      <c r="A152" s="183"/>
      <c r="B152" s="183"/>
    </row>
    <row r="153" ht="11.25" customHeight="1">
      <c r="A153" s="183"/>
      <c r="B153" s="183"/>
    </row>
    <row r="154" ht="11.25" customHeight="1">
      <c r="A154" s="183"/>
      <c r="B154" s="183"/>
    </row>
    <row r="155" ht="11.25" customHeight="1">
      <c r="A155" s="183"/>
      <c r="B155" s="183"/>
    </row>
    <row r="156" ht="11.25" customHeight="1">
      <c r="A156" s="183"/>
      <c r="B156" s="183"/>
    </row>
    <row r="157" ht="11.25" customHeight="1">
      <c r="A157" s="183"/>
      <c r="B157" s="183"/>
    </row>
    <row r="158" ht="11.25" customHeight="1">
      <c r="A158" s="183"/>
      <c r="B158" s="183"/>
    </row>
    <row r="159" ht="11.25" customHeight="1">
      <c r="A159" s="183"/>
      <c r="B159" s="183"/>
    </row>
    <row r="160" ht="11.25" customHeight="1">
      <c r="A160" s="183"/>
      <c r="B160" s="183"/>
    </row>
    <row r="161" ht="11.25" customHeight="1">
      <c r="A161" s="183"/>
      <c r="B161" s="183"/>
    </row>
    <row r="162" ht="11.25" customHeight="1">
      <c r="A162" s="183"/>
      <c r="B162" s="183"/>
    </row>
    <row r="163" ht="11.25" customHeight="1">
      <c r="A163" s="183"/>
      <c r="B163" s="183"/>
    </row>
    <row r="164" ht="11.25" customHeight="1">
      <c r="A164" s="183"/>
      <c r="B164" s="183"/>
    </row>
    <row r="165" ht="11.25" customHeight="1">
      <c r="A165" s="183"/>
      <c r="B165" s="183"/>
    </row>
    <row r="166" ht="11.25" customHeight="1">
      <c r="A166" s="183"/>
      <c r="B166" s="183"/>
    </row>
    <row r="167" ht="11.25" customHeight="1">
      <c r="A167" s="183"/>
      <c r="B167" s="183"/>
    </row>
    <row r="168" ht="11.25" customHeight="1">
      <c r="A168" s="183"/>
      <c r="B168" s="183"/>
    </row>
    <row r="169" ht="11.25" customHeight="1">
      <c r="A169" s="183"/>
      <c r="B169" s="183"/>
    </row>
    <row r="170" ht="11.25" customHeight="1">
      <c r="A170" s="183"/>
      <c r="B170" s="183"/>
    </row>
    <row r="171" ht="11.25" customHeight="1">
      <c r="A171" s="183"/>
      <c r="B171" s="183"/>
    </row>
    <row r="172" ht="11.25" customHeight="1">
      <c r="A172" s="183"/>
      <c r="B172" s="183"/>
    </row>
    <row r="173" ht="11.25" customHeight="1">
      <c r="A173" s="183"/>
      <c r="B173" s="183"/>
    </row>
    <row r="174" ht="11.25" customHeight="1">
      <c r="A174" s="183"/>
      <c r="B174" s="183"/>
    </row>
    <row r="175" ht="11.25" customHeight="1">
      <c r="A175" s="183"/>
      <c r="B175" s="183"/>
    </row>
    <row r="176" ht="11.25" customHeight="1">
      <c r="A176" s="183"/>
      <c r="B176" s="183"/>
    </row>
    <row r="177" ht="11.25" customHeight="1">
      <c r="A177" s="183"/>
      <c r="B177" s="183"/>
    </row>
    <row r="178" ht="11.25" customHeight="1">
      <c r="A178" s="183"/>
      <c r="B178" s="183"/>
    </row>
    <row r="179" ht="11.25" customHeight="1">
      <c r="A179" s="183"/>
      <c r="B179" s="183"/>
    </row>
    <row r="180" ht="11.25" customHeight="1">
      <c r="A180" s="183"/>
      <c r="B180" s="183"/>
    </row>
    <row r="181" ht="11.25" customHeight="1">
      <c r="A181" s="183"/>
      <c r="B181" s="183"/>
    </row>
    <row r="182" ht="11.25" customHeight="1">
      <c r="A182" s="183"/>
      <c r="B182" s="183"/>
    </row>
    <row r="183" ht="11.25" customHeight="1">
      <c r="A183" s="183"/>
      <c r="B183" s="183"/>
    </row>
    <row r="184" ht="11.25" customHeight="1">
      <c r="A184" s="183"/>
      <c r="B184" s="183"/>
    </row>
    <row r="185" ht="11.25" customHeight="1">
      <c r="A185" s="183"/>
      <c r="B185" s="183"/>
    </row>
    <row r="186" ht="11.25" customHeight="1">
      <c r="A186" s="183"/>
      <c r="B186" s="183"/>
    </row>
    <row r="187" ht="11.25" customHeight="1">
      <c r="A187" s="183"/>
      <c r="B187" s="183"/>
    </row>
    <row r="188" ht="11.25" customHeight="1">
      <c r="A188" s="183"/>
      <c r="B188" s="183"/>
    </row>
    <row r="189" ht="11.25" customHeight="1">
      <c r="A189" s="183"/>
      <c r="B189" s="183"/>
    </row>
    <row r="190" ht="11.25" customHeight="1">
      <c r="A190" s="183"/>
      <c r="B190" s="183"/>
    </row>
    <row r="191" ht="11.25" customHeight="1">
      <c r="A191" s="183"/>
      <c r="B191" s="183"/>
    </row>
    <row r="192" ht="11.25" customHeight="1">
      <c r="A192" s="183"/>
      <c r="B192" s="183"/>
    </row>
    <row r="193" ht="11.25" customHeight="1">
      <c r="A193" s="183"/>
      <c r="B193" s="183"/>
    </row>
    <row r="194" ht="11.25" customHeight="1">
      <c r="A194" s="183"/>
      <c r="B194" s="183"/>
    </row>
    <row r="195" ht="11.25" customHeight="1">
      <c r="A195" s="183"/>
      <c r="B195" s="183"/>
    </row>
    <row r="196" ht="11.25" customHeight="1">
      <c r="A196" s="183"/>
      <c r="B196" s="183"/>
    </row>
    <row r="197" ht="11.25" customHeight="1">
      <c r="A197" s="183"/>
      <c r="B197" s="183"/>
    </row>
    <row r="198" ht="11.25" customHeight="1">
      <c r="A198" s="183"/>
      <c r="B198" s="183"/>
    </row>
    <row r="199" ht="11.25" customHeight="1">
      <c r="A199" s="183"/>
      <c r="B199" s="183"/>
    </row>
    <row r="200" ht="11.25" customHeight="1">
      <c r="A200" s="183"/>
      <c r="B200" s="183"/>
    </row>
    <row r="201" ht="11.25" customHeight="1">
      <c r="A201" s="183"/>
      <c r="B201" s="183"/>
    </row>
    <row r="202" ht="11.25" customHeight="1">
      <c r="A202" s="183"/>
      <c r="B202" s="183"/>
    </row>
    <row r="203" ht="11.25" customHeight="1">
      <c r="A203" s="183"/>
      <c r="B203" s="183"/>
    </row>
    <row r="204" ht="11.25" customHeight="1">
      <c r="A204" s="183"/>
      <c r="B204" s="183"/>
    </row>
    <row r="205" ht="11.25" customHeight="1">
      <c r="A205" s="183"/>
      <c r="B205" s="183"/>
    </row>
    <row r="206" ht="11.25" customHeight="1">
      <c r="A206" s="183"/>
      <c r="B206" s="183"/>
    </row>
    <row r="207" ht="11.25" customHeight="1">
      <c r="A207" s="183"/>
      <c r="B207" s="183"/>
    </row>
    <row r="208" ht="11.25" customHeight="1">
      <c r="A208" s="183"/>
      <c r="B208" s="183"/>
    </row>
    <row r="209" ht="11.25" customHeight="1">
      <c r="A209" s="183"/>
      <c r="B209" s="183"/>
    </row>
    <row r="210" ht="11.25" customHeight="1">
      <c r="A210" s="183"/>
      <c r="B210" s="183"/>
    </row>
    <row r="211" ht="11.25" customHeight="1">
      <c r="A211" s="183"/>
      <c r="B211" s="183"/>
    </row>
    <row r="212" ht="11.25" customHeight="1">
      <c r="A212" s="183"/>
      <c r="B212" s="183"/>
    </row>
    <row r="213" ht="11.25" customHeight="1">
      <c r="A213" s="183"/>
      <c r="B213" s="183"/>
    </row>
    <row r="214" ht="11.25" customHeight="1">
      <c r="A214" s="183"/>
      <c r="B214" s="183"/>
    </row>
    <row r="215" ht="11.25" customHeight="1">
      <c r="A215" s="183"/>
      <c r="B215" s="183"/>
    </row>
    <row r="216" ht="11.25" customHeight="1">
      <c r="A216" s="183"/>
      <c r="B216" s="183"/>
    </row>
    <row r="217" ht="11.25" customHeight="1">
      <c r="A217" s="183"/>
      <c r="B217" s="183"/>
    </row>
    <row r="218" ht="11.25" customHeight="1">
      <c r="A218" s="183"/>
      <c r="B218" s="183"/>
    </row>
    <row r="219" ht="11.25" customHeight="1">
      <c r="A219" s="183"/>
      <c r="B219" s="183"/>
    </row>
    <row r="220" ht="11.25" customHeight="1">
      <c r="A220" s="183"/>
      <c r="B220" s="183"/>
    </row>
    <row r="221" ht="11.25" customHeight="1">
      <c r="A221" s="183"/>
      <c r="B221" s="183"/>
    </row>
    <row r="222" ht="11.25" customHeight="1">
      <c r="A222" s="183"/>
      <c r="B222" s="183"/>
    </row>
    <row r="223" ht="11.25" customHeight="1">
      <c r="A223" s="183"/>
      <c r="B223" s="183"/>
    </row>
    <row r="224" ht="11.25" customHeight="1">
      <c r="A224" s="183"/>
      <c r="B224" s="183"/>
    </row>
    <row r="225" ht="11.25" customHeight="1">
      <c r="A225" s="183"/>
      <c r="B225" s="183"/>
    </row>
    <row r="226" ht="11.25" customHeight="1">
      <c r="A226" s="183"/>
      <c r="B226" s="183"/>
    </row>
    <row r="227" ht="11.25" customHeight="1">
      <c r="A227" s="183"/>
      <c r="B227" s="183"/>
    </row>
    <row r="228" ht="11.25" customHeight="1">
      <c r="A228" s="183"/>
      <c r="B228" s="183"/>
    </row>
    <row r="229" ht="11.25" customHeight="1">
      <c r="A229" s="183"/>
      <c r="B229" s="183"/>
    </row>
    <row r="230" ht="11.25" customHeight="1">
      <c r="A230" s="183"/>
      <c r="B230" s="183"/>
    </row>
    <row r="231" ht="11.25" customHeight="1">
      <c r="A231" s="183"/>
      <c r="B231" s="183"/>
    </row>
    <row r="232" ht="11.25" customHeight="1">
      <c r="A232" s="183"/>
      <c r="B232" s="183"/>
    </row>
    <row r="233" ht="11.25" customHeight="1">
      <c r="A233" s="183"/>
      <c r="B233" s="183"/>
    </row>
    <row r="234" ht="11.25" customHeight="1">
      <c r="A234" s="183"/>
      <c r="B234" s="183"/>
    </row>
    <row r="235" ht="11.25" customHeight="1">
      <c r="A235" s="183"/>
      <c r="B235" s="183"/>
    </row>
    <row r="236" ht="11.25" customHeight="1">
      <c r="A236" s="183"/>
      <c r="B236" s="183"/>
    </row>
    <row r="237" ht="11.25" customHeight="1">
      <c r="A237" s="183"/>
      <c r="B237" s="183"/>
    </row>
    <row r="238" ht="11.25" customHeight="1">
      <c r="A238" s="183"/>
      <c r="B238" s="183"/>
    </row>
    <row r="239" ht="11.25" customHeight="1">
      <c r="A239" s="183"/>
      <c r="B239" s="183"/>
    </row>
    <row r="240" ht="11.25" customHeight="1">
      <c r="A240" s="183"/>
      <c r="B240" s="183"/>
    </row>
    <row r="241" ht="11.25" customHeight="1">
      <c r="A241" s="183"/>
      <c r="B241" s="183"/>
    </row>
    <row r="242" ht="11.25" customHeight="1">
      <c r="A242" s="183"/>
      <c r="B242" s="183"/>
    </row>
    <row r="243" ht="11.25" customHeight="1">
      <c r="A243" s="183"/>
      <c r="B243" s="183"/>
    </row>
    <row r="244" ht="11.25" customHeight="1">
      <c r="A244" s="183"/>
      <c r="B244" s="183"/>
    </row>
    <row r="245" ht="11.25" customHeight="1">
      <c r="A245" s="183"/>
      <c r="B245" s="183"/>
    </row>
    <row r="246" ht="11.25" customHeight="1">
      <c r="A246" s="183"/>
      <c r="B246" s="183"/>
    </row>
    <row r="247" ht="11.25" customHeight="1">
      <c r="A247" s="183"/>
      <c r="B247" s="183"/>
    </row>
    <row r="248" ht="11.25" customHeight="1">
      <c r="A248" s="183"/>
      <c r="B248" s="183"/>
    </row>
    <row r="249" ht="11.25" customHeight="1">
      <c r="A249" s="183"/>
      <c r="B249" s="183"/>
    </row>
    <row r="250" ht="11.25" customHeight="1">
      <c r="A250" s="183"/>
      <c r="B250" s="183"/>
    </row>
    <row r="251" ht="11.25" customHeight="1">
      <c r="A251" s="183"/>
      <c r="B251" s="183"/>
    </row>
    <row r="252" ht="11.25" customHeight="1">
      <c r="A252" s="183"/>
      <c r="B252" s="183"/>
    </row>
    <row r="253" ht="11.25" customHeight="1">
      <c r="A253" s="183"/>
      <c r="B253" s="183"/>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3" t="s">
        <v>4125</v>
      </c>
    </row>
    <row r="2" ht="90" customHeight="1">
      <c r="B2" s="1404" t="s">
        <v>4126</v>
      </c>
    </row>
    <row r="3" ht="67.5" customHeight="1">
      <c r="B3" s="1404" t="s">
        <v>4127</v>
      </c>
    </row>
    <row r="4" ht="33.75" customHeight="1">
      <c r="B4" s="1404" t="s">
        <v>4128</v>
      </c>
    </row>
    <row r="5" ht="11.25" customHeight="1">
      <c r="B5" s="1404" t="s">
        <v>4129</v>
      </c>
    </row>
    <row r="6" ht="22.5" customHeight="1">
      <c r="B6" s="1404" t="s">
        <v>4130</v>
      </c>
    </row>
    <row r="7" ht="22.5" customHeight="1">
      <c r="B7" s="1404" t="s">
        <v>4131</v>
      </c>
    </row>
    <row r="8" ht="22.5" customHeight="1">
      <c r="B8" s="1404" t="s">
        <v>4132</v>
      </c>
    </row>
    <row r="9" ht="22.5" customHeight="1">
      <c r="B9" s="1404" t="s">
        <v>4133</v>
      </c>
    </row>
    <row r="10" ht="56.25" customHeight="1">
      <c r="B10" s="1404" t="s">
        <v>4134</v>
      </c>
    </row>
    <row r="11" ht="12.75" customHeight="1">
      <c r="B11" s="1405" t="s">
        <v>4135</v>
      </c>
    </row>
    <row r="12" ht="11.25" customHeight="1">
      <c r="B12" s="1403" t="s">
        <v>4136</v>
      </c>
    </row>
    <row r="13" ht="22.5" customHeight="1">
      <c r="B13" s="1404" t="s">
        <v>4137</v>
      </c>
    </row>
    <row r="14" ht="67.5" customHeight="1">
      <c r="B14" s="1404" t="s">
        <v>4138</v>
      </c>
    </row>
    <row r="15" ht="22.5" customHeight="1">
      <c r="B15" s="1404" t="s">
        <v>4139</v>
      </c>
    </row>
    <row r="16" ht="11.25" customHeight="1">
      <c r="B16" s="1403" t="s">
        <v>4140</v>
      </c>
      <c r="D16" s="783"/>
    </row>
    <row r="17" ht="33.75" customHeight="1">
      <c r="B17" s="1404" t="s">
        <v>4141</v>
      </c>
    </row>
    <row r="18" ht="33.75" customHeight="1">
      <c r="B18" s="1404" t="s">
        <v>4142</v>
      </c>
    </row>
    <row r="19" ht="11.25" customHeight="1">
      <c r="B19" s="1404" t="s">
        <v>4143</v>
      </c>
    </row>
    <row r="20" ht="33.75" customHeight="1">
      <c r="B20" s="1404" t="s">
        <v>4144</v>
      </c>
    </row>
    <row r="21" ht="11.25" customHeight="1">
      <c r="B21" s="1403" t="s">
        <v>4145</v>
      </c>
    </row>
    <row r="22" ht="11.25" customHeight="1">
      <c r="B22" s="1404" t="s">
        <v>4146</v>
      </c>
    </row>
    <row r="24" ht="22.5" customHeight="1">
      <c r="B24" s="1406" t="s">
        <v>4147</v>
      </c>
    </row>
    <row r="26" ht="11.25" customHeight="1">
      <c r="B26" s="1403" t="s">
        <v>4148</v>
      </c>
    </row>
    <row r="27" ht="22.5" customHeight="1">
      <c r="B27" s="429" t="s">
        <v>391</v>
      </c>
    </row>
    <row r="28" ht="56.25" customHeight="1">
      <c r="B28" s="429" t="s">
        <v>4149</v>
      </c>
    </row>
    <row r="29" ht="11.25" customHeight="1">
      <c r="B29" s="1407" t="s">
        <v>4150</v>
      </c>
    </row>
    <row r="30" ht="22.5" customHeight="1">
      <c r="B30" s="429" t="s">
        <v>4151</v>
      </c>
    </row>
    <row r="32" ht="11.25" customHeight="1">
      <c r="A32" s="63"/>
      <c r="B32" s="1408" t="s">
        <v>4152</v>
      </c>
    </row>
    <row r="33" ht="14.25" customHeight="1">
      <c r="A33" s="1409">
        <v>1</v>
      </c>
      <c r="B33" s="1410" t="s">
        <v>4153</v>
      </c>
    </row>
    <row r="34" ht="14.25" customHeight="1">
      <c r="A34" s="1409">
        <v>2</v>
      </c>
      <c r="B34" s="1410" t="s">
        <v>4154</v>
      </c>
    </row>
    <row r="35" ht="11.25" customHeight="1">
      <c r="B35" s="1408" t="s">
        <v>4155</v>
      </c>
    </row>
    <row r="36" ht="11.25" customHeight="1">
      <c r="B36" s="1410" t="s">
        <v>4156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9"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8"/>
      <c r="F1" s="168"/>
      <c r="G1" s="168"/>
      <c r="H1" s="114" t="s">
        <v>347</v>
      </c>
      <c r="I1" s="114"/>
      <c r="V1" s="50" t="s">
        <v>14</v>
      </c>
    </row>
    <row r="2" s="50" customFormat="1" ht="14.25" hidden="1" customHeight="1">
      <c r="C2" s="381"/>
      <c r="D2" s="445" t="s">
        <v>106</v>
      </c>
      <c r="E2" s="446"/>
      <c r="F2" s="447"/>
      <c r="G2" s="218" t="s">
        <v>106</v>
      </c>
      <c r="H2" s="448"/>
      <c r="I2" s="449"/>
      <c r="L2" s="57"/>
      <c r="M2" s="57"/>
      <c r="N2" s="57"/>
      <c r="O2" s="57" t="s">
        <v>377</v>
      </c>
      <c r="P2" s="57"/>
      <c r="Q2" s="57"/>
      <c r="R2" s="129" t="s">
        <v>376</v>
      </c>
      <c r="S2" s="129" t="s">
        <v>376</v>
      </c>
      <c r="T2" s="57"/>
      <c r="U2" s="57"/>
      <c r="V2" s="50">
        <v>0</v>
      </c>
    </row>
    <row r="3" s="50" customFormat="1" ht="14.25" hidden="1" customHeight="1">
      <c r="C3" s="381"/>
      <c r="D3" s="450"/>
      <c r="E3" s="451"/>
      <c r="F3" s="439"/>
      <c r="G3" s="440"/>
      <c r="H3" s="440" t="s">
        <v>378</v>
      </c>
      <c r="I3" s="441"/>
      <c r="L3" s="57"/>
      <c r="M3" s="57"/>
      <c r="N3" s="57"/>
      <c r="O3" s="57"/>
      <c r="P3" s="57"/>
      <c r="Q3" s="57"/>
      <c r="R3" s="129"/>
      <c r="S3" s="129"/>
      <c r="T3" s="57"/>
      <c r="U3" s="57"/>
      <c r="V3" s="50">
        <v>0</v>
      </c>
    </row>
    <row r="4" ht="14.25" hidden="1" customHeight="1">
      <c r="V4" s="50">
        <v>0</v>
      </c>
    </row>
    <row r="5" s="70" customFormat="1" ht="5.25" customHeight="1">
      <c r="C5" s="404"/>
      <c r="D5" s="405"/>
      <c r="E5" s="405"/>
      <c r="F5" s="405"/>
      <c r="G5" s="405"/>
      <c r="H5" s="405" t="s">
        <v>351</v>
      </c>
      <c r="I5" s="405"/>
      <c r="J5" s="405"/>
      <c r="L5" s="57"/>
      <c r="M5" s="57"/>
      <c r="N5" s="57"/>
      <c r="O5" s="57"/>
      <c r="P5" s="57"/>
      <c r="Q5" s="57"/>
      <c r="R5" s="57"/>
      <c r="S5" s="57"/>
      <c r="T5" s="57"/>
      <c r="U5" s="57"/>
      <c r="V5" s="70">
        <v>5</v>
      </c>
    </row>
    <row r="6" ht="29.25" customHeight="1">
      <c r="C6" s="381"/>
      <c r="D6" s="452" t="s">
        <v>379</v>
      </c>
      <c r="E6" s="452"/>
      <c r="F6" s="452"/>
      <c r="G6" s="452"/>
      <c r="H6" s="452"/>
      <c r="I6" s="452"/>
      <c r="J6" s="407"/>
      <c r="K6" s="239"/>
      <c r="V6" s="50">
        <v>28</v>
      </c>
    </row>
    <row r="7" ht="18" customHeight="1">
      <c r="C7" s="381"/>
      <c r="D7" s="303" t="str">
        <f>IF(org=0,"Не определено",org)</f>
        <v xml:space="preserve">АО "ДГК" СП "Биробиджанская ТЭЦ"</v>
      </c>
      <c r="E7" s="303"/>
      <c r="F7" s="303"/>
      <c r="G7" s="303"/>
      <c r="H7" s="303"/>
      <c r="I7" s="303"/>
      <c r="J7" s="407"/>
      <c r="K7" s="239"/>
      <c r="V7" s="50">
        <v>17</v>
      </c>
    </row>
    <row r="8" s="65" customFormat="1" ht="5.25" customHeight="1">
      <c r="A8" s="411"/>
      <c r="C8" s="412"/>
      <c r="D8" s="413"/>
      <c r="E8" s="413"/>
      <c r="F8" s="413"/>
      <c r="G8" s="413"/>
      <c r="H8" s="413"/>
      <c r="I8" s="413"/>
      <c r="J8" s="413"/>
      <c r="L8" s="57"/>
      <c r="M8" s="57"/>
      <c r="N8" s="57"/>
      <c r="O8" s="57"/>
      <c r="P8" s="57"/>
      <c r="Q8" s="57"/>
      <c r="R8" s="57"/>
      <c r="S8" s="57"/>
      <c r="T8" s="57"/>
      <c r="U8" s="57"/>
      <c r="V8" s="65">
        <v>5</v>
      </c>
    </row>
    <row r="9" s="65" customFormat="1" ht="5.25" customHeight="1">
      <c r="A9" s="411"/>
      <c r="C9" s="412"/>
      <c r="D9" s="413"/>
      <c r="E9" s="413"/>
      <c r="F9" s="413"/>
      <c r="G9" s="413"/>
      <c r="H9" s="413"/>
      <c r="I9" s="413"/>
      <c r="J9" s="413"/>
      <c r="L9" s="57"/>
      <c r="M9" s="57"/>
      <c r="N9" s="57"/>
      <c r="O9" s="57"/>
      <c r="P9" s="57"/>
      <c r="Q9" s="57"/>
      <c r="R9" s="57"/>
      <c r="S9" s="57"/>
      <c r="T9" s="57"/>
      <c r="U9" s="57"/>
      <c r="V9" s="65">
        <v>5</v>
      </c>
    </row>
    <row r="10" ht="14.65" customHeight="1">
      <c r="C10" s="381"/>
      <c r="D10" s="415" t="s">
        <v>295</v>
      </c>
      <c r="E10" s="416"/>
      <c r="F10" s="416"/>
      <c r="G10" s="416"/>
      <c r="H10" s="416"/>
      <c r="I10" s="416"/>
      <c r="J10" s="246" t="s">
        <v>296</v>
      </c>
      <c r="V10" s="50">
        <v>14</v>
      </c>
    </row>
    <row r="11" ht="27.300000000000001" customHeight="1">
      <c r="C11" s="381"/>
      <c r="D11" s="157" t="s">
        <v>88</v>
      </c>
      <c r="E11" s="246" t="s">
        <v>102</v>
      </c>
      <c r="F11" s="304" t="s">
        <v>88</v>
      </c>
      <c r="G11" s="305"/>
      <c r="H11" s="307" t="s">
        <v>380</v>
      </c>
      <c r="I11" s="307" t="s">
        <v>381</v>
      </c>
      <c r="J11" s="246"/>
      <c r="V11" s="50">
        <v>26</v>
      </c>
    </row>
    <row r="12" ht="14.65" customHeight="1">
      <c r="C12" s="381"/>
      <c r="D12" s="157"/>
      <c r="E12" s="246"/>
      <c r="F12" s="310"/>
      <c r="G12" s="311"/>
      <c r="H12" s="162"/>
      <c r="I12" s="162"/>
      <c r="J12" s="246"/>
      <c r="V12" s="50">
        <v>14</v>
      </c>
    </row>
    <row r="13" s="131" customFormat="1" ht="11.25" hidden="1" customHeight="1">
      <c r="C13" s="426"/>
      <c r="D13" s="427" t="s">
        <v>371</v>
      </c>
      <c r="E13" s="427"/>
      <c r="F13" s="427"/>
      <c r="G13" s="427"/>
      <c r="H13" s="428"/>
      <c r="I13" s="428"/>
      <c r="J13" s="429"/>
      <c r="L13" s="57"/>
      <c r="M13" s="57"/>
      <c r="N13" s="57"/>
      <c r="O13" s="57"/>
      <c r="P13" s="57"/>
      <c r="Q13" s="57"/>
      <c r="R13" s="57"/>
      <c r="S13" s="57"/>
      <c r="T13" s="57"/>
      <c r="U13" s="57"/>
      <c r="V13" s="131">
        <v>0</v>
      </c>
    </row>
    <row r="14" ht="14.65" customHeight="1">
      <c r="A14" s="50"/>
      <c r="C14" s="381"/>
      <c r="D14" s="445" t="s">
        <v>106</v>
      </c>
      <c r="E14" s="446"/>
      <c r="F14" s="447"/>
      <c r="G14" s="218" t="s">
        <v>106</v>
      </c>
      <c r="H14" s="448"/>
      <c r="I14" s="449"/>
      <c r="J14" s="285" t="s">
        <v>382</v>
      </c>
      <c r="K14" s="50"/>
      <c r="R14" s="129" t="s">
        <v>376</v>
      </c>
      <c r="S14" s="129" t="s">
        <v>376</v>
      </c>
      <c r="V14" s="50">
        <v>14</v>
      </c>
    </row>
    <row r="15" ht="14.65" customHeight="1">
      <c r="A15" s="50"/>
      <c r="C15" s="381"/>
      <c r="D15" s="450"/>
      <c r="E15" s="451"/>
      <c r="F15" s="439"/>
      <c r="G15" s="440"/>
      <c r="H15" s="440" t="s">
        <v>378</v>
      </c>
      <c r="I15" s="441"/>
      <c r="J15" s="287"/>
      <c r="K15" s="50"/>
      <c r="R15" s="129"/>
      <c r="S15" s="129"/>
      <c r="V15" s="50">
        <v>14</v>
      </c>
    </row>
    <row r="16" ht="14.65" customHeight="1">
      <c r="A16" s="50"/>
      <c r="C16" s="381"/>
      <c r="D16" s="439"/>
      <c r="E16" s="440" t="s">
        <v>118</v>
      </c>
      <c r="F16" s="441"/>
      <c r="G16" s="441"/>
      <c r="H16" s="442"/>
      <c r="I16" s="442"/>
      <c r="J16" s="289"/>
      <c r="K16" s="50"/>
      <c r="V16" s="50">
        <v>14</v>
      </c>
    </row>
    <row r="17" ht="14.65" customHeight="1">
      <c r="K17" s="50"/>
      <c r="V17" s="50">
        <v>14</v>
      </c>
    </row>
    <row r="18" ht="22.5" hidden="1" customHeight="1">
      <c r="A18" s="56" t="s">
        <v>82</v>
      </c>
      <c r="B18" s="50">
        <v>0</v>
      </c>
      <c r="C18" s="128">
        <v>3</v>
      </c>
      <c r="D18" s="50">
        <v>5</v>
      </c>
      <c r="E18" s="50">
        <v>38</v>
      </c>
      <c r="F18" s="50">
        <v>3</v>
      </c>
      <c r="G18" s="50">
        <v>3</v>
      </c>
      <c r="H18" s="50">
        <v>38</v>
      </c>
      <c r="I18" s="50">
        <v>35</v>
      </c>
      <c r="J18" s="50">
        <v>103</v>
      </c>
      <c r="K18" s="139">
        <v>3</v>
      </c>
      <c r="L18" s="57">
        <v>10</v>
      </c>
      <c r="M18" s="57">
        <v>10</v>
      </c>
      <c r="N18" s="57">
        <v>10</v>
      </c>
      <c r="O18" s="57">
        <v>13</v>
      </c>
      <c r="P18" s="57">
        <v>15</v>
      </c>
      <c r="Q18" s="57">
        <v>16</v>
      </c>
      <c r="R18" s="57">
        <v>10</v>
      </c>
      <c r="S18" s="57">
        <v>10</v>
      </c>
      <c r="T18" s="57">
        <v>10</v>
      </c>
      <c r="U18" s="57">
        <v>10</v>
      </c>
      <c r="V18" s="50">
        <v>23</v>
      </c>
    </row>
  </sheetData>
  <sheetProtection autoFilter="0" deleteColumns="1" deleteRows="1" formatCells="1" formatColumns="0" formatRows="0" insertColumns="1" insertHyperlinks="1" insertRows="1" objects="0" pivotTables="1" scenarios="0" selectLockedCells="0" selectUnlockedCells="0" sheet="1" sort="1"/>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F00F2-007E-4AD9-9E33-002700D6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FB00D5-008A-435F-A1D6-0056008E00F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FE0012-009E-4611-86B2-00CC000C005E}"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revision>1</cp:revision>
  <dcterms:created xsi:type="dcterms:W3CDTF">2004-05-21T07:18:45Z</dcterms:created>
  <dcterms:modified xsi:type="dcterms:W3CDTF">2025-08-04T23:34:03Z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