
<file path=[Content_Types].xml><?xml version="1.0" encoding="utf-8"?>
<Types xmlns="http://schemas.openxmlformats.org/package/2006/content-types">
  <Default Extension="vml" ContentType="application/vnd.openxmlformats-officedocument.vmlDrawing"/>
  <Default Extension="wmf" ContentType="image/x-wmf"/>
  <Default Extension="png" ContentType="image/png"/>
  <Default Extension="jpg" ContentType="image/jpeg"/>
  <Default Extension="jpeg" ContentType="image/jpeg"/>
  <Default Extension="xml" ContentType="application/xml"/>
  <Default Extension="rels" ContentType="application/vnd.openxmlformats-package.relationships+xml"/>
  <Default Extension="bin" ContentType="application/vnd.openxmlformats-officedocument.oleObject"/>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32.xml" ContentType="application/vnd.openxmlformats-officedocument.spreadsheetml.worksheet+xml"/>
  <Override PartName="/xl/worksheets/sheet30.xml" ContentType="application/vnd.openxmlformats-officedocument.spreadsheetml.worksheet+xml"/>
  <Override PartName="/xl/worksheets/sheet6.xml" ContentType="application/vnd.openxmlformats-officedocument.spreadsheetml.worksheet+xml"/>
  <Override PartName="/xl/worksheets/sheet77.xml" ContentType="application/vnd.openxmlformats-officedocument.spreadsheetml.worksheet+xml"/>
  <Override PartName="/xl/worksheets/sheet73.xml" ContentType="application/vnd.openxmlformats-officedocument.spreadsheetml.worksheet+xml"/>
  <Override PartName="/xl/worksheets/sheet7.xml" ContentType="application/vnd.openxmlformats-officedocument.spreadsheetml.worksheet+xml"/>
  <Override PartName="/xl/worksheets/sheet46.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86.xml" ContentType="application/vnd.openxmlformats-officedocument.spreadsheetml.worksheet+xml"/>
  <Override PartName="/xl/worksheets/sheet26.xml" ContentType="application/vnd.openxmlformats-officedocument.spreadsheetml.worksheet+xml"/>
  <Override PartName="/xl/worksheets/sheet20.xml" ContentType="application/vnd.openxmlformats-officedocument.spreadsheetml.worksheet+xml"/>
  <Override PartName="/xl/worksheets/sheet15.xml" ContentType="application/vnd.openxmlformats-officedocument.spreadsheetml.worksheet+xml"/>
  <Override PartName="/xl/worksheets/sheet17.xml" ContentType="application/vnd.openxmlformats-officedocument.spreadsheetml.worksheet+xml"/>
  <Override PartName="/xl/worksheets/sheet11.xml" ContentType="application/vnd.openxmlformats-officedocument.spreadsheetml.worksheet+xml"/>
  <Override PartName="/xl/worksheets/sheet2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25.xml" ContentType="application/vnd.openxmlformats-officedocument.spreadsheetml.worksheet+xml"/>
  <Override PartName="/xl/worksheets/sheet21.xml" ContentType="application/vnd.openxmlformats-officedocument.spreadsheetml.worksheet+xml"/>
  <Override PartName="/xl/worksheets/sheet76.xml" ContentType="application/vnd.openxmlformats-officedocument.spreadsheetml.worksheet+xml"/>
  <Override PartName="/xl/worksheets/sheet16.xml" ContentType="application/vnd.openxmlformats-officedocument.spreadsheetml.worksheet+xml"/>
  <Override PartName="/xl/worksheets/sheet52.xml" ContentType="application/vnd.openxmlformats-officedocument.spreadsheetml.worksheet+xml"/>
  <Override PartName="/xl/worksheets/sheet28.xml" ContentType="application/vnd.openxmlformats-officedocument.spreadsheetml.worksheet+xml"/>
  <Override PartName="/xl/worksheets/sheet72.xml" ContentType="application/vnd.openxmlformats-officedocument.spreadsheetml.worksheet+xml"/>
  <Override PartName="/xl/worksheets/sheet33.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worksheets/sheet80.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23.xml" ContentType="application/vnd.openxmlformats-officedocument.spreadsheetml.worksheet+xml"/>
  <Override PartName="/xl/worksheets/sheet50.xml" ContentType="application/vnd.openxmlformats-officedocument.spreadsheetml.worksheet+xml"/>
  <Override PartName="/xl/worksheets/sheet54.xml" ContentType="application/vnd.openxmlformats-officedocument.spreadsheetml.worksheet+xml"/>
  <Override PartName="/xl/worksheets/sheet38.xml" ContentType="application/vnd.openxmlformats-officedocument.spreadsheetml.worksheet+xml"/>
  <Override PartName="/xl/worksheets/sheet18.xml" ContentType="application/vnd.openxmlformats-officedocument.spreadsheetml.worksheet+xml"/>
  <Override PartName="/xl/worksheets/sheet39.xml" ContentType="application/vnd.openxmlformats-officedocument.spreadsheetml.worksheet+xml"/>
  <Override PartName="/xl/worksheets/sheet10.xml" ContentType="application/vnd.openxmlformats-officedocument.spreadsheetml.worksheet+xml"/>
  <Override PartName="/xl/worksheets/sheet40.xml" ContentType="application/vnd.openxmlformats-officedocument.spreadsheetml.worksheet+xml"/>
  <Override PartName="/xl/worksheets/sheet79.xml" ContentType="application/vnd.openxmlformats-officedocument.spreadsheetml.worksheet+xml"/>
  <Override PartName="/xl/drawings/drawing8.xml" ContentType="application/vnd.openxmlformats-officedocument.drawing+xml"/>
  <Override PartName="/xl/worksheets/sheet62.xml" ContentType="application/vnd.openxmlformats-officedocument.spreadsheetml.worksheet+xml"/>
  <Override PartName="/xl/worksheets/sheet12.xml" ContentType="application/vnd.openxmlformats-officedocument.spreadsheetml.worksheet+xml"/>
  <Override PartName="/xl/worksheets/sheet74.xml" ContentType="application/vnd.openxmlformats-officedocument.spreadsheetml.worksheet+xml"/>
  <Override PartName="/xl/drawings/drawing3.xml" ContentType="application/vnd.openxmlformats-officedocument.drawing+xml"/>
  <Override PartName="/xl/worksheets/sheet64.xml" ContentType="application/vnd.openxmlformats-officedocument.spreadsheetml.worksheet+xml"/>
  <Override PartName="/xl/worksheets/sheet19.xml" ContentType="application/vnd.openxmlformats-officedocument.spreadsheetml.worksheet+xml"/>
  <Override PartName="/xl/drawings/drawing7.xml" ContentType="application/vnd.openxmlformats-officedocument.drawing+xml"/>
  <Override PartName="/xl/worksheets/sheet61.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drawings/drawing6.xml" ContentType="application/vnd.openxmlformats-officedocument.drawing+xml"/>
  <Override PartName="/xl/worksheets/sheet56.xml" ContentType="application/vnd.openxmlformats-officedocument.spreadsheetml.worksheet+xml"/>
  <Override PartName="/xl/worksheets/sheet4.xml" ContentType="application/vnd.openxmlformats-officedocument.spreadsheetml.worksheet+xml"/>
  <Override PartName="/xl/comments3.xml" ContentType="application/vnd.openxmlformats-officedocument.spreadsheetml.comments+xml"/>
  <Override PartName="/xl/worksheets/sheet63.xml" ContentType="application/vnd.openxmlformats-officedocument.spreadsheetml.worksheet+xml"/>
  <Override PartName="/xl/worksheets/sheet48.xml" ContentType="application/vnd.openxmlformats-officedocument.spreadsheetml.worksheet+xml"/>
  <Override PartName="/xl/comments2.xml" ContentType="application/vnd.openxmlformats-officedocument.spreadsheetml.comments+xml"/>
  <Override PartName="/xl/sharedStrings.xml" ContentType="application/vnd.openxmlformats-officedocument.spreadsheetml.sharedStrings+xml"/>
  <Override PartName="/xl/worksheets/sheet65.xml" ContentType="application/vnd.openxmlformats-officedocument.spreadsheetml.worksheet+xml"/>
  <Override PartName="/xl/worksheets/sheet57.xml" ContentType="application/vnd.openxmlformats-officedocument.spreadsheetml.worksheet+xml"/>
  <Override PartName="/xl/worksheets/sheet34.xml" ContentType="application/vnd.openxmlformats-officedocument.spreadsheetml.worksheet+xml"/>
  <Override PartName="/xl/worksheets/sheet78.xml" ContentType="application/vnd.openxmlformats-officedocument.spreadsheetml.worksheet+xml"/>
  <Override PartName="/xl/worksheets/sheet66.xml" ContentType="application/vnd.openxmlformats-officedocument.spreadsheetml.worksheet+xml"/>
  <Override PartName="/xl/worksheets/sheet83.xml" ContentType="application/vnd.openxmlformats-officedocument.spreadsheetml.worksheet+xml"/>
  <Override PartName="/xl/worksheets/sheet37.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47.xml" ContentType="application/vnd.openxmlformats-officedocument.spreadsheetml.worksheet+xml"/>
  <Override PartName="/xl/worksheets/sheet55.xml" ContentType="application/vnd.openxmlformats-officedocument.spreadsheetml.worksheet+xml"/>
  <Override PartName="/xl/worksheets/sheet8.xml" ContentType="application/vnd.openxmlformats-officedocument.spreadsheetml.worksheet+xml"/>
  <Override PartName="/xl/worksheets/sheet41.xml" ContentType="application/vnd.openxmlformats-officedocument.spreadsheetml.worksheet+xml"/>
  <Override PartName="/xl/worksheets/sheet69.xml" ContentType="application/vnd.openxmlformats-officedocument.spreadsheetml.worksheet+xml"/>
  <Override PartName="/xl/worksheets/sheet49.xml" ContentType="application/vnd.openxmlformats-officedocument.spreadsheetml.worksheet+xml"/>
  <Override PartName="/docProps/custom.xml" ContentType="application/vnd.openxmlformats-officedocument.custom-properties+xml"/>
  <Override PartName="/xl/worksheets/sheet29.xml" ContentType="application/vnd.openxmlformats-officedocument.spreadsheetml.worksheet+xml"/>
  <Override PartName="/xl/worksheets/sheet60.xml" ContentType="application/vnd.openxmlformats-officedocument.spreadsheetml.worksheet+xml"/>
  <Override PartName="/xl/worksheets/sheet59.xml" ContentType="application/vnd.openxmlformats-officedocument.spreadsheetml.worksheet+xml"/>
  <Override PartName="/xl/worksheets/sheet81.xml" ContentType="application/vnd.openxmlformats-officedocument.spreadsheetml.worksheet+xml"/>
  <Override PartName="/xl/worksheets/sheet27.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43.xml" ContentType="application/vnd.openxmlformats-officedocument.spreadsheetml.worksheet+xml"/>
  <Override PartName="/xl/worksheets/sheet31.xml" ContentType="application/vnd.openxmlformats-officedocument.spreadsheetml.worksheet+xml"/>
  <Override PartName="/xl/worksheets/sheet53.xml" ContentType="application/vnd.openxmlformats-officedocument.spreadsheetml.worksheet+xml"/>
  <Override PartName="/xl/worksheets/sheet82.xml" ContentType="application/vnd.openxmlformats-officedocument.spreadsheetml.worksheet+xml"/>
  <Override PartName="/xl/worksheets/sheet22.xml" ContentType="application/vnd.openxmlformats-officedocument.spreadsheetml.worksheet+xml"/>
  <Override PartName="/xl/comments1.xml" ContentType="application/vnd.openxmlformats-officedocument.spreadsheetml.comments+xml"/>
  <Override PartName="/xl/worksheets/sheet88.xml" ContentType="application/vnd.openxmlformats-officedocument.spreadsheetml.worksheet+xml"/>
  <Override PartName="/xl/worksheets/sheet45.xml" ContentType="application/vnd.openxmlformats-officedocument.spreadsheetml.worksheet+xml"/>
  <Override PartName="/xl/worksheets/sheet71.xml" ContentType="application/vnd.openxmlformats-officedocument.spreadsheetml.worksheet+xml"/>
  <Override PartName="/xl/worksheets/sheet84.xml" ContentType="application/vnd.openxmlformats-officedocument.spreadsheetml.worksheet+xml"/>
  <Override PartName="/xl/worksheets/sheet70.xml" ContentType="application/vnd.openxmlformats-officedocument.spreadsheetml.worksheet+xml"/>
  <Override PartName="/xl/worksheets/sheet44.xml" ContentType="application/vnd.openxmlformats-officedocument.spreadsheetml.worksheet+xml"/>
  <Override PartName="/xl/worksheets/sheet89.xml" ContentType="application/vnd.openxmlformats-officedocument.spreadsheetml.worksheet+xml"/>
  <Override PartName="/xl/worksheets/sheet87.xml" ContentType="application/vnd.openxmlformats-officedocument.spreadsheetml.worksheet+xml"/>
  <Override PartName="/xl/worksheets/sheet58.xml" ContentType="application/vnd.openxmlformats-officedocument.spreadsheetml.worksheet+xml"/>
  <Override PartName="/xl/worksheets/sheet75.xml" ContentType="application/vnd.openxmlformats-officedocument.spreadsheetml.worksheet+xml"/>
  <Override PartName="/xl/workbook.xml" ContentType="application/vnd.openxmlformats-officedocument.spreadsheetml.sheet.main+xml"/>
</Types>
</file>

<file path=_rels/.rels><?xml version="1.0" encoding="UTF-8" standalone="yes"?><Relationships xmlns="http://schemas.openxmlformats.org/package/2006/relationships"><Relationship  Id="rId4" Type="http://schemas.openxmlformats.org/officeDocument/2006/relationships/officeDocument" Target="xl/workbook.xml"/><Relationship  Id="rId3" Type="http://schemas.openxmlformats.org/officeDocument/2006/relationships/custom-properties" Target="docProps/custom.xml"/><Relationship  Id="rId2" Type="http://schemas.openxmlformats.org/package/2006/relationships/metadata/core-properties" Target="docProps/core.xml"/><Relationship  Id="rId1"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bookViews>
    <workbookView xWindow="360" yWindow="15" windowWidth="20955" windowHeight="9720"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r:id="rId48"/>
    <sheet name="Сведения о закупках" sheetId="49"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Предложение!$87:$93</definedName>
    <definedName name="OFFER_TARIFF_A_3">Предложение!$156:$162</definedName>
    <definedName name="OFFER_TARIFF_A_4">Предложение!$225:$231</definedName>
    <definedName name="OFFER_TARIFF_A_5">Предложение!$294:$300</definedName>
    <definedName name="OFFER_TARIFF_A_COLDVSNA_1">Предложение!$51:$53</definedName>
    <definedName name="OFFER_TARIFF_A_COLDVSNA_2">Предложение!$122:$124</definedName>
    <definedName name="OFFER_TARIFF_A_COLDVSNA_3">Предложение!$191:$193</definedName>
    <definedName name="OFFER_TARIFF_A_COLDVSNA_4">Предложение!$260:$262</definedName>
    <definedName name="OFFER_TARIFF_A_COLDVSNA_5">Предложение!$329:$331</definedName>
    <definedName name="OFFER_TARIFF_A_HOTVSNA_1">Предложение!$66:$68</definedName>
    <definedName name="OFFER_TARIFF_A_HOTVSNA_2">Предложение!$137:$139</definedName>
    <definedName name="OFFER_TARIFF_A_HOTVSNA_3">Предложение!$206:$208</definedName>
    <definedName name="OFFER_TARIFF_A_HOTVSNA_4">Предложение!$275:$277</definedName>
    <definedName name="OFFER_TARIFF_A_HOTVSNA_5">Предложение!$344:$346</definedName>
    <definedName name="OFFER_TARIFF_A_VOTV_1">Предложение!$75:$77</definedName>
    <definedName name="OFFER_TARIFF_A_VOTV_2">Предложение!$146:$148</definedName>
    <definedName name="OFFER_TARIFF_A_VOTV_3">Предложение!$215:$217</definedName>
    <definedName name="OFFER_TARIFF_A_VOTV_4">Предложение!$284:$286</definedName>
    <definedName name="OFFER_TARIFF_A_VOTV_5">Предложение!$353:$355</definedName>
    <definedName name="OFFER_TARIFF_B_1">Предложение!$27:$29</definedName>
    <definedName name="OFFER_TARIFF_B_2">Предложение!$94:$100</definedName>
    <definedName name="OFFER_TARIFF_B_3">Предложение!$163:$169</definedName>
    <definedName name="OFFER_TARIFF_B_4">Предложение!$232:$238</definedName>
    <definedName name="OFFER_TARIFF_B_5">Предложение!$301:$307</definedName>
    <definedName name="OFFER_TARIFF_B_COLDVSNA_1">Предложение!$54:$56</definedName>
    <definedName name="OFFER_TARIFF_B_COLDVSNA_2">Предложение!$125:$127</definedName>
    <definedName name="OFFER_TARIFF_B_COLDVSNA_3">Предложение!$194:$196</definedName>
    <definedName name="OFFER_TARIFF_B_COLDVSNA_4">Предложение!$263:$265</definedName>
    <definedName name="OFFER_TARIFF_B_COLDVSNA_5">Предложение!$332:$334</definedName>
    <definedName name="OFFER_TARIFF_B_HOTVSNA_1">Предложение!$69:$71</definedName>
    <definedName name="OFFER_TARIFF_B_HOTVSNA_2">Предложение!$140:$142</definedName>
    <definedName name="OFFER_TARIFF_B_HOTVSNA_3">Предложение!$209:$211</definedName>
    <definedName name="OFFER_TARIFF_B_HOTVSNA_4">Предложение!$278:$280</definedName>
    <definedName name="OFFER_TARIFF_B_HOTVSNA_5">Предложение!$347:$349</definedName>
    <definedName name="OFFER_TARIFF_B_VOTV_1">Предложение!$78:$80</definedName>
    <definedName name="OFFER_TARIFF_B_VOTV_2">Предложение!$149:$151</definedName>
    <definedName name="OFFER_TARIFF_B_VOTV_3">Предложение!$218:$220</definedName>
    <definedName name="OFFER_TARIFF_B_VOTV_4">Предложение!$287:$289</definedName>
    <definedName name="OFFER_TARIFF_B_VOTV_5">Предложение!$356:$358</definedName>
    <definedName name="OFFER_TARIFF_C_1">Предложение!$30:$32</definedName>
    <definedName name="OFFER_TARIFF_C_2">Предложение!$101:$103</definedName>
    <definedName name="OFFER_TARIFF_C_3">Предложение!$170:$172</definedName>
    <definedName name="OFFER_TARIFF_C_4">Предложение!$239:$241</definedName>
    <definedName name="OFFER_TARIFF_C_5">Предложение!$308:$310</definedName>
    <definedName name="OFFER_TARIFF_C_COLDVSNA_1">Предложение!$57:$59</definedName>
    <definedName name="OFFER_TARIFF_C_COLDVSNA_2">Предложение!$128:$130</definedName>
    <definedName name="OFFER_TARIFF_C_COLDVSNA_3">Предложение!$197:$199</definedName>
    <definedName name="OFFER_TARIFF_C_COLDVSNA_4">Предложение!$266:$268</definedName>
    <definedName name="OFFER_TARIFF_C_COLDVSNA_5">Предложение!$335:$337</definedName>
    <definedName name="OFFER_TARIFF_C_HOTVSNA_1">Предложение!$72:$74</definedName>
    <definedName name="OFFER_TARIFF_C_HOTVSNA_2">Предложение!$143:$145</definedName>
    <definedName name="OFFER_TARIFF_C_HOTVSNA_3">Предложение!$212:$214</definedName>
    <definedName name="OFFER_TARIFF_C_HOTVSNA_4">Предложение!$281:$283</definedName>
    <definedName name="OFFER_TARIFF_C_HOTVSNA_5">Предложение!$350:$352</definedName>
    <definedName name="OFFER_TARIFF_C_VOTV_1">Предложение!$81:$83</definedName>
    <definedName name="OFFER_TARIFF_C_VOTV_2">Предложение!$152:$154</definedName>
    <definedName name="OFFER_TARIFF_C_VOTV_3">Предложение!$221:$223</definedName>
    <definedName name="OFFER_TARIFF_C_VOTV_4">Предложение!$290:$292</definedName>
    <definedName name="OFFER_TARIFF_C_VOTV_5">Предложение!$359:$361</definedName>
    <definedName name="OFFER_TARIFF_D_1">Предложение!$33:$35</definedName>
    <definedName name="OFFER_TARIFF_D_2">Предложение!$104:$106</definedName>
    <definedName name="OFFER_TARIFF_D_3">Предложение!$173:$175</definedName>
    <definedName name="OFFER_TARIFF_D_4">Предложение!$242:$244</definedName>
    <definedName name="OFFER_TARIFF_D_5">Предложение!$311:$313</definedName>
    <definedName name="OFFER_TARIFF_D_COLDVSNA_1">Предложение!$60:$62</definedName>
    <definedName name="OFFER_TARIFF_D_COLDVSNA_2">Предложение!$131:$133</definedName>
    <definedName name="OFFER_TARIFF_D_COLDVSNA_3">Предложение!$200:$202</definedName>
    <definedName name="OFFER_TARIFF_D_COLDVSNA_4">Предложение!$269:$271</definedName>
    <definedName name="OFFER_TARIFF_D_COLDVSNA_5">Предложение!$338:$340</definedName>
    <definedName name="OFFER_TARIFF_E_COLDVSNA_1">Предложение!$63:$65</definedName>
    <definedName name="OFFER_TARIFF_E_COLDVSNA_2">Предложение!$134:$136</definedName>
    <definedName name="OFFER_TARIFF_E_COLDVSNA_3">Предложение!$203:$205</definedName>
    <definedName name="OFFER_TARIFF_E_COLDVSNA_4">Предложение!$272:$274</definedName>
    <definedName name="OFFER_TARIFF_E_COLDVSNA_5">Предложение!$341:$343</definedName>
    <definedName name="OFFER_TARIFF_E1_1">Предложение!$36:$38</definedName>
    <definedName name="OFFER_TARIFF_E1_2">Предложение!$107:$109</definedName>
    <definedName name="OFFER_TARIFF_E1_3">Предложение!$176:$178</definedName>
    <definedName name="OFFER_TARIFF_E1_4">Предложение!$245:$247</definedName>
    <definedName name="OFFER_TARIFF_E1_5">Предложение!$314:$316</definedName>
    <definedName name="OFFER_TARIFF_E2_1">Предложение!$39:$41</definedName>
    <definedName name="OFFER_TARIFF_E2_2">Предложение!$110:$112</definedName>
    <definedName name="OFFER_TARIFF_E2_3">Предложение!$179:$181</definedName>
    <definedName name="OFFER_TARIFF_E2_4">Предложение!$248:$250</definedName>
    <definedName name="OFFER_TARIFF_E2_5">Предложение!$317:$319</definedName>
    <definedName name="OFFER_TARIFF_F_1">Предложение!$42:$44</definedName>
    <definedName name="OFFER_TARIFF_F_2">Предложение!$113:$115</definedName>
    <definedName name="OFFER_TARIFF_F_3">Предложение!$182:$184</definedName>
    <definedName name="OFFER_TARIFF_F_4">Предложение!$251:$253</definedName>
    <definedName name="OFFER_TARIFF_F_5">Предложение!$320:$322</definedName>
    <definedName name="OFFER_TARIFF_G_1">Предложение!$45:$47</definedName>
    <definedName name="OFFER_TARIFF_G_2">Предложение!$116:$118</definedName>
    <definedName name="OFFER_TARIFF_G_3">Предложение!$185:$187</definedName>
    <definedName name="OFFER_TARIFF_G_4">Предложение!$254:$256</definedName>
    <definedName name="OFFER_TARIFF_G_5">Предложение!$323:$325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Предложение!$G$193</definedName>
    <definedName name="pIns_PT_VTAR_A_COLDVSNA_OFFER_4">Предложение!$G$262</definedName>
    <definedName name="pIns_PT_VTAR_A_COLDVSNA_OFFER_5">Предложение!$G$331</definedName>
    <definedName name="pIns_PT_VTAR_A_COLDVSNA_OFFER5">Предложение!$G$331</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Предложение!$G$208</definedName>
    <definedName name="pIns_PT_VTAR_A_HOTVSNA_OFFER_4">Предложение!$G$277</definedName>
    <definedName name="pIns_PT_VTAR_A_HOTVSNA_OFFER_5">Предложение!$G$346</definedName>
    <definedName name="pIns_PT_VTAR_A_OFFER_1">Предложение!$G$26</definedName>
    <definedName name="pIns_PT_VTAR_A_OFFER_2">Предложение!$G$93</definedName>
    <definedName name="pIns_PT_VTAR_A_OFFER_3">Предложение!$G$162</definedName>
    <definedName name="pIns_PT_VTAR_A_OFFER_4">Предложение!$G$231</definedName>
    <definedName name="pIns_PT_VTAR_A_OFFER_5">Предложение!$G$300</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Предложение!$G$217</definedName>
    <definedName name="pIns_PT_VTAR_A_VOTV_OFFER_4">Предложение!$G$286</definedName>
    <definedName name="pIns_PT_VTAR_A_VOTV_OFFER_5">Предложение!$G$355</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Предложение!$G$196</definedName>
    <definedName name="pIns_PT_VTAR_B_COLDVSNA_OFFER_4">Предложение!$G$265</definedName>
    <definedName name="pIns_PT_VTAR_B_COLDVSNA_OFFER_5">Предложение!$G$334</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Предложение!$G$211</definedName>
    <definedName name="pIns_PT_VTAR_B_HOTVSNA_OFFER_4">Предложение!$G$280</definedName>
    <definedName name="pIns_PT_VTAR_B_HOTVSNA_OFFER_5">Предложение!$G$349</definedName>
    <definedName name="pIns_PT_VTAR_B_OFFER_1">Предложение!$G$29</definedName>
    <definedName name="pIns_PT_VTAR_B_OFFER_2">Предложение!$G$100</definedName>
    <definedName name="pIns_PT_VTAR_B_OFFER_3">Предложение!$G$169</definedName>
    <definedName name="pIns_PT_VTAR_B_OFFER_4">Предложение!$G$238</definedName>
    <definedName name="pIns_PT_VTAR_B_OFFER_5">Предложение!$G$307</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Предложение!$G$220</definedName>
    <definedName name="pIns_PT_VTAR_B_VOTV_OFFER_4">Предложение!$G$289</definedName>
    <definedName name="pIns_PT_VTAR_B_VOTV_OFFER_5">Предложение!$G$358</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Предложение!$G$199</definedName>
    <definedName name="pIns_PT_VTAR_C_COLDVSNA_OFFER_4">Предложение!$G$268</definedName>
    <definedName name="pIns_PT_VTAR_C_COLDVSNA_OFFER_5">Предложение!$G$337</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Предложение!$G$214</definedName>
    <definedName name="pIns_PT_VTAR_C_HOTVSNA_OFFER_4">Предложение!$G$283</definedName>
    <definedName name="pIns_PT_VTAR_C_HOTVSNA_OFFER_5">Предложение!$G$352</definedName>
    <definedName name="pIns_PT_VTAR_C_OFFER_1">Предложение!$G$32</definedName>
    <definedName name="pIns_PT_VTAR_C_OFFER_2">Предложение!$G$103</definedName>
    <definedName name="pIns_PT_VTAR_C_OFFER_3">Предложение!$G$172</definedName>
    <definedName name="pIns_PT_VTAR_C_OFFER_4">Предложение!$G$241</definedName>
    <definedName name="pIns_PT_VTAR_C_OFFER_5">Предложение!$G$310</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Предложение!$G$223</definedName>
    <definedName name="pIns_PT_VTAR_C_VOTV_OFFER_4">Предложение!$G$292</definedName>
    <definedName name="pIns_PT_VTAR_C_VOTV_OFFER_5">Предложение!$G$361</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Предложение!$G$202</definedName>
    <definedName name="pIns_PT_VTAR_D_COLDVSNA_OFFER_4">Предложение!$G$271</definedName>
    <definedName name="pIns_PT_VTAR_D_COLDVSNA_OFFER_5">Предложение!$G$340</definedName>
    <definedName name="pIns_PT_VTAR_D_OFFER_1">Предложение!$G$35</definedName>
    <definedName name="pIns_PT_VTAR_D_OFFER_2">Предложение!$G$106</definedName>
    <definedName name="pIns_PT_VTAR_D_OFFER_3">Предложение!$G$175</definedName>
    <definedName name="pIns_PT_VTAR_D_OFFER_4">Предложение!$G$244</definedName>
    <definedName name="pIns_PT_VTAR_D_OFFER_5">Предложение!$G$313</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Предложение!$G$205</definedName>
    <definedName name="pIns_PT_VTAR_E_COLDVSNA_OFFER_4">Предложение!$G$274</definedName>
    <definedName name="pIns_PT_VTAR_E_COLDVSNA_OFFER_5">Предложение!$G$343</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Предложение!$G$178</definedName>
    <definedName name="pIns_PT_VTAR_E1_OFFER_4">Предложение!$G$247</definedName>
    <definedName name="pIns_PT_VTAR_E1_OFFER_5">Предложение!$G$316</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Предложение!$G$181</definedName>
    <definedName name="pIns_PT_VTAR_E2_OFFER_4">Предложение!$G$250</definedName>
    <definedName name="pIns_PT_VTAR_E2_OFFER_5">Предложение!$G$319</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Предложение!$G$184</definedName>
    <definedName name="pIns_PT_VTAR_F_OFFER_4">Предложение!$G$253</definedName>
    <definedName name="pIns_PT_VTAR_F_OFFER_5">Предложение!$G$322</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Предложение!$G$187</definedName>
    <definedName name="pIns_PT_VTAR_G_OFFER_4">Предложение!$G$256</definedName>
    <definedName name="pIns_PT_VTAR_G_OFFER_5">Предложение!$G$325</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Предложение!$G$190</definedName>
    <definedName name="pIns_PT_VTAR_H_OFFER_4">Предложение!$G$259</definedName>
    <definedName name="pIns_PT_VTAR_H_OFFER_5">Предложение!$G$328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&gt;=25МВт'!$BR$39</definedName>
    <definedName name="pIns_ver_HEAT_TARIFF_B">'ТС. Т-ТЭ | ТСО'!$BR$39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Предложение!$L$362</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Предложение!$L$362</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&gt;=25МВт'!$BR$58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ТСО'!$BR$58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b/>
            <sz val="9"/>
            <rFont val="Tahoma"/>
          </rPr>
          <t>Author:</t>
        </r>
        <r>
          <rPr>
            <sz val="9"/>
            <rFont val="Tahoma"/>
          </rPr>
          <t xml:space="preserve">
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b/>
            <sz val="9"/>
            <rFont val="Tahoma"/>
          </rPr>
          <t>Author:</t>
        </r>
        <r>
          <rPr>
            <sz val="9"/>
            <rFont val="Tahoma"/>
          </rPr>
          <t xml:space="preserve">
Тип организации</t>
        </r>
      </text>
    </comment>
    <comment ref="L6" authorId="0">
      <text>
        <r>
          <rPr>
            <b/>
            <sz val="9"/>
            <rFont val="Tahoma"/>
          </rPr>
          <t>Author:</t>
        </r>
        <r>
          <rPr>
            <sz val="9"/>
            <rFont val="Tahoma"/>
          </rPr>
          <t xml:space="preserve">
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b/>
            <sz val="9"/>
            <rFont val="Tahoma"/>
          </rPr>
          <t>Author:</t>
        </r>
        <r>
          <rPr>
            <sz val="9"/>
            <rFont val="Tahoma"/>
          </rPr>
          <t xml:space="preserve">
сюда же для некоторых формул может входить:
- VOTV
- HOTVSNA</t>
        </r>
      </text>
    </comment>
    <comment ref="U2" authorId="0">
      <text>
        <r>
          <rPr>
            <b/>
            <sz val="9"/>
            <rFont val="Tahoma"/>
          </rPr>
          <t>Author:</t>
        </r>
        <r>
          <rPr>
            <sz val="9"/>
            <rFont val="Tahoma"/>
          </rPr>
          <t xml:space="preserve">
сюда же для некоторых формул может входить:
- VOTV
- HOTVSNA</t>
        </r>
      </text>
    </comment>
  </commentList>
</comments>
</file>

<file path=xl/sharedStrings.xml><?xml version="1.0" encoding="utf-8"?>
<sst xmlns="http://schemas.openxmlformats.org/spreadsheetml/2006/main" count="2820" uniqueCount="2820">
  <si>
    <t xml:space="preserve"> (требуется обновление)</t>
  </si>
  <si>
    <t xml:space="preserve">Код отчёта: PP110.OPEN.INFO.REQUEST.HEAT.EIAS</t>
  </si>
  <si>
    <t xml:space="preserve">Версия отчёта: 1.1.1</t>
  </si>
  <si>
    <t xml:space="preserve">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</si>
  <si>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</si>
  <si>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</si>
  <si>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</si>
  <si>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</si>
  <si>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</si>
  <si>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</si>
  <si>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</si>
  <si>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</si>
  <si>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</si>
  <si>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</si>
  <si>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</si>
  <si>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 xml:space="preserve">Субъект РФ</t>
  </si>
  <si>
    <t xml:space="preserve">Еврейская автономная область</t>
  </si>
  <si>
    <t xml:space="preserve">Состав раскрываемой информации</t>
  </si>
  <si>
    <t xml:space="preserve">Привлечение к ответственности за указанный период отсутствует</t>
  </si>
  <si>
    <t>нет</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</si>
  <si>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</si>
  <si>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</si>
  <si>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</si>
  <si>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</si>
  <si>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</si>
  <si>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</si>
  <si>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ORG</t>
  </si>
  <si>
    <t xml:space="preserve">Дата
предоставления информации</t>
  </si>
  <si>
    <t/>
  </si>
  <si>
    <t xml:space="preserve">Дата предоставления информации</t>
  </si>
  <si>
    <t xml:space="preserve">BALANCE, QUARTER, TERMS</t>
  </si>
  <si>
    <t>Год</t>
  </si>
  <si>
    <t xml:space="preserve">Отчётный период (год)</t>
  </si>
  <si>
    <t>QUARTER</t>
  </si>
  <si>
    <t>Квартал</t>
  </si>
  <si>
    <t xml:space="preserve">Отчётный период (квартал)</t>
  </si>
  <si>
    <t xml:space="preserve">Тип отчёта</t>
  </si>
  <si>
    <t xml:space="preserve">изменения в раскрытой ранее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</si>
  <si>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</si>
  <si>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</si>
  <si>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</si>
  <si>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ДГК-01.1/8121</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</si>
  <si>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</si>
  <si>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</si>
  <si>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</si>
  <si>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ДГК-01.1/22560</t>
  </si>
  <si>
    <t xml:space="preserve">Наименование органа регулирования, принявшего решение об изменении тарифов</t>
  </si>
  <si>
    <t xml:space="preserve">АО "ДГК" СП "Биробиджанская ТЭЦ"</t>
  </si>
  <si>
    <t xml:space="preserve">Наименование (описание) обособленного подразделения</t>
  </si>
  <si>
    <t>ИНН</t>
  </si>
  <si>
    <t>1434031363</t>
  </si>
  <si>
    <t>КПП</t>
  </si>
  <si>
    <t>790145002</t>
  </si>
  <si>
    <t xml:space="preserve">Тип теплоснабжающей организации</t>
  </si>
  <si>
    <t xml:space="preserve">Регулируемая организация</t>
  </si>
  <si>
    <t xml:space="preserve">Система налогообложения</t>
  </si>
  <si>
    <t>ОСН</t>
  </si>
  <si>
    <t xml:space="preserve">Отсутствует Интернет в границах территории МО, где организация осуществляет регулируемые виды деятельности</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</si>
  <si>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</si>
  <si>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</si>
  <si>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rPr>
      <t xml:space="preserve">с (!)</t>
    </r>
    <r>
      <rPr>
        <sz val="9"/>
        <rFont val="Tahoma"/>
      </rPr>
      <t xml:space="preserve"> разбивкой по поставщикам</t>
    </r>
  </si>
  <si>
    <r>
      <t xml:space="preserve">Тариф на горячую воду предлагается </t>
    </r>
    <r>
      <rPr>
        <b/>
        <sz val="9"/>
        <rFont val="Tahoma"/>
      </rPr>
      <t xml:space="preserve">без (!)</t>
    </r>
    <r>
      <rPr>
        <sz val="9"/>
        <rFont val="Tahoma"/>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</si>
  <si>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</si>
  <si>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</si>
  <si>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</si>
  <si>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</si>
  <si>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</si>
  <si>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</si>
  <si>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</si>
  <si>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</si>
  <si>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</si>
  <si>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680000, г. Хабаровск, ул. Фрунзе, 49</t>
  </si>
  <si>
    <t xml:space="preserve">Фамилия, имя, отчество руководителя</t>
  </si>
  <si>
    <t xml:space="preserve">Иртов Сергей Викторович</t>
  </si>
  <si>
    <t xml:space="preserve">Ответственный за заполнение формы</t>
  </si>
  <si>
    <t xml:space="preserve">Фамилия, имя, отчество</t>
  </si>
  <si>
    <t xml:space="preserve">Волоснякова Светлана Алексеевна</t>
  </si>
  <si>
    <t>Должность</t>
  </si>
  <si>
    <t xml:space="preserve">Заместитель начальника управления экономики</t>
  </si>
  <si>
    <t xml:space="preserve">Контактный телефон</t>
  </si>
  <si>
    <t xml:space="preserve">8 (4212) 26-42-04</t>
  </si>
  <si>
    <t>E-mail</t>
  </si>
  <si>
    <t>volosnyakova-sa@dgk.ru</t>
  </si>
  <si>
    <t>Flag_Col_Size</t>
  </si>
  <si>
    <t>МР</t>
  </si>
  <si>
    <t>МО</t>
  </si>
  <si>
    <t>ОКТМО</t>
  </si>
  <si>
    <t xml:space="preserve">Муниципальный район</t>
  </si>
  <si>
    <t xml:space="preserve">Муниципальное образование</t>
  </si>
  <si>
    <t xml:space="preserve">№ п/п</t>
  </si>
  <si>
    <t>Наименование</t>
  </si>
  <si>
    <t>3</t>
  </si>
  <si>
    <t>4</t>
  </si>
  <si>
    <t>6</t>
  </si>
  <si>
    <t>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</si>
  <si>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</si>
  <si>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</si>
  <si>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</si>
  <si>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</si>
  <si>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ter_1</t>
  </si>
  <si>
    <t>8</t>
  </si>
  <si>
    <t xml:space="preserve">Город Биробиджан</t>
  </si>
  <si>
    <t>99701000</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</si>
  <si>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</si>
  <si>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</si>
  <si>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</si>
  <si>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</si>
  <si>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</si>
  <si>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</si>
  <si>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да/нет</t>
  </si>
  <si>
    <t>1</t>
  </si>
  <si>
    <t>2</t>
  </si>
  <si>
    <t>5</t>
  </si>
  <si>
    <t>ID_DIFF</t>
  </si>
  <si>
    <t>VD</t>
  </si>
  <si>
    <t>AREA</t>
  </si>
  <si>
    <t>SYSTEM</t>
  </si>
  <si>
    <t>diff_1</t>
  </si>
  <si>
    <t>a</t>
  </si>
  <si>
    <t xml:space="preserve">Добавить централизованную систему</t>
  </si>
  <si>
    <t xml:space="preserve">Добавить описание территории</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</si>
  <si>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</si>
  <si>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</si>
  <si>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</si>
  <si>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</si>
  <si>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</si>
  <si>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</si>
  <si>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Примечание</t>
  </si>
  <si>
    <t xml:space="preserve">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</si>
  <si>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</si>
  <si>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</si>
  <si>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</si>
  <si>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</si>
  <si>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</si>
  <si>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</si>
  <si>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</si>
  <si>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</si>
  <si>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</si>
  <si>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</si>
  <si>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</si>
  <si>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</si>
  <si>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</si>
  <si>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</si>
  <si>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</si>
  <si>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</si>
  <si>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</si>
  <si>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</si>
  <si>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</si>
  <si>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9</t>
  </si>
  <si>
    <t>10</t>
  </si>
  <si>
    <t>11</t>
  </si>
  <si>
    <t>12</t>
  </si>
  <si>
    <t>13</t>
  </si>
  <si>
    <t>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</si>
  <si>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</si>
  <si>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Тариф на тепловую энергию</t>
  </si>
  <si>
    <t xml:space="preserve">Биробиджанская ТЭЦ</t>
  </si>
  <si>
    <t xml:space="preserve">"4190064"; "4190068"; "4190070"</t>
  </si>
  <si>
    <t>pIns_PT_VTAR_A</t>
  </si>
  <si>
    <t>pt_ntar_1</t>
  </si>
  <si>
    <t>pt_ter_1</t>
  </si>
  <si>
    <t>pt_cs_1</t>
  </si>
  <si>
    <t>pt_ist_te_1</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</si>
  <si>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</si>
  <si>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</si>
  <si>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</si>
  <si>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Добавить наименование тарифа</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</si>
  <si>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</si>
  <si>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t>
  </si>
  <si>
    <t>"4190068"</t>
  </si>
  <si>
    <t>pIns_PT_VTAR_B</t>
  </si>
  <si>
    <t>pt_ntar_2</t>
  </si>
  <si>
    <t>pt_ter_2</t>
  </si>
  <si>
    <t>pt_cs_2</t>
  </si>
  <si>
    <t>pt_ist_te_2</t>
  </si>
  <si>
    <t xml:space="preserve">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</si>
  <si>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</si>
  <si>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</si>
  <si>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</si>
  <si>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</si>
  <si>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</si>
  <si>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</si>
  <si>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</si>
  <si>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</si>
  <si>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</si>
  <si>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</si>
  <si>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</si>
  <si>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 xml:space="preserve">Тарифы на услуги по передаче тепловой энергии</t>
  </si>
  <si>
    <t>pIns_PT_VTAR_E1</t>
  </si>
  <si>
    <t>pt_ntar_5</t>
  </si>
  <si>
    <t>pt_ter_5</t>
  </si>
  <si>
    <t>pt_cs_5</t>
  </si>
  <si>
    <t>pt_ist_te_5</t>
  </si>
  <si>
    <t xml:space="preserve">Тарифы на услуги по передаче теплоносителя</t>
  </si>
  <si>
    <t>pIns_PT_VTAR_E2</t>
  </si>
  <si>
    <t>pt_ntar_6</t>
  </si>
  <si>
    <t>pt_ter_6</t>
  </si>
  <si>
    <t>pt_cs_6</t>
  </si>
  <si>
    <t>pt_ist_te_6</t>
  </si>
  <si>
    <t xml:space="preserve">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</si>
  <si>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</si>
  <si>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</si>
  <si>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</si>
  <si>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</si>
  <si>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</si>
  <si>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 xml:space="preserve">Плата за подключение (технологическое присоединение) к системе теплоснабжения</t>
  </si>
  <si>
    <t>pIns_PT_VTAR_G</t>
  </si>
  <si>
    <t>pt_ntar_8</t>
  </si>
  <si>
    <t>pt_ter_8</t>
  </si>
  <si>
    <t>pt_cs_8</t>
  </si>
  <si>
    <t>pt_ist_te_8</t>
  </si>
  <si>
    <t xml:space="preserve">Плата за подключение (технологическое присоединение) к системе теплоснабжения (индивидуальная)</t>
  </si>
  <si>
    <t>pIns_PT_VTAR_H</t>
  </si>
  <si>
    <t>pt_ntar_20</t>
  </si>
  <si>
    <t>pt_ter_20</t>
  </si>
  <si>
    <t>pt_cs_20</t>
  </si>
  <si>
    <t>pt_ist_te_20</t>
  </si>
  <si>
    <t xml:space="preserve">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</si>
  <si>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</si>
  <si>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</si>
  <si>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</si>
  <si>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</si>
  <si>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</si>
  <si>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</si>
  <si>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</si>
  <si>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</si>
  <si>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</si>
  <si>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</si>
  <si>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</si>
  <si>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</si>
  <si>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</si>
  <si>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</si>
  <si>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pIns_PT_VTAR_A_COLDVSNA</t>
  </si>
  <si>
    <t>pt_ntar_9</t>
  </si>
  <si>
    <t>pt_ter_9</t>
  </si>
  <si>
    <t>pt_cs_9</t>
  </si>
  <si>
    <t xml:space="preserve">Тариф на техническую воду</t>
  </si>
  <si>
    <t>pIns_PT_VTAR_B_COLDVSNA</t>
  </si>
  <si>
    <t>pt_ntar_10</t>
  </si>
  <si>
    <t>pt_ter_10</t>
  </si>
  <si>
    <t>pt_cs_10</t>
  </si>
  <si>
    <t xml:space="preserve">Тариф на транспортировку воды</t>
  </si>
  <si>
    <t>pIns_PT_VTAR_C_COLDVSNA</t>
  </si>
  <si>
    <t>pt_ntar_11</t>
  </si>
  <si>
    <t>pt_ter_11</t>
  </si>
  <si>
    <t>pt_cs_11</t>
  </si>
  <si>
    <t xml:space="preserve">Тариф на подвоз воды</t>
  </si>
  <si>
    <t>pIns_PT_VTAR_D_COLDVSNA</t>
  </si>
  <si>
    <t>pt_ntar_12</t>
  </si>
  <si>
    <t>pt_ter_12</t>
  </si>
  <si>
    <t>pt_cs_12</t>
  </si>
  <si>
    <t xml:space="preserve">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</si>
  <si>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</si>
  <si>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</si>
  <si>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</si>
  <si>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</si>
  <si>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 xml:space="preserve">Тариф на горячую воду (горячее водоснабжение)</t>
  </si>
  <si>
    <t>pIns_PT_VTAR_A_HOTVSNA</t>
  </si>
  <si>
    <t>pt_ntar_14</t>
  </si>
  <si>
    <t>pt_ter_14</t>
  </si>
  <si>
    <t>pt_cs_14</t>
  </si>
  <si>
    <t xml:space="preserve">Тариф на транспортировку горячей воды</t>
  </si>
  <si>
    <t>pIns_PT_VTAR_B_HOTVSNA</t>
  </si>
  <si>
    <t>pt_ntar_15</t>
  </si>
  <si>
    <t>pt_ter_15</t>
  </si>
  <si>
    <t>pt_cs_15</t>
  </si>
  <si>
    <t xml:space="preserve">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</si>
  <si>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</si>
  <si>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</si>
  <si>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</si>
  <si>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</si>
  <si>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 xml:space="preserve">Тариф на водоотведение</t>
  </si>
  <si>
    <t>pIns_PT_VTAR_A_VOTV</t>
  </si>
  <si>
    <t>pt_ntar_17</t>
  </si>
  <si>
    <t>pt_ter_17</t>
  </si>
  <si>
    <t>pt_cs_17</t>
  </si>
  <si>
    <t xml:space="preserve">Тариф на транспортировку сточных вод</t>
  </si>
  <si>
    <t>pIns_PT_VTAR_B_VOTV</t>
  </si>
  <si>
    <t>pt_ntar_18</t>
  </si>
  <si>
    <t>pt_ter_18</t>
  </si>
  <si>
    <t>pt_cs_18</t>
  </si>
  <si>
    <t xml:space="preserve">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</si>
  <si>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</si>
  <si>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</si>
  <si>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</si>
  <si>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</si>
  <si>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</si>
  <si>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</si>
  <si>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</si>
  <si>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</si>
  <si>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</si>
  <si>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</si>
  <si>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</si>
  <si>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</si>
  <si>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Комментарий</t>
  </si>
  <si>
    <t xml:space="preserve">Дифференциация, да/нет</t>
  </si>
  <si>
    <t>Значение</t>
  </si>
  <si>
    <t>Тарифы</t>
  </si>
  <si>
    <t xml:space="preserve">Прочие показатели</t>
  </si>
  <si>
    <t>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</si>
  <si>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</si>
  <si>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</si>
  <si>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</si>
  <si>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</si>
  <si>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</si>
  <si>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</si>
  <si>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</si>
  <si>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</si>
  <si>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</si>
  <si>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</si>
  <si>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Информация</t>
  </si>
  <si>
    <t xml:space="preserve">Субъект Российской Федерации</t>
  </si>
  <si>
    <t xml:space="preserve">Указывается наименование субъекта Российской Федерации</t>
  </si>
  <si>
    <t>x</t>
  </si>
  <si>
    <t>2.2</t>
  </si>
  <si>
    <t xml:space="preserve">идентификационный номер налогоплательщика (ИНН)</t>
  </si>
  <si>
    <t xml:space="preserve">Указывается идентификационный номер налогоплательщика.</t>
  </si>
  <si>
    <t>2.3</t>
  </si>
  <si>
    <t xml:space="preserve">код причины постановки на учет (КПП)</t>
  </si>
  <si>
    <t xml:space="preserve">Указывается код причины постановки на учет (при наличии).</t>
  </si>
  <si>
    <t>5.1</t>
  </si>
  <si>
    <t xml:space="preserve">Сведения о присвоении статуса единой теплоснабжающей организации:</t>
  </si>
  <si>
    <t xml:space="preserve">Информация в строках 5.x.1 - 5.x.4 указывается только едиными теплоснабжающими организациями.</t>
  </si>
  <si>
    <t xml:space="preserve">наименование органа, принявшего решение о присвоении статуса единой теплоснабжающей организации</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</si>
  <si>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</si>
  <si>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</si>
  <si>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номер решения</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</si>
  <si>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</si>
  <si>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</si>
  <si>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Добавить сведения</t>
  </si>
  <si>
    <t xml:space="preserve">Данные должностного лица, ответственного за размещение данных</t>
  </si>
  <si>
    <t>3.1</t>
  </si>
  <si>
    <t xml:space="preserve">фамилия, имя и отчество должностного лица</t>
  </si>
  <si>
    <t>3.1.1</t>
  </si>
  <si>
    <t xml:space="preserve">фамилия должностного лица</t>
  </si>
  <si>
    <t>3.1.2</t>
  </si>
  <si>
    <t xml:space="preserve">имя должностного лица</t>
  </si>
  <si>
    <t>3.1.3</t>
  </si>
  <si>
    <t xml:space="preserve">отчество должностного лица</t>
  </si>
  <si>
    <t>3.2</t>
  </si>
  <si>
    <t>должность</t>
  </si>
  <si>
    <t>3.3</t>
  </si>
  <si>
    <t xml:space="preserve">контактный телефон</t>
  </si>
  <si>
    <t>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</si>
  <si>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</si>
  <si>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</si>
  <si>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</si>
  <si>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</si>
  <si>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</si>
  <si>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</si>
  <si>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</si>
  <si>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</si>
  <si>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</si>
  <si>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</si>
  <si>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</si>
  <si>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</si>
  <si>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</si>
  <si>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</si>
  <si>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</si>
  <si>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</si>
  <si>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</si>
  <si>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</si>
  <si>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</si>
  <si>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</si>
  <si>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</si>
  <si>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</si>
  <si>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Теплоэлектростанции</t>
  </si>
  <si>
    <t xml:space="preserve">Тепловые станции</t>
  </si>
  <si>
    <t>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</si>
  <si>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</si>
  <si>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</si>
  <si>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</si>
  <si>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</si>
  <si>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</si>
  <si>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</si>
  <si>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</si>
  <si>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</si>
  <si>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</si>
  <si>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</si>
  <si>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</si>
  <si>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</si>
  <si>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</si>
  <si>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</si>
  <si>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</si>
  <si>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</si>
  <si>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</si>
  <si>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</si>
  <si>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</si>
  <si>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</si>
  <si>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</si>
  <si>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</si>
  <si>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</si>
  <si>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</si>
  <si>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</si>
  <si>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</si>
  <si>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</si>
  <si>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</si>
  <si>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</si>
  <si>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</si>
  <si>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</si>
  <si>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</si>
  <si>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</si>
  <si>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</si>
  <si>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</si>
  <si>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</si>
  <si>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</si>
  <si>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</si>
  <si>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</si>
  <si>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</si>
  <si>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</si>
  <si>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</si>
  <si>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</si>
  <si>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</si>
  <si>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</si>
  <si>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</si>
  <si>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</si>
  <si>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</si>
  <si>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</si>
  <si>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</si>
  <si>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</si>
  <si>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</si>
  <si>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PERIOD_FROM_FIRST_ROW</t>
  </si>
  <si>
    <t>FLAG_BLOCK_COLUMN</t>
  </si>
  <si>
    <t>SPR</t>
  </si>
  <si>
    <t>FLAG_START_DATE</t>
  </si>
  <si>
    <t>FLAG_ETC_PERIOD</t>
  </si>
  <si>
    <t>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</si>
  <si>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</si>
  <si>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</si>
  <si>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</si>
  <si>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</si>
  <si>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dp</t>
  </si>
  <si>
    <t>×</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</si>
  <si>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</si>
  <si>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</si>
  <si>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</si>
  <si>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</si>
  <si>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</si>
  <si>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</si>
  <si>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</si>
  <si>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</si>
  <si>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</si>
  <si>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NUM_NTAR</t>
  </si>
  <si>
    <t>NUM_TER</t>
  </si>
  <si>
    <t>NUM_CS</t>
  </si>
  <si>
    <t>NUM_IST_TE</t>
  </si>
  <si>
    <t>NUM_SCHEME</t>
  </si>
  <si>
    <t>NUM_GC</t>
  </si>
  <si>
    <t>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</si>
  <si>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</si>
  <si>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</si>
  <si>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</si>
  <si>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</si>
  <si>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без дифференциации</t>
  </si>
  <si>
    <t>вода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</si>
  <si>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</si>
  <si>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</si>
  <si>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</si>
  <si>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</si>
  <si>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</si>
  <si>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</si>
  <si>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</si>
  <si>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</si>
  <si>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</si>
  <si>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</si>
  <si>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</si>
  <si>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</si>
  <si>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</si>
  <si>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</si>
  <si>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</si>
  <si>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</si>
  <si>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</si>
  <si>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</si>
  <si>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</si>
  <si>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</si>
  <si>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FLAG</t>
  </si>
  <si>
    <t>LOAD</t>
  </si>
  <si>
    <t>NETS</t>
  </si>
  <si>
    <t>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</si>
  <si>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</si>
  <si>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</si>
  <si>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</si>
  <si>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</si>
  <si>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</si>
  <si>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</si>
  <si>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</si>
  <si>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</si>
  <si>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</si>
  <si>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</si>
  <si>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</si>
  <si>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</si>
  <si>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</si>
  <si>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</si>
  <si>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</si>
  <si>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</si>
  <si>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</si>
  <si>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NUM_FLAG_DIFF</t>
  </si>
  <si>
    <t>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</si>
  <si>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</si>
  <si>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</si>
  <si>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</si>
  <si>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pt_ist_te_9</t>
  </si>
  <si>
    <t>pt_ist_te_10</t>
  </si>
  <si>
    <t>pt_ist_te_11</t>
  </si>
  <si>
    <t>pt_ist_te_12</t>
  </si>
  <si>
    <t>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</si>
  <si>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</si>
  <si>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</si>
  <si>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</si>
  <si>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</si>
  <si>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</si>
  <si>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</si>
  <si>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</si>
  <si>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</si>
  <si>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</si>
  <si>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</si>
  <si>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</si>
  <si>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</si>
  <si>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</si>
  <si>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</si>
  <si>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</si>
  <si>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</si>
  <si>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</si>
  <si>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</si>
  <si>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</si>
  <si>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</si>
  <si>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pt_ist_te_17</t>
  </si>
  <si>
    <t>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</si>
  <si>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</si>
  <si>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</si>
  <si>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</si>
  <si>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</si>
  <si>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</si>
  <si>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</si>
  <si>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</si>
  <si>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</si>
  <si>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</si>
  <si>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</si>
  <si>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Одноставочный тариф, руб./куб. м</t>
  </si>
  <si>
    <t xml:space="preserve">Компонент на холодную воду</t>
  </si>
  <si>
    <t xml:space="preserve">Компонент на тепловую энергию</t>
  </si>
  <si>
    <t xml:space="preserve">Одноставочный, руб./куб.м</t>
  </si>
  <si>
    <t>Двухставочный тариф</t>
  </si>
  <si>
    <t xml:space="preserve">Одноставочный, руб./Гкал</t>
  </si>
  <si>
    <t xml:space="preserve">Ставка за содержание системы, руб./куб. м в час</t>
  </si>
  <si>
    <t xml:space="preserve">Ставка за объём поданной воды, руб./куб.м</t>
  </si>
  <si>
    <t xml:space="preserve">Ставка за тепловую энергию, руб./Гкал</t>
  </si>
  <si>
    <t xml:space="preserve">Ставка за содержание тепловой мощности, руб./Гкал в час в месяц</t>
  </si>
  <si>
    <t>pt_ist_te_14</t>
  </si>
  <si>
    <t>pt_ist_te_15</t>
  </si>
  <si>
    <t>pt_ist_te_16</t>
  </si>
  <si>
    <t>vt</t>
  </si>
  <si>
    <t>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</si>
  <si>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</si>
  <si>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</si>
  <si>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</si>
  <si>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</si>
  <si>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</si>
  <si>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</si>
  <si>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</si>
  <si>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</si>
  <si>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</si>
  <si>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Гкал/ч</t>
  </si>
  <si>
    <t xml:space="preserve">Указывается установленная тепловая мощность для источника тепловой энергии.</t>
  </si>
  <si>
    <t>%</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</si>
  <si>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</si>
  <si>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</si>
  <si>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</si>
  <si>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</si>
  <si>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</si>
  <si>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</si>
  <si>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</si>
  <si>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</si>
  <si>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p</t>
  </si>
  <si>
    <t>HEAT_P1</t>
  </si>
  <si>
    <t xml:space="preserve">Добавить вид топлива</t>
  </si>
  <si>
    <t>HOTVSNA_P1</t>
  </si>
  <si>
    <t>руб.</t>
  </si>
  <si>
    <t xml:space="preserve">тыс. кВт·ч</t>
  </si>
  <si>
    <t>HEAT_P6</t>
  </si>
  <si>
    <t>NOT_HOTVSNA</t>
  </si>
  <si>
    <t>отсутствует</t>
  </si>
  <si>
    <t>NOT_HEAT_P1</t>
  </si>
  <si>
    <t xml:space="preserve">Добавить прочие расходы</t>
  </si>
  <si>
    <t>HEAT_P2</t>
  </si>
  <si>
    <t>NOT_HEAT_P2</t>
  </si>
  <si>
    <t>COLDVSNA_P1</t>
  </si>
  <si>
    <t xml:space="preserve">тыс. куб. м</t>
  </si>
  <si>
    <t>HOTVSNA_P2</t>
  </si>
  <si>
    <t xml:space="preserve">тыс. Гкал</t>
  </si>
  <si>
    <t>VOTV_P1</t>
  </si>
  <si>
    <t>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</si>
  <si>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</si>
  <si>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</si>
  <si>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hyp</t>
  </si>
  <si>
    <t xml:space="preserve">тыс. Гкал/год</t>
  </si>
  <si>
    <t>человек</t>
  </si>
  <si>
    <t>HEAT_P4</t>
  </si>
  <si>
    <t>VSNA</t>
  </si>
  <si>
    <t xml:space="preserve">тыс. кВт·ч на тыс. куб. м</t>
  </si>
  <si>
    <t>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</si>
  <si>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</si>
  <si>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</si>
  <si>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</si>
  <si>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</si>
  <si>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</si>
  <si>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</si>
  <si>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</si>
  <si>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</si>
  <si>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</si>
  <si>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</si>
  <si>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</si>
  <si>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</si>
  <si>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</si>
  <si>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</si>
  <si>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</si>
  <si>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</si>
  <si>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</si>
  <si>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</si>
  <si>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</si>
  <si>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</si>
  <si>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</si>
  <si>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 xml:space="preserve">Установленная тепловая мощность объекта основных фондов</t>
  </si>
  <si>
    <t>ЧСЛ</t>
  </si>
  <si>
    <t>НОМЕР</t>
  </si>
  <si>
    <t xml:space="preserve">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</si>
  <si>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</si>
  <si>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</si>
  <si>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</si>
  <si>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</si>
  <si>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</si>
  <si>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</si>
  <si>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 xml:space="preserve">Годовая бухгалтерская (финансовая) отчетность</t>
  </si>
  <si>
    <t>СТР</t>
  </si>
  <si>
    <t xml:space="preserve">Не определено</t>
  </si>
  <si>
    <t xml:space="preserve">Годовая бухгалтерская (финансовая) отчетность, включая бухгалтерский баланс и приложения к нему</t>
  </si>
  <si>
    <t>p3</t>
  </si>
  <si>
    <t xml:space="preserve">Указывается ссылка на документ, предварительно загруженный в хранилище файлов ФГИС ЕИАС.</t>
  </si>
  <si>
    <t>L.HEAT.POWER</t>
  </si>
  <si>
    <t xml:space="preserve">Установленная тепловая мощность объектов основных фондов</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</si>
  <si>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</si>
  <si>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t>
  </si>
  <si>
    <t>2.0</t>
  </si>
  <si>
    <t>L.HEAT.LOAD</t>
  </si>
  <si>
    <t xml:space="preserve">Тепловая нагрузка по договорам теплоснабжения</t>
  </si>
  <si>
    <t xml:space="preserve">Информация раскрывается только единой теплоснабжающей организацией в ценовых зонах теплоснабжения.</t>
  </si>
  <si>
    <t>L.VOLUME.ENERGY.PRODUCED</t>
  </si>
  <si>
    <t xml:space="preserve">Объем вырабатываемой тепловой энергии</t>
  </si>
  <si>
    <t xml:space="preserve">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</si>
  <si>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</si>
  <si>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 xml:space="preserve">Объем приобретаемой тепловой энергии</t>
  </si>
  <si>
    <t xml:space="preserve">Объем приобретаемой единой теплоснабжающей организацией в ценовых зонах теплоснабжения тепловой энергии</t>
  </si>
  <si>
    <t>L.VOLUME.ENERGY.RELEASED</t>
  </si>
  <si>
    <t xml:space="preserve">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</si>
  <si>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</si>
  <si>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 xml:space="preserve">Указывается общий объем тепловой энергии, отпускаемой потребителям.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</si>
  <si>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</si>
  <si>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</si>
  <si>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</si>
  <si>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</si>
  <si>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</si>
  <si>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</si>
  <si>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</si>
  <si>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</si>
  <si>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</si>
  <si>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 xml:space="preserve">Объем тепловой энергии по нормативам потребления</t>
  </si>
  <si>
    <t>6.3</t>
  </si>
  <si>
    <t xml:space="preserve">по нормативам потребления коммунальных услуг и нормативам потребления коммунальных ресурсов</t>
  </si>
  <si>
    <t>L.VOLUME.LOSSES.PLAN</t>
  </si>
  <si>
    <t xml:space="preserve">Плановый объем потерь при передаче тепловой энергии</t>
  </si>
  <si>
    <t xml:space="preserve">тыс. Гкал/год </t>
  </si>
  <si>
    <t>L.VOLUME.LOSSES.FACT</t>
  </si>
  <si>
    <t xml:space="preserve">Фактический объем потерь при передаче тепловой энергии</t>
  </si>
  <si>
    <t>L.UNIT.COST.PLAN</t>
  </si>
  <si>
    <t xml:space="preserve">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</si>
  <si>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</si>
  <si>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</si>
  <si>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 xml:space="preserve">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</si>
  <si>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</si>
  <si>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</si>
  <si>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 xml:space="preserve">Среднесписочная численность основного производственного персонала</t>
  </si>
  <si>
    <t xml:space="preserve">L.ADMINISTRATIVE STAFF</t>
  </si>
  <si>
    <t xml:space="preserve">Среднесписочная численность административно-управленческого персонала</t>
  </si>
  <si>
    <t>L.UNIT.COST.EE</t>
  </si>
  <si>
    <t xml:space="preserve">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</si>
  <si>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</si>
  <si>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</si>
  <si>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 xml:space="preserve">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</si>
  <si>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</si>
  <si>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 xml:space="preserve">куб. м/Гкал</t>
  </si>
  <si>
    <t>L.CONDITION.INFO</t>
  </si>
  <si>
    <t xml:space="preserve">Информация о показателях технико-экономического состояния систем теплоснабжения</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</si>
  <si>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</si>
  <si>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</si>
  <si>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 xml:space="preserve">Прочие стандарты</t>
  </si>
  <si>
    <t xml:space="preserve">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</si>
  <si>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</si>
  <si>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 xml:space="preserve">Стандарты качества обслуживания</t>
  </si>
  <si>
    <t xml:space="preserve">Стандарты качества обслуживания единой теплоснабжающей организацией в ценовых зонах теплоснабжения потребителей тепловой энергии</t>
  </si>
  <si>
    <t xml:space="preserve">Информация включает сведения о месте их опубликования.</t>
  </si>
  <si>
    <t>L.STANDARDS.INTERACTION</t>
  </si>
  <si>
    <t xml:space="preserve">Стандарты взаимодействия</t>
  </si>
  <si>
    <t xml:space="preserve">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</si>
  <si>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</si>
  <si>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 xml:space="preserve">Информация о выполнении соглашения</t>
  </si>
  <si>
    <t xml:space="preserve">Информация о выполнении соглашения об исполнении схемы теплоснабжения</t>
  </si>
  <si>
    <t xml:space="preserve">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</si>
  <si>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 xml:space="preserve">Добавить стандарты</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</si>
  <si>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</si>
  <si>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</si>
  <si>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</si>
  <si>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</si>
  <si>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</si>
  <si>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</si>
  <si>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</si>
  <si>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 xml:space="preserve">производственные расходы, в том числе:</t>
  </si>
  <si>
    <t xml:space="preserve">Указывается общая сумма производственных расходов.</t>
  </si>
  <si>
    <t>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</si>
  <si>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</si>
  <si>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</si>
  <si>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</si>
  <si>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</si>
  <si>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</si>
  <si>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</si>
  <si>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2.2.1</t>
  </si>
  <si>
    <t xml:space="preserve">расходы на текущий ремонт</t>
  </si>
  <si>
    <t>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</si>
  <si>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</si>
  <si>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</si>
  <si>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</si>
  <si>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2.3.1</t>
  </si>
  <si>
    <t xml:space="preserve">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</si>
  <si>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</si>
  <si>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</si>
  <si>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</si>
  <si>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</si>
  <si>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</si>
  <si>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2.4.1</t>
  </si>
  <si>
    <t xml:space="preserve">расходы на амортизацию основных средств</t>
  </si>
  <si>
    <t>2.4.2</t>
  </si>
  <si>
    <t xml:space="preserve">расходы на амортизацию нематериальных активов</t>
  </si>
  <si>
    <t>2.5</t>
  </si>
  <si>
    <t xml:space="preserve">расходы на арендную плату</t>
  </si>
  <si>
    <t>2.6</t>
  </si>
  <si>
    <t xml:space="preserve">расходы на лизинговые платежи</t>
  </si>
  <si>
    <t>2.7</t>
  </si>
  <si>
    <t xml:space="preserve"> расходы на концессионную плату</t>
  </si>
  <si>
    <t>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</si>
  <si>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</si>
  <si>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</si>
  <si>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</si>
  <si>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</si>
  <si>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</si>
  <si>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</si>
  <si>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</si>
  <si>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</si>
  <si>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</si>
  <si>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</si>
  <si>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</si>
  <si>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</si>
  <si>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</si>
  <si>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</si>
  <si>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</si>
  <si>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</si>
  <si>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</si>
  <si>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</si>
  <si>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</si>
  <si>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</si>
  <si>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</si>
  <si>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</si>
  <si>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</si>
  <si>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</si>
  <si>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</si>
  <si>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</si>
  <si>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</si>
  <si>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</si>
  <si>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</si>
  <si>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</si>
  <si>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</si>
  <si>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</si>
  <si>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</si>
  <si>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</si>
  <si>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</si>
  <si>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</si>
  <si>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</si>
  <si>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</si>
  <si>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</si>
  <si>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</si>
  <si>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</si>
  <si>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</si>
  <si>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</si>
  <si>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</si>
  <si>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</si>
  <si>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</si>
  <si>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</si>
  <si>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</si>
  <si>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</si>
  <si>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</si>
  <si>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</si>
  <si>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</si>
  <si>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</si>
  <si>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</si>
  <si>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</si>
  <si>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</si>
  <si>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</si>
  <si>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</si>
  <si>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</si>
  <si>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</si>
  <si>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</si>
  <si>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</si>
  <si>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</si>
  <si>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</si>
  <si>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</si>
  <si>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</si>
  <si>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</si>
  <si>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</si>
  <si>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</si>
  <si>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</si>
  <si>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</si>
  <si>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</si>
  <si>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</si>
  <si>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</si>
  <si>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</si>
  <si>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шт.</t>
  </si>
  <si>
    <t xml:space="preserve">средняя продолжительность устранения превышения разрешенных отклонений значений параметров</t>
  </si>
  <si>
    <t>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</si>
  <si>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</si>
  <si>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</si>
  <si>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</si>
  <si>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</si>
  <si>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</si>
  <si>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</si>
  <si>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</si>
  <si>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</si>
  <si>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</si>
  <si>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</si>
  <si>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 xml:space="preserve">удельный расход топлива на производство единицы тепловой энергии, отпускаемой с коллекторов источников тепловой энергии</t>
  </si>
  <si>
    <t>т.у.т./Гкал</t>
  </si>
  <si>
    <t>4.2.2</t>
  </si>
  <si>
    <t xml:space="preserve">отношение величины технологических потерь к материальной характеристике тепловой сети</t>
  </si>
  <si>
    <t>4.2.1.1</t>
  </si>
  <si>
    <t xml:space="preserve">при передаче тепловой энергии</t>
  </si>
  <si>
    <t>Гкал/кв.м</t>
  </si>
  <si>
    <t>4.2.1.2</t>
  </si>
  <si>
    <t xml:space="preserve">при передаче теплоносителя</t>
  </si>
  <si>
    <t>тонн/кв.м</t>
  </si>
  <si>
    <t>4.2.3</t>
  </si>
  <si>
    <t xml:space="preserve">величина технологических потерь</t>
  </si>
  <si>
    <t>4.2.3.1</t>
  </si>
  <si>
    <t>Гкал/год</t>
  </si>
  <si>
    <t>4.2.3.2</t>
  </si>
  <si>
    <t xml:space="preserve">при передаче теплоносителя по тепловым сетям</t>
  </si>
  <si>
    <t>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</si>
  <si>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</si>
  <si>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</si>
  <si>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</si>
  <si>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</si>
  <si>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</si>
  <si>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</si>
  <si>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</si>
  <si>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</si>
  <si>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</si>
  <si>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</si>
  <si>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</si>
  <si>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</si>
  <si>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</si>
  <si>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</si>
  <si>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</si>
  <si>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</si>
  <si>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</si>
  <si>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</si>
  <si>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</si>
  <si>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</si>
  <si>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</si>
  <si>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</si>
  <si>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мутность</t>
  </si>
  <si>
    <t>цветность</t>
  </si>
  <si>
    <t xml:space="preserve">хлор остаточный общий, в том числе:</t>
  </si>
  <si>
    <t>4.3.1</t>
  </si>
  <si>
    <t xml:space="preserve">хлор остаточный связанный</t>
  </si>
  <si>
    <t>4.3.2</t>
  </si>
  <si>
    <t xml:space="preserve">хлор остаточный свободный</t>
  </si>
  <si>
    <t>4.4</t>
  </si>
  <si>
    <t xml:space="preserve">общие колиформные бактерии</t>
  </si>
  <si>
    <t>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</si>
  <si>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</si>
  <si>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</si>
  <si>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</si>
  <si>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</si>
  <si>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</si>
  <si>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</si>
  <si>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</si>
  <si>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</si>
  <si>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</si>
  <si>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</si>
  <si>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</si>
  <si>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</si>
  <si>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</si>
  <si>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</si>
  <si>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</si>
  <si>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</si>
  <si>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</si>
  <si>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</si>
  <si>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</si>
  <si>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</si>
  <si>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</si>
  <si>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</si>
  <si>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</si>
  <si>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</si>
  <si>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</si>
  <si>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</si>
  <si>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</si>
  <si>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</si>
  <si>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</si>
  <si>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</si>
  <si>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</si>
  <si>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</si>
  <si>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</si>
  <si>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</si>
  <si>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</si>
  <si>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БПК5</t>
  </si>
  <si>
    <t>аммоний-ион</t>
  </si>
  <si>
    <t>нитрит-анион</t>
  </si>
  <si>
    <t>3.5</t>
  </si>
  <si>
    <t xml:space="preserve">фосфаты (по Р)</t>
  </si>
  <si>
    <t>3.6</t>
  </si>
  <si>
    <t>нефтепродукты</t>
  </si>
  <si>
    <t>3.7</t>
  </si>
  <si>
    <t>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</si>
  <si>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</si>
  <si>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</si>
  <si>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</si>
  <si>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</si>
  <si>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</si>
  <si>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</si>
  <si>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</si>
  <si>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</si>
  <si>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</si>
  <si>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</si>
  <si>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</si>
  <si>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</si>
  <si>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</si>
  <si>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</si>
  <si>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</si>
  <si>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</si>
  <si>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</si>
  <si>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</si>
  <si>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</si>
  <si>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</si>
  <si>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</si>
  <si>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</si>
  <si>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</si>
  <si>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</si>
  <si>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</si>
  <si>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</si>
  <si>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</si>
  <si>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1.0</t>
  </si>
  <si>
    <t xml:space="preserve">Сведения о выводе источников тепловой энергии из эксплуатации</t>
  </si>
  <si>
    <t xml:space="preserve">Сведения о выводе тепловых сетей из эксплуатации</t>
  </si>
  <si>
    <t xml:space="preserve">Добавить тепловую сеть</t>
  </si>
  <si>
    <t>3.0</t>
  </si>
  <si>
    <t xml:space="preserve">Сведения об основаниях ограничения подачи тепловой энергии</t>
  </si>
  <si>
    <t>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</si>
  <si>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</si>
  <si>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</si>
  <si>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</si>
  <si>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</si>
  <si>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</si>
  <si>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</si>
  <si>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</si>
  <si>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</si>
  <si>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</si>
  <si>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</si>
  <si>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</si>
  <si>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</si>
  <si>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</si>
  <si>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</si>
  <si>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</si>
  <si>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</si>
  <si>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</si>
  <si>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</si>
  <si>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</si>
  <si>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</si>
  <si>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Вид</t>
  </si>
  <si>
    <t>Номер</t>
  </si>
  <si>
    <t xml:space="preserve">Дата принятия</t>
  </si>
  <si>
    <t>Тип</t>
  </si>
  <si>
    <t>Наличие</t>
  </si>
  <si>
    <t xml:space="preserve">Реквизиты концессионного(-ых) соглашения(-ий)</t>
  </si>
  <si>
    <t>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</si>
  <si>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</si>
  <si>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</si>
  <si>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</si>
  <si>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</si>
  <si>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</si>
  <si>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</si>
  <si>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</si>
  <si>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</si>
  <si>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</si>
  <si>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</si>
  <si>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</si>
  <si>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</si>
  <si>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</si>
  <si>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</si>
  <si>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</si>
  <si>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</si>
  <si>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</si>
  <si>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</si>
  <si>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</si>
  <si>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</si>
  <si>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План</t>
  </si>
  <si>
    <t>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</si>
  <si>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</si>
  <si>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</si>
  <si>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</si>
  <si>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</si>
  <si>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</si>
  <si>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</si>
  <si>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месяц</t>
  </si>
  <si>
    <t>год</t>
  </si>
  <si>
    <r>
      <rPr>
        <vertAlign val="superscript"/>
        <sz val="9"/>
        <rFont val="Tahoma"/>
      </rPr>
      <t>1</t>
    </r>
    <r>
      <rPr>
        <sz val="9"/>
        <rFont val="Tahoma"/>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</si>
  <si>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</si>
  <si>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</si>
  <si>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Всего</t>
  </si>
  <si>
    <t>I</t>
  </si>
  <si>
    <t xml:space="preserve">Расходы на мероприятия инвестиционной программы</t>
  </si>
  <si>
    <t xml:space="preserve">Собственные средства</t>
  </si>
  <si>
    <t>1.1</t>
  </si>
  <si>
    <t xml:space="preserve">Амортизационные отчисления за исключением переоценки основных средств и нематериальных активов</t>
  </si>
  <si>
    <t>1.2</t>
  </si>
  <si>
    <t xml:space="preserve">Амортизационные отчисления в результате переоценки основных средств и нематериальных активов</t>
  </si>
  <si>
    <t>1.3</t>
  </si>
  <si>
    <t xml:space="preserve">Капитальные вложения (инвестиции), финансируемые за счет нормативной прибыли, учитываемой в необходимой валовой выручке</t>
  </si>
  <si>
    <t>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</si>
  <si>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</si>
  <si>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</si>
  <si>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</si>
  <si>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</si>
  <si>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</si>
  <si>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</si>
  <si>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</si>
  <si>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</si>
  <si>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 xml:space="preserve">Экономия средств, достигнутая регулируемой организацией в результате снижения расходов</t>
  </si>
  <si>
    <t>1.9</t>
  </si>
  <si>
    <t xml:space="preserve">Средства, полученные за счет платы за подключение (технологическое присоединение)</t>
  </si>
  <si>
    <t>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</si>
  <si>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</si>
  <si>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</si>
  <si>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</si>
  <si>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1.12</t>
  </si>
  <si>
    <t xml:space="preserve">Прочие собственные средства</t>
  </si>
  <si>
    <t xml:space="preserve">Привлеченные средства</t>
  </si>
  <si>
    <t>Займы</t>
  </si>
  <si>
    <t>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</si>
  <si>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</si>
  <si>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</si>
  <si>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</si>
  <si>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</si>
  <si>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</si>
  <si>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</si>
  <si>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</si>
  <si>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</si>
  <si>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</si>
  <si>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1.1.1</t>
  </si>
  <si>
    <t xml:space="preserve">Финансируемые за счет нормативной прибыли, учитываемой в необходимой валовой выручке</t>
  </si>
  <si>
    <t>1.1.2</t>
  </si>
  <si>
    <t xml:space="preserve">Амортизационные отчисления</t>
  </si>
  <si>
    <t>1.1.3</t>
  </si>
  <si>
    <t xml:space="preserve">Иные собственные средства</t>
  </si>
  <si>
    <t>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</si>
  <si>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</si>
  <si>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</si>
  <si>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</si>
  <si>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</si>
  <si>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</si>
  <si>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2.1.3</t>
  </si>
  <si>
    <t>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</si>
  <si>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</si>
  <si>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</si>
  <si>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</si>
  <si>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</si>
  <si>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</si>
  <si>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</si>
  <si>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</si>
  <si>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</si>
  <si>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</si>
  <si>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</si>
  <si>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</si>
  <si>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</si>
  <si>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</si>
  <si>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</si>
  <si>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</si>
  <si>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</si>
  <si>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</si>
  <si>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</si>
  <si>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</si>
  <si>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</si>
  <si>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</si>
  <si>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</si>
  <si>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</si>
  <si>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</si>
  <si>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</si>
  <si>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</si>
  <si>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</si>
  <si>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</si>
  <si>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</si>
  <si>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</si>
  <si>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</si>
  <si>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</si>
  <si>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</si>
  <si>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</si>
  <si>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</si>
  <si>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</si>
  <si>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</si>
  <si>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</si>
  <si>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</si>
  <si>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</si>
  <si>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кВт*ч/куб.м</t>
  </si>
  <si>
    <t>план</t>
  </si>
  <si>
    <t>факт</t>
  </si>
  <si>
    <t>ед</t>
  </si>
  <si>
    <t>5.0</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</si>
  <si>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</si>
  <si>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</si>
  <si>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</si>
  <si>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</si>
  <si>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</si>
  <si>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</si>
  <si>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</si>
  <si>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</si>
  <si>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</si>
  <si>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</si>
  <si>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</si>
  <si>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</si>
  <si>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</si>
  <si>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</si>
  <si>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</si>
  <si>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</si>
  <si>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</si>
  <si>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</si>
  <si>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</si>
  <si>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</si>
  <si>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</si>
  <si>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</si>
  <si>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</si>
  <si>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</si>
  <si>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</si>
  <si>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</si>
  <si>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</si>
  <si>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p1</t>
  </si>
  <si>
    <t xml:space="preserve">Добавить период</t>
  </si>
  <si>
    <t>p2</t>
  </si>
  <si>
    <t xml:space="preserve">Период действия тарифов</t>
  </si>
  <si>
    <t>с</t>
  </si>
  <si>
    <t>по</t>
  </si>
  <si>
    <t xml:space="preserve">метод индексации установленных тарифов</t>
  </si>
  <si>
    <t>p1_0</t>
  </si>
  <si>
    <t>https://portal.eias.ru/Portal/DownloadPage.aspx?type=12&amp;guid=c8719f78-3eb9-42ae-b12f-66420844f6f5</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</si>
  <si>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</si>
  <si>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</si>
  <si>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p2_0</t>
  </si>
  <si>
    <t xml:space="preserve">Единое Положение о закупке продукции для нужд Группы"РусГидро" </t>
  </si>
  <si>
    <t>https://portal.eias.ru/Portal/DownloadPage.aspx?type=12&amp;guid=9a0fd400-6e0f-4cd8-881d-c074d0fe90ec</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</si>
  <si>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</si>
  <si>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Единая информационная система в сфере закупок; сайт АО "ДГК"</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</si>
  <si>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</si>
  <si>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</si>
  <si>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</si>
  <si>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</si>
  <si>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</si>
  <si>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</si>
  <si>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</si>
  <si>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</si>
  <si>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</si>
  <si>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</si>
  <si>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</si>
  <si>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</si>
  <si>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</si>
  <si>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</si>
  <si>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</si>
  <si>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</si>
  <si>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</si>
  <si>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</si>
  <si>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</si>
  <si>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</si>
  <si>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</si>
  <si>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</si>
  <si>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</si>
  <si>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</si>
  <si>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</si>
  <si>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</si>
  <si>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</si>
  <si>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</si>
  <si>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</si>
  <si>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</si>
  <si>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</si>
  <si>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</si>
  <si>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name_rates_4</t>
  </si>
  <si>
    <t>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</si>
  <si>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</si>
  <si>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</si>
  <si>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</si>
  <si>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</si>
  <si>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</si>
  <si>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</si>
  <si>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</si>
  <si>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</si>
  <si>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</si>
  <si>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List_H</t>
  </si>
  <si>
    <t>List_M</t>
  </si>
  <si>
    <t>kind_of_org_type</t>
  </si>
  <si>
    <t xml:space="preserve">Виды топлива
/kind_of_fuels/</t>
  </si>
  <si>
    <t>YEAR_IP_LIST</t>
  </si>
  <si>
    <t>MONTH_IP_LIST</t>
  </si>
  <si>
    <t>COLDVSNA/HOTVSNA</t>
  </si>
  <si>
    <t>OTKO</t>
  </si>
  <si>
    <t xml:space="preserve">Алтайский край</t>
  </si>
  <si>
    <t>январь</t>
  </si>
  <si>
    <t xml:space="preserve">I квартал</t>
  </si>
  <si>
    <t xml:space="preserve">На официальном сайте организации</t>
  </si>
  <si>
    <t>тыс.куб.м/сутки</t>
  </si>
  <si>
    <t xml:space="preserve">метод экономически обоснованных расходов (затрат)</t>
  </si>
  <si>
    <t>Передача+Сбыт</t>
  </si>
  <si>
    <t xml:space="preserve">первичное раскрытие информации</t>
  </si>
  <si>
    <t>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</si>
  <si>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</si>
  <si>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</si>
  <si>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</si>
  <si>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</si>
  <si>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</si>
  <si>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</si>
  <si>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</si>
  <si>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</si>
  <si>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 xml:space="preserve">Газ природный по регулируемой цене</t>
  </si>
  <si>
    <t>Конкурс</t>
  </si>
  <si>
    <t xml:space="preserve">объемы потребления воды абонентами</t>
  </si>
  <si>
    <t xml:space="preserve">40 мм и менее</t>
  </si>
  <si>
    <t>00</t>
  </si>
  <si>
    <t xml:space="preserve">газ природный по регулируемой цене</t>
  </si>
  <si>
    <t xml:space="preserve">тыс м3</t>
  </si>
  <si>
    <t>Январь</t>
  </si>
  <si>
    <t xml:space="preserve">Амурская область</t>
  </si>
  <si>
    <t>февраль</t>
  </si>
  <si>
    <t xml:space="preserve">II квартал</t>
  </si>
  <si>
    <t xml:space="preserve">На сайте регулирующего органа</t>
  </si>
  <si>
    <t>УСН</t>
  </si>
  <si>
    <t>Передача</t>
  </si>
  <si>
    <t>пар</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</si>
  <si>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</si>
  <si>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</si>
  <si>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</si>
  <si>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</si>
  <si>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</si>
  <si>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</si>
  <si>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</si>
  <si>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</si>
  <si>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</si>
  <si>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Пар</t>
  </si>
  <si>
    <t xml:space="preserve">Газ природный по нерегулируемой цене</t>
  </si>
  <si>
    <t>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</si>
  <si>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</si>
  <si>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</si>
  <si>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</si>
  <si>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01</t>
  </si>
  <si>
    <t xml:space="preserve">Единая теплоснабжающая организация в ценовой зоне теплоснабжения</t>
  </si>
  <si>
    <t xml:space="preserve">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</si>
  <si>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</si>
  <si>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</si>
  <si>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</si>
  <si>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</si>
  <si>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</si>
  <si>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</si>
  <si>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</si>
  <si>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</si>
  <si>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</si>
  <si>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 xml:space="preserve">Архангельская область</t>
  </si>
  <si>
    <t>март</t>
  </si>
  <si>
    <t xml:space="preserve">III квартал</t>
  </si>
  <si>
    <t>ЕСХН</t>
  </si>
  <si>
    <t>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</si>
  <si>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</si>
  <si>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</si>
  <si>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</si>
  <si>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</si>
  <si>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</si>
  <si>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</si>
  <si>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</si>
  <si>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</si>
  <si>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</si>
  <si>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</si>
  <si>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</si>
  <si>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Уголь</t>
  </si>
  <si>
    <t xml:space="preserve">Аукцион в электронной форме</t>
  </si>
  <si>
    <t>иное</t>
  </si>
  <si>
    <t xml:space="preserve">от 71 мм до 100 мм включительно</t>
  </si>
  <si>
    <t>02</t>
  </si>
  <si>
    <t xml:space="preserve">Теплоснабжающая организация в ценовой зоне теплоснабжения</t>
  </si>
  <si>
    <t xml:space="preserve">газ сжиженный</t>
  </si>
  <si>
    <t>кг</t>
  </si>
  <si>
    <t>Март</t>
  </si>
  <si>
    <t xml:space="preserve">[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</si>
  <si>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</si>
  <si>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</si>
  <si>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</si>
  <si>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</si>
  <si>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</si>
  <si>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</si>
  <si>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</si>
  <si>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</si>
  <si>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 xml:space="preserve">Астраханская область</t>
  </si>
  <si>
    <t>апрель</t>
  </si>
  <si>
    <t xml:space="preserve">IV квартал</t>
  </si>
  <si>
    <t>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</si>
  <si>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</si>
  <si>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</si>
  <si>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</si>
  <si>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</si>
  <si>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</si>
  <si>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</si>
  <si>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</si>
  <si>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</si>
  <si>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</si>
  <si>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</si>
  <si>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Мазут</t>
  </si>
  <si>
    <t xml:space="preserve">Запрос котировок</t>
  </si>
  <si>
    <t xml:space="preserve">от 101 мм до 150 мм включительно</t>
  </si>
  <si>
    <t>03</t>
  </si>
  <si>
    <t xml:space="preserve">Теплосетевая организация в ценовой зоне теплоснабжения</t>
  </si>
  <si>
    <t xml:space="preserve">газовый конденсат</t>
  </si>
  <si>
    <t>тонны</t>
  </si>
  <si>
    <t>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</si>
  <si>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</si>
  <si>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</si>
  <si>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</si>
  <si>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</si>
  <si>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</si>
  <si>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май</t>
  </si>
  <si>
    <t>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</si>
  <si>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</si>
  <si>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</si>
  <si>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</si>
  <si>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</si>
  <si>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</si>
  <si>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</si>
  <si>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</si>
  <si>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</si>
  <si>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</si>
  <si>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</si>
  <si>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</si>
  <si>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</si>
  <si>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</si>
  <si>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</si>
  <si>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</si>
  <si>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</si>
  <si>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</si>
  <si>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июнь</t>
  </si>
  <si>
    <t xml:space="preserve">налогообложение казённых учреждений</t>
  </si>
  <si>
    <t>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</si>
  <si>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</si>
  <si>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</si>
  <si>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</si>
  <si>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Дрова</t>
  </si>
  <si>
    <t>Иное</t>
  </si>
  <si>
    <t xml:space="preserve">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</si>
  <si>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</si>
  <si>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</si>
  <si>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</si>
  <si>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</si>
  <si>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</si>
  <si>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</si>
  <si>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</si>
  <si>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</si>
  <si>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июль</t>
  </si>
  <si>
    <t xml:space="preserve">смешанное налогообложение</t>
  </si>
  <si>
    <t>руб./Гкал</t>
  </si>
  <si>
    <t xml:space="preserve">производство (некомбинированная выработка)</t>
  </si>
  <si>
    <t xml:space="preserve">острый и редуцированный пар</t>
  </si>
  <si>
    <t>Электроэнергия</t>
  </si>
  <si>
    <t xml:space="preserve">от 250  мм и более</t>
  </si>
  <si>
    <t>06</t>
  </si>
  <si>
    <t xml:space="preserve">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</si>
  <si>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</si>
  <si>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</si>
  <si>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</si>
  <si>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</si>
  <si>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</si>
  <si>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</si>
  <si>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</si>
  <si>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</si>
  <si>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</si>
  <si>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</si>
  <si>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</si>
  <si>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</si>
  <si>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Прочее</t>
  </si>
  <si>
    <t xml:space="preserve">Плата за подключение к системе теплоснабжения</t>
  </si>
  <si>
    <t>07</t>
  </si>
  <si>
    <t xml:space="preserve">по группам мероприятий</t>
  </si>
  <si>
    <t xml:space="preserve">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</si>
  <si>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</si>
  <si>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</si>
  <si>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</si>
  <si>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</si>
  <si>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</si>
  <si>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</si>
  <si>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</si>
  <si>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</si>
  <si>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</si>
  <si>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</si>
  <si>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</si>
  <si>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Плата за подключение к системе теплоснабжения (индивидуальная)</t>
  </si>
  <si>
    <t xml:space="preserve">Форма 4.2.5 Информация о плате за подключение к системе теплоснабжения в индивидуальном порядке</t>
  </si>
  <si>
    <t>08</t>
  </si>
  <si>
    <t xml:space="preserve">в целом на инвестиционную программу</t>
  </si>
  <si>
    <t xml:space="preserve">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</si>
  <si>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</si>
  <si>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</si>
  <si>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</si>
  <si>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</si>
  <si>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</si>
  <si>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октябрь</t>
  </si>
  <si>
    <t xml:space="preserve">тариф указан без НДС для плательщиков НДС</t>
  </si>
  <si>
    <t xml:space="preserve">тариф не утверждался</t>
  </si>
  <si>
    <t>кВт*ч</t>
  </si>
  <si>
    <t>Торги/аукционы</t>
  </si>
  <si>
    <t>прочее</t>
  </si>
  <si>
    <t xml:space="preserve">Форма 4.2.4 Информация о величинах тарифов на подключение к системе теплоснабжения</t>
  </si>
  <si>
    <t>09</t>
  </si>
  <si>
    <t xml:space="preserve">по муниципальным образованиям/территориям</t>
  </si>
  <si>
    <t xml:space="preserve">уголь каменный</t>
  </si>
  <si>
    <t>Октябрь</t>
  </si>
  <si>
    <t xml:space="preserve">  [ Экономия расходов ]</t>
  </si>
  <si>
    <t xml:space="preserve">      Прочие займы</t>
  </si>
  <si>
    <t>г.Байконур</t>
  </si>
  <si>
    <t>ноябрь</t>
  </si>
  <si>
    <t>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</si>
  <si>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</si>
  <si>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</si>
  <si>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</si>
  <si>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</si>
  <si>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</si>
  <si>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</si>
  <si>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</si>
  <si>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</si>
  <si>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</si>
  <si>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</si>
  <si>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</si>
  <si>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</si>
  <si>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</si>
  <si>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</si>
  <si>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</si>
  <si>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</si>
  <si>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</si>
  <si>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</si>
  <si>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</si>
  <si>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</si>
  <si>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</si>
  <si>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</si>
  <si>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</si>
  <si>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</si>
  <si>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</si>
  <si>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</si>
  <si>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</si>
  <si>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</si>
  <si>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</si>
  <si>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</si>
  <si>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</si>
  <si>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START_FILL</t>
  </si>
  <si>
    <t xml:space="preserve">тариф с НДС организаций-плательщиков НДС</t>
  </si>
  <si>
    <t xml:space="preserve">тариф организаций не являющихся плательщиками НДС</t>
  </si>
  <si>
    <t>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</si>
  <si>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</si>
  <si>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</si>
  <si>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</si>
  <si>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</si>
  <si>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</si>
  <si>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</si>
  <si>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</si>
  <si>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</si>
  <si>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</si>
  <si>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</si>
  <si>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</si>
  <si>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</si>
  <si>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</si>
  <si>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</si>
  <si>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 xml:space="preserve">Забайкальский край</t>
  </si>
  <si>
    <t xml:space="preserve">Тарифы на тепло для REQUEST.HEAT
/kind_of_tariff_RHEAT/</t>
  </si>
  <si>
    <t>17</t>
  </si>
  <si>
    <t xml:space="preserve">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</si>
  <si>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</si>
  <si>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</si>
  <si>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</si>
  <si>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</si>
  <si>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</si>
  <si>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</si>
  <si>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</si>
  <si>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</si>
  <si>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</si>
  <si>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</si>
  <si>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</si>
  <si>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 xml:space="preserve">Запорожская область</t>
  </si>
  <si>
    <t>18</t>
  </si>
  <si>
    <t xml:space="preserve">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</si>
  <si>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</si>
  <si>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</si>
  <si>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</si>
  <si>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</si>
  <si>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</si>
  <si>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</si>
  <si>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</si>
  <si>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Водоотведение</t>
  </si>
  <si>
    <t xml:space="preserve">Захоронение твердых коммунальных отходов</t>
  </si>
  <si>
    <t xml:space="preserve">Ивановская область</t>
  </si>
  <si>
    <t>19</t>
  </si>
  <si>
    <t xml:space="preserve">сбыт тепловой энергии и теплоносителя</t>
  </si>
  <si>
    <t xml:space="preserve">уменьшение удельных затрат (повышение КПД)</t>
  </si>
  <si>
    <t>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</si>
  <si>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</si>
  <si>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</si>
  <si>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Транспортировка</t>
  </si>
  <si>
    <t xml:space="preserve">Обезвреживание твердых коммунальных отходов</t>
  </si>
  <si>
    <t xml:space="preserve">Иркутская область</t>
  </si>
  <si>
    <t>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</si>
  <si>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</si>
  <si>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</si>
  <si>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</si>
  <si>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</si>
  <si>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</si>
  <si>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</si>
  <si>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</si>
  <si>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</si>
  <si>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</si>
  <si>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</si>
  <si>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</si>
  <si>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керосин</t>
  </si>
  <si>
    <t xml:space="preserve">Производство. Теплоноситель</t>
  </si>
  <si>
    <t xml:space="preserve">Транспортировка. Питьевая вода</t>
  </si>
  <si>
    <t xml:space="preserve">Калининградская область</t>
  </si>
  <si>
    <t>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</si>
  <si>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</si>
  <si>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</si>
  <si>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</si>
  <si>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</si>
  <si>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</si>
  <si>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</si>
  <si>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</si>
  <si>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</si>
  <si>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</si>
  <si>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</si>
  <si>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</si>
  <si>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</si>
  <si>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</si>
  <si>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</si>
  <si>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</si>
  <si>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</si>
  <si>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</si>
  <si>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</si>
  <si>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</si>
  <si>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</si>
  <si>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CROSSES</t>
  </si>
  <si>
    <t>24</t>
  </si>
  <si>
    <t xml:space="preserve">электроэнергия (СН2)</t>
  </si>
  <si>
    <t xml:space="preserve">Сбыт. Теплоноситель</t>
  </si>
  <si>
    <t xml:space="preserve">Кемеровская область</t>
  </si>
  <si>
    <t>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</si>
  <si>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</si>
  <si>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</si>
  <si>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</si>
  <si>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</si>
  <si>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26</t>
  </si>
  <si>
    <t>PT_GROUP_CONSUMER_LIST</t>
  </si>
  <si>
    <t>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</si>
  <si>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</si>
  <si>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</si>
  <si>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</si>
  <si>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Организация</t>
  </si>
  <si>
    <t xml:space="preserve">25.07.2023 22:51:32</t>
  </si>
  <si>
    <t>27</t>
  </si>
  <si>
    <t xml:space="preserve">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</si>
  <si>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</si>
  <si>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</si>
  <si>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</si>
  <si>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29</t>
  </si>
  <si>
    <t>население</t>
  </si>
  <si>
    <t xml:space="preserve">  Иные бюджетные средства</t>
  </si>
  <si>
    <t xml:space="preserve">Курганская область</t>
  </si>
  <si>
    <t xml:space="preserve">Виды деятельности</t>
  </si>
  <si>
    <t>https://appsrv.regportal-tariff.ru/procwsxls/</t>
  </si>
  <si>
    <t>30</t>
  </si>
  <si>
    <t xml:space="preserve">Курская область</t>
  </si>
  <si>
    <t>31</t>
  </si>
  <si>
    <t xml:space="preserve">Ленинградская область</t>
  </si>
  <si>
    <t>32</t>
  </si>
  <si>
    <t xml:space="preserve">Липецкая область</t>
  </si>
  <si>
    <t>33</t>
  </si>
  <si>
    <t>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</si>
  <si>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</si>
  <si>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</si>
  <si>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</si>
  <si>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</si>
  <si>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</si>
  <si>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</si>
  <si>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теплоснабжения</t>
  </si>
  <si>
    <t>теплоснабжение</t>
  </si>
  <si>
    <t>35</t>
  </si>
  <si>
    <t xml:space="preserve">Московская область</t>
  </si>
  <si>
    <t xml:space="preserve">холодного водоснабжения</t>
  </si>
  <si>
    <t xml:space="preserve">холодное водоснабжение</t>
  </si>
  <si>
    <t>36</t>
  </si>
  <si>
    <t>HEAT_FIN_SRC_VLD_LIST</t>
  </si>
  <si>
    <t>VSNA_FIN_SRC_VLD_LIST</t>
  </si>
  <si>
    <t>VOTV_FIN_SRC_VLD_LIST</t>
  </si>
  <si>
    <t>OTKO_FIN_SRC_VLD_LIST</t>
  </si>
  <si>
    <t xml:space="preserve">Мурманская область</t>
  </si>
  <si>
    <t>водоотведения</t>
  </si>
  <si>
    <t>водоотведение</t>
  </si>
  <si>
    <t>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</si>
  <si>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</si>
  <si>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</si>
  <si>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</si>
  <si>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</si>
  <si>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</si>
  <si>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</si>
  <si>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</si>
  <si>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</si>
  <si>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</si>
  <si>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TKO</t>
  </si>
  <si>
    <t>39</t>
  </si>
  <si>
    <t>PT_TN_LIST</t>
  </si>
  <si>
    <t xml:space="preserve">Прочие амортизационные отчисления</t>
  </si>
  <si>
    <t xml:space="preserve">Новгородская область</t>
  </si>
  <si>
    <t>40</t>
  </si>
  <si>
    <t xml:space="preserve">Займы, предоставленные Фондом ЖКХ за счет средств ФНБ</t>
  </si>
  <si>
    <t xml:space="preserve">Новосибирская область</t>
  </si>
  <si>
    <t>41</t>
  </si>
  <si>
    <t xml:space="preserve">За счет платы за технологическое присоединение</t>
  </si>
  <si>
    <t xml:space="preserve">Прочие займы</t>
  </si>
  <si>
    <t xml:space="preserve">Омская область</t>
  </si>
  <si>
    <t>PeriodIsEmpty</t>
  </si>
  <si>
    <t>NameTemplatesInTitle</t>
  </si>
  <si>
    <t>NameTemplatesInListMO</t>
  </si>
  <si>
    <t>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</si>
  <si>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</si>
  <si>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</si>
  <si>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</si>
  <si>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TEMPLATE_GROUP</t>
  </si>
  <si>
    <t>R</t>
  </si>
  <si>
    <t>CodeTemplate</t>
  </si>
  <si>
    <t>StartDate</t>
  </si>
  <si>
    <t>EndDate</t>
  </si>
  <si>
    <t>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</si>
  <si>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</si>
  <si>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</si>
  <si>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</si>
  <si>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O</t>
  </si>
  <si>
    <t>44</t>
  </si>
  <si>
    <t xml:space="preserve">Бюджет муниципального образования</t>
  </si>
  <si>
    <t xml:space="preserve">Пензенская область</t>
  </si>
  <si>
    <t>Q</t>
  </si>
  <si>
    <t>45</t>
  </si>
  <si>
    <t>Лизинг</t>
  </si>
  <si>
    <t xml:space="preserve">Пермский край</t>
  </si>
  <si>
    <t>BALANCE</t>
  </si>
  <si>
    <t>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</si>
  <si>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</si>
  <si>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</si>
  <si>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</si>
  <si>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 xml:space="preserve">Приморский край</t>
  </si>
  <si>
    <t>TERMS</t>
  </si>
  <si>
    <t>T</t>
  </si>
  <si>
    <t>47</t>
  </si>
  <si>
    <t xml:space="preserve">Псковская область</t>
  </si>
  <si>
    <t>INVEST</t>
  </si>
  <si>
    <t>48</t>
  </si>
  <si>
    <t xml:space="preserve">Республика Адыгея</t>
  </si>
  <si>
    <t>REQUEST</t>
  </si>
  <si>
    <t>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</si>
  <si>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</si>
  <si>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</si>
  <si>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PRICE</t>
  </si>
  <si>
    <t>P</t>
  </si>
  <si>
    <t>50</t>
  </si>
  <si>
    <t xml:space="preserve">Республика Башкортостан</t>
  </si>
  <si>
    <t>ROIV</t>
  </si>
  <si>
    <t xml:space="preserve">Показатели, подлежащие раскрытию органами регулирования</t>
  </si>
  <si>
    <t>51</t>
  </si>
  <si>
    <t xml:space="preserve">Республика Бурятия</t>
  </si>
  <si>
    <t>52</t>
  </si>
  <si>
    <t>PT_NETS_LIST</t>
  </si>
  <si>
    <t xml:space="preserve">Республика Дагестан</t>
  </si>
  <si>
    <t>53</t>
  </si>
  <si>
    <t xml:space="preserve">Республика Ингушетия</t>
  </si>
  <si>
    <t>TERRITORY_ID</t>
  </si>
  <si>
    <t xml:space="preserve">начинать только с 2, остальное по умолчанию</t>
  </si>
  <si>
    <t>54</t>
  </si>
  <si>
    <t xml:space="preserve">Республика Калмыкия</t>
  </si>
  <si>
    <t>DIFFERENTIATION_ID</t>
  </si>
  <si>
    <t>55</t>
  </si>
  <si>
    <t xml:space="preserve">Республика Карелия</t>
  </si>
  <si>
    <t>IP_ID</t>
  </si>
  <si>
    <t>56</t>
  </si>
  <si>
    <t xml:space="preserve">Республика Коми</t>
  </si>
  <si>
    <t xml:space="preserve">начинать только с 30, остальное по умолчанию</t>
  </si>
  <si>
    <t>57</t>
  </si>
  <si>
    <t>PT_DIAMETERS_LIST</t>
  </si>
  <si>
    <t xml:space="preserve">Республика Крым</t>
  </si>
  <si>
    <t>VDET_ID</t>
  </si>
  <si>
    <t>58</t>
  </si>
  <si>
    <t xml:space="preserve">Республика Марий Эл</t>
  </si>
  <si>
    <t>NTAR_ID</t>
  </si>
  <si>
    <t>59</t>
  </si>
  <si>
    <t xml:space="preserve">Республика Мордовия</t>
  </si>
  <si>
    <t xml:space="preserve">Республика Саха (Якутия)</t>
  </si>
  <si>
    <t>CS_ID</t>
  </si>
  <si>
    <t xml:space="preserve">Республика Северная Осетия-Алания</t>
  </si>
  <si>
    <t>IST_TE_ID</t>
  </si>
  <si>
    <t xml:space="preserve">Республика Татарстан</t>
  </si>
  <si>
    <t xml:space="preserve">Республика Тыва</t>
  </si>
  <si>
    <t>PT_LOAD_LIST</t>
  </si>
  <si>
    <t xml:space="preserve">Республика Хакасия</t>
  </si>
  <si>
    <t xml:space="preserve">Ростовская область</t>
  </si>
  <si>
    <t>HEAT_IP_EVENT_GROUP_LIST</t>
  </si>
  <si>
    <t>VSNA_IP_EVENT_GROUP_LIST</t>
  </si>
  <si>
    <t>VOTV_IP_EVENT_GROUP_LIST</t>
  </si>
  <si>
    <t>OTKO_IP_EVENT_GROUP_LIST</t>
  </si>
  <si>
    <t xml:space="preserve">Рязанская область</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</si>
  <si>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</si>
  <si>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</si>
  <si>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</si>
  <si>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</si>
  <si>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</si>
  <si>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</si>
  <si>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</si>
  <si>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</si>
  <si>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</si>
  <si>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</si>
  <si>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</si>
  <si>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</si>
  <si>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</si>
  <si>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</si>
  <si>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</si>
  <si>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</si>
  <si>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</si>
  <si>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</si>
  <si>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</si>
  <si>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</si>
  <si>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</si>
  <si>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</si>
  <si>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</si>
  <si>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</si>
  <si>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</si>
  <si>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</si>
  <si>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</si>
  <si>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</si>
  <si>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</si>
  <si>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</si>
  <si>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</si>
  <si>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</si>
  <si>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</si>
  <si>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</si>
  <si>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</si>
  <si>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</si>
  <si>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</si>
  <si>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HEAT_IP_EVENT_SUBGROUP_1_LIST</t>
  </si>
  <si>
    <t>VSNA_IP_EVENT_SUBGROUP_1_LIST</t>
  </si>
  <si>
    <t>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</si>
  <si>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</si>
  <si>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</si>
  <si>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</si>
  <si>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</si>
  <si>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</si>
  <si>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</si>
  <si>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</si>
  <si>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</si>
  <si>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</si>
  <si>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</si>
  <si>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</si>
  <si>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</si>
  <si>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</si>
  <si>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</si>
  <si>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</si>
  <si>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</si>
  <si>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</si>
  <si>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TYPE_TKO_LIST</t>
  </si>
  <si>
    <t xml:space="preserve">Херсонская область</t>
  </si>
  <si>
    <t>несортированные</t>
  </si>
  <si>
    <t xml:space="preserve">Челябинская область</t>
  </si>
  <si>
    <t>сортированные</t>
  </si>
  <si>
    <t>HEAT_IP_EVENT_SUBGROUP_3_LIST</t>
  </si>
  <si>
    <t>VSNA_IP_EVENT_SUBGROUP_3_LIST</t>
  </si>
  <si>
    <t>VOTV_IP_EVENT_SUBGROUP_3_LIST</t>
  </si>
  <si>
    <t xml:space="preserve">Чеченская республика</t>
  </si>
  <si>
    <t>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</si>
  <si>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</si>
  <si>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</si>
  <si>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</si>
  <si>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</si>
  <si>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</si>
  <si>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</si>
  <si>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</si>
  <si>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</si>
  <si>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CLASS_TKO_LIST</t>
  </si>
  <si>
    <t xml:space="preserve">Ямало-Ненецкий автономный округ</t>
  </si>
  <si>
    <t xml:space="preserve">Ярославская область</t>
  </si>
  <si>
    <t>HEAT_IP_EVENT_SUBGROUP_5_LIST</t>
  </si>
  <si>
    <t>VSNA_IP_EVENT_SUBGROUP_5_LIST</t>
  </si>
  <si>
    <t>VOTV_IP_EVENT_SUBGROUP_5_LIST</t>
  </si>
  <si>
    <t>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</si>
  <si>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</si>
  <si>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</si>
  <si>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</si>
  <si>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</si>
  <si>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</si>
  <si>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</si>
  <si>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</si>
  <si>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</si>
  <si>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</si>
  <si>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</si>
  <si>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</si>
  <si>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</si>
  <si>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</si>
  <si>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</si>
  <si>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</si>
  <si>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</si>
  <si>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</si>
  <si>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</si>
  <si>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</si>
  <si>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</si>
  <si>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</si>
  <si>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</si>
  <si>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</si>
  <si>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</si>
  <si>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</si>
  <si>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</si>
  <si>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</si>
  <si>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</si>
  <si>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</si>
  <si>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транспортирование</t>
  </si>
  <si>
    <t xml:space="preserve">информация о принятых решениях об установлении тарифов</t>
  </si>
  <si>
    <t>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</si>
  <si>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</si>
  <si>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</si>
  <si>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утилизация</t>
  </si>
  <si>
    <t xml:space="preserve">протокол заседания правления</t>
  </si>
  <si>
    <t>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</si>
  <si>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</si>
  <si>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</si>
  <si>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</si>
  <si>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</si>
  <si>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UNIT_CONNECT_LIST</t>
  </si>
  <si>
    <t>тыс.руб./Гкал/ч</t>
  </si>
  <si>
    <t>тыс.руб.</t>
  </si>
  <si>
    <t>WARM_IP_EVENT_TYPE_LIST</t>
  </si>
  <si>
    <t>VSNA_IP_EVENT_TYPE_LIST</t>
  </si>
  <si>
    <t>VOTV_IP_EVENT_TYPE_LIST</t>
  </si>
  <si>
    <t>OTKO_IP_EVENT_TYPE_LIST</t>
  </si>
  <si>
    <t xml:space="preserve">Производство тепловой энергии</t>
  </si>
  <si>
    <t>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</si>
  <si>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</si>
  <si>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</si>
  <si>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ROIV_INFO_LIST_NO_HEAT</t>
  </si>
  <si>
    <t>HEAT_PT_SCHEME</t>
  </si>
  <si>
    <t xml:space="preserve">Фамилия, имя и отчество (при наличии) руководителя:</t>
  </si>
  <si>
    <t>фамилия</t>
  </si>
  <si>
    <t xml:space="preserve">Указывается фамилия руководителя в соответствии с паспортными данными физического лица.</t>
  </si>
  <si>
    <t>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</si>
  <si>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</si>
  <si>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</si>
  <si>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</si>
  <si>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</si>
  <si>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</si>
  <si>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</si>
  <si>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</si>
  <si>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</si>
  <si>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</si>
  <si>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</si>
  <si>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</si>
  <si>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</si>
  <si>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</si>
  <si>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</si>
  <si>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</si>
  <si>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дата</t>
  </si>
  <si>
    <t>время</t>
  </si>
  <si>
    <t>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</si>
  <si>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</si>
  <si>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</si>
  <si>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</si>
  <si>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</si>
  <si>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</si>
  <si>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</si>
  <si>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</si>
  <si>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</si>
  <si>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</si>
  <si>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</si>
  <si>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</si>
  <si>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rPr>
      <t>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</si>
  <si>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</si>
  <si>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</si>
  <si>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</si>
  <si>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</si>
  <si>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</si>
  <si>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rPr>
      <t>2</t>
    </r>
    <r>
      <rPr>
        <sz val="9"/>
        <rFont val="Tahoma"/>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</si>
  <si>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</si>
  <si>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Сведения</t>
  </si>
  <si>
    <t xml:space="preserve">Внесены изменения в расчет необходимой валовой выручки и тарифа на 2025 год согласно Постановлению Правительства РФ от 17.12.2024 № 1810</t>
  </si>
  <si>
    <t>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</si>
  <si>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</si>
  <si>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Комментарии</t>
  </si>
  <si>
    <t xml:space="preserve">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</si>
  <si>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</si>
  <si>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</si>
  <si>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</si>
  <si>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</si>
  <si>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</si>
  <si>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</si>
  <si>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</si>
  <si>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</si>
  <si>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</si>
  <si>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</si>
  <si>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</si>
  <si>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</si>
  <si>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</si>
  <si>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</si>
  <si>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</si>
  <si>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</si>
  <si>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</si>
  <si>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</si>
  <si>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</si>
  <si>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 xml:space="preserve">Добавить реквизиты</t>
  </si>
  <si>
    <t>et_IP_MAIN_PROPERTY</t>
  </si>
  <si>
    <t>et_IP_DETAILED</t>
  </si>
  <si>
    <t xml:space="preserve">Добавить мероприятие</t>
  </si>
  <si>
    <t>et_IP_DETAILED_OBJECT</t>
  </si>
  <si>
    <t xml:space="preserve">Добавить источник финансирования</t>
  </si>
  <si>
    <t>et_IP_DETAILED_IST_FIN</t>
  </si>
  <si>
    <t>et_IP_DETAILED_EVENT</t>
  </si>
  <si>
    <t xml:space="preserve">Добавить объект инфраструктуры</t>
  </si>
  <si>
    <t>et_QRE</t>
  </si>
  <si>
    <t xml:space="preserve">Добавить цель</t>
  </si>
  <si>
    <t>et_B_FHD20_1_NOT_HEAT</t>
  </si>
  <si>
    <t xml:space="preserve">Добавить поставщика</t>
  </si>
  <si>
    <t>et_B_FHD20_1_HEAT</t>
  </si>
  <si>
    <t xml:space="preserve">et_B_FHD20_2, _3, _4</t>
  </si>
  <si>
    <t xml:space="preserve">Итого по поставщику, в том числе</t>
  </si>
  <si>
    <t xml:space="preserve">Добавить товар/услугу</t>
  </si>
  <si>
    <t xml:space="preserve">Добавить способ</t>
  </si>
  <si>
    <t>et_DIFFERENTIATION_TARIFF(_etc)</t>
  </si>
  <si>
    <t>et_DIFFERENTIATION_TARIFF_NOT_HEAT(_etc)</t>
  </si>
  <si>
    <t>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</si>
  <si>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</si>
  <si>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</si>
  <si>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</si>
  <si>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</si>
  <si>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</si>
  <si>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</si>
  <si>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</si>
  <si>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</si>
  <si>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</si>
  <si>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</si>
  <si>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</si>
  <si>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</si>
  <si>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</si>
  <si>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</si>
  <si>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</si>
  <si>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</si>
  <si>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</si>
  <si>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</si>
  <si>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</si>
  <si>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</si>
  <si>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</si>
  <si>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</si>
  <si>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</si>
  <si>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</si>
  <si>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</si>
  <si>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</si>
  <si>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</si>
  <si>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</si>
  <si>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</si>
  <si>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</si>
  <si>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</si>
  <si>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</si>
  <si>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</si>
  <si>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</si>
  <si>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</si>
  <si>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</si>
  <si>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</si>
  <si>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</si>
  <si>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</si>
  <si>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</si>
  <si>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</si>
  <si>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</si>
  <si>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</si>
  <si>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</si>
  <si>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</si>
  <si>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</si>
  <si>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</si>
  <si>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</si>
  <si>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</si>
  <si>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</si>
  <si>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</si>
  <si>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</si>
  <si>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</si>
  <si>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</si>
  <si>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</si>
  <si>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</si>
  <si>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</si>
  <si>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</si>
  <si>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</si>
  <si>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</si>
  <si>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</si>
  <si>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</si>
  <si>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</si>
  <si>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</si>
  <si>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</si>
  <si>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</si>
  <si>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</si>
  <si>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</si>
  <si>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</si>
  <si>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</si>
  <si>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</si>
  <si>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</si>
  <si>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</si>
  <si>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</si>
  <si>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</si>
  <si>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</si>
  <si>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</si>
  <si>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</si>
  <si>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</si>
  <si>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</si>
  <si>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</si>
  <si>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</si>
  <si>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</si>
  <si>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</si>
  <si>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</si>
  <si>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</si>
  <si>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</si>
  <si>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</si>
  <si>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</si>
  <si>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</si>
  <si>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</si>
  <si>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</si>
  <si>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</si>
  <si>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</si>
  <si>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</si>
  <si>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</si>
  <si>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</si>
  <si>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</si>
  <si>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</si>
  <si>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</si>
  <si>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</si>
  <si>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</si>
  <si>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</si>
  <si>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</si>
  <si>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</si>
  <si>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</si>
  <si>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</si>
  <si>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</si>
  <si>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</si>
  <si>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</si>
  <si>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</si>
  <si>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</si>
  <si>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</si>
  <si>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</si>
  <si>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</si>
  <si>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</si>
  <si>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</si>
  <si>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</si>
  <si>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</si>
  <si>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2.5.1</t>
  </si>
  <si>
    <t xml:space="preserve">Средневзвешенная стоимость 1 кВт.ч (с учетом мощности)</t>
  </si>
  <si>
    <t>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</si>
  <si>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</si>
  <si>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</si>
  <si>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</si>
  <si>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</si>
  <si>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</si>
  <si>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9.1</t>
  </si>
  <si>
    <t>2.6.1</t>
  </si>
  <si>
    <t xml:space="preserve">Расходы на оплату труда основного производственного персонала</t>
  </si>
  <si>
    <t>9.2</t>
  </si>
  <si>
    <t>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</si>
  <si>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</si>
  <si>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</si>
  <si>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</si>
  <si>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</si>
  <si>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10.1</t>
  </si>
  <si>
    <t>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</si>
  <si>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</si>
  <si>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</si>
  <si>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10.2</t>
  </si>
  <si>
    <t>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</si>
  <si>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</si>
  <si>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</si>
  <si>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11.1</t>
  </si>
  <si>
    <t>2.8.1</t>
  </si>
  <si>
    <t xml:space="preserve">Расходы на амортизацию основных средств</t>
  </si>
  <si>
    <t>11.2</t>
  </si>
  <si>
    <t>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</si>
  <si>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</si>
  <si>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</si>
  <si>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</si>
  <si>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</si>
  <si>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</si>
  <si>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2.10</t>
  </si>
  <si>
    <t xml:space="preserve">Общепроизводственные расходы, в том числе:</t>
  </si>
  <si>
    <t xml:space="preserve">Указывается общая сумма общепроизводственных расходов.</t>
  </si>
  <si>
    <t>13.1</t>
  </si>
  <si>
    <t>2.10.1</t>
  </si>
  <si>
    <t xml:space="preserve">Расходы на текущий ремонт</t>
  </si>
  <si>
    <t xml:space="preserve">Указываются расходы на текущий ремонт, отнесенные к общепроизводственным расходам.</t>
  </si>
  <si>
    <t>13.2</t>
  </si>
  <si>
    <t>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</si>
  <si>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</si>
  <si>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</si>
  <si>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2.11</t>
  </si>
  <si>
    <t xml:space="preserve">Общехозяйственные расходы, в том числе:</t>
  </si>
  <si>
    <t xml:space="preserve">Указывается общая сумма общехозяйственных расходов.</t>
  </si>
  <si>
    <t>14.1</t>
  </si>
  <si>
    <t>2.11.1</t>
  </si>
  <si>
    <t>2.9.1</t>
  </si>
  <si>
    <t xml:space="preserve">Указываются расходы на текущий ремонт, отнесенные к общехозяйственным расходам.</t>
  </si>
  <si>
    <t>14.2</t>
  </si>
  <si>
    <t>2.11.2</t>
  </si>
  <si>
    <t>2.9.2</t>
  </si>
  <si>
    <t xml:space="preserve">Указываются расходы на капитальный ремонт, отнесенные к общехозяйственным расходам.</t>
  </si>
  <si>
    <t>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</si>
  <si>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</si>
  <si>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</si>
  <si>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</si>
  <si>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</si>
  <si>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</si>
  <si>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</si>
  <si>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</si>
  <si>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</si>
  <si>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</si>
  <si>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</si>
  <si>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</si>
  <si>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</si>
  <si>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</si>
  <si>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</si>
  <si>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</si>
  <si>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</si>
  <si>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</si>
  <si>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</si>
  <si>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</si>
  <si>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</si>
  <si>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</si>
  <si>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</si>
  <si>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</si>
  <si>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</si>
  <si>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</si>
  <si>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</si>
  <si>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</si>
  <si>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Изменение стоимости основных фондов за счет их ввода в эксплуатацию</t>
  </si>
  <si>
    <t>5.1.2</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</si>
  <si>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</si>
  <si>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</si>
  <si>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</si>
  <si>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</si>
  <si>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</si>
  <si>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</si>
  <si>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</si>
  <si>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</si>
  <si>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</si>
  <si>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</si>
  <si>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 xml:space="preserve">Объём поднятой воды</t>
  </si>
  <si>
    <t>з</t>
  </si>
  <si>
    <t xml:space="preserve">Объём покупной воды</t>
  </si>
  <si>
    <t>и</t>
  </si>
  <si>
    <t xml:space="preserve">Объём воды, пропущенной через очистные сооружения</t>
  </si>
  <si>
    <t>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</si>
  <si>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</si>
  <si>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</si>
  <si>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</si>
  <si>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</si>
  <si>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10.2.1</t>
  </si>
  <si>
    <t xml:space="preserve">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</si>
  <si>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</si>
  <si>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</si>
  <si>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</si>
  <si>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</si>
  <si>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</si>
  <si>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</si>
  <si>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</si>
  <si>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</si>
  <si>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</si>
  <si>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</si>
  <si>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</si>
  <si>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</si>
  <si>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</si>
  <si>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</si>
  <si>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</si>
  <si>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</si>
  <si>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</si>
  <si>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</si>
  <si>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</si>
  <si>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</si>
  <si>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</si>
  <si>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</si>
  <si>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</si>
  <si>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</si>
  <si>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</si>
  <si>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10.3</t>
  </si>
  <si>
    <t xml:space="preserve">По нормативам потребления коммунальных услуг и нормативам потребления коммунальных ресурсов</t>
  </si>
  <si>
    <t>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</si>
  <si>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</si>
  <si>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</si>
  <si>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</si>
  <si>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</si>
  <si>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</si>
  <si>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</si>
  <si>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</si>
  <si>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</si>
  <si>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</si>
  <si>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</si>
  <si>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</si>
  <si>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</si>
  <si>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</si>
  <si>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</si>
  <si>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</si>
  <si>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</si>
  <si>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</si>
  <si>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</si>
  <si>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</si>
  <si>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</si>
  <si>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</si>
  <si>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</si>
  <si>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</si>
  <si>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 xml:space="preserve">Информация о показателях физического износа объектов теплоснабжения</t>
  </si>
  <si>
    <t>19.2</t>
  </si>
  <si>
    <t xml:space="preserve">Информация о показателях энергетической эффективности объектов теплоснабжения</t>
  </si>
  <si>
    <t>27/44</t>
  </si>
  <si>
    <t>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</si>
  <si>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</si>
  <si>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</si>
  <si>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</si>
  <si>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</si>
  <si>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</si>
  <si>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</si>
  <si>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</si>
  <si>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</si>
  <si>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</si>
  <si>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</si>
  <si>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</si>
  <si>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</si>
  <si>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</si>
  <si>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</si>
  <si>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</si>
  <si>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</si>
  <si>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</si>
  <si>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</si>
  <si>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</si>
  <si>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</si>
  <si>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</si>
  <si>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</si>
  <si>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</si>
  <si>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</si>
  <si>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 xml:space="preserve">АО "ГУ ЖКХ"</t>
  </si>
  <si>
    <t>5116000922</t>
  </si>
  <si>
    <t>511601001</t>
  </si>
  <si>
    <t xml:space="preserve">13-05-2009 00:00:00</t>
  </si>
  <si>
    <t>28445259</t>
  </si>
  <si>
    <t xml:space="preserve">АО "РАО ЭС Востока"</t>
  </si>
  <si>
    <t>2801133630</t>
  </si>
  <si>
    <t>272401001</t>
  </si>
  <si>
    <t xml:space="preserve">01-07-2008 00:00:00</t>
  </si>
  <si>
    <t>26361152</t>
  </si>
  <si>
    <t xml:space="preserve">АО "Санаторий Кульдур"</t>
  </si>
  <si>
    <t>7902004951</t>
  </si>
  <si>
    <t>790201001</t>
  </si>
  <si>
    <t xml:space="preserve">25-12-2003 00:00:00</t>
  </si>
  <si>
    <t>31196398</t>
  </si>
  <si>
    <t xml:space="preserve">ГП ЕАО "Ленинские тепловые сети"</t>
  </si>
  <si>
    <t>7904506185</t>
  </si>
  <si>
    <t>790401001</t>
  </si>
  <si>
    <t>31196407</t>
  </si>
  <si>
    <t xml:space="preserve">ГП ЕАО "Новый Дом"</t>
  </si>
  <si>
    <t>7904506192</t>
  </si>
  <si>
    <t>30847021</t>
  </si>
  <si>
    <t xml:space="preserve">ГП ЕАО "ОБЛЭНЕРГОРЕМОНТ ПЛЮС"</t>
  </si>
  <si>
    <t>7901547930</t>
  </si>
  <si>
    <t>790101001</t>
  </si>
  <si>
    <t xml:space="preserve">03-10-2016 00:00:00</t>
  </si>
  <si>
    <t>26361143</t>
  </si>
  <si>
    <t xml:space="preserve">ГП ЕАО "Облэнергоремонт"</t>
  </si>
  <si>
    <t>7901014080</t>
  </si>
  <si>
    <t xml:space="preserve">26-10-2010 00:00:00</t>
  </si>
  <si>
    <t>30350291</t>
  </si>
  <si>
    <t xml:space="preserve">ГП ЕАО "Ресурс"</t>
  </si>
  <si>
    <t>7904505914</t>
  </si>
  <si>
    <t xml:space="preserve">25-09-2015 00:00:00</t>
  </si>
  <si>
    <t>31214986</t>
  </si>
  <si>
    <t xml:space="preserve">ГП ЕАО "Тепловодснаб"</t>
  </si>
  <si>
    <t>7904506202</t>
  </si>
  <si>
    <t>790102001</t>
  </si>
  <si>
    <t xml:space="preserve">ДЕПАРТАМЕНТ ТАРИФОВ И ЦЕН ПРАВИТЕЛЬСТВА ЕВРЕЙСКОЙ АВТОНОМНОЙ ОБЛАСТИ</t>
  </si>
  <si>
    <t>7901101462</t>
  </si>
  <si>
    <t>31438353</t>
  </si>
  <si>
    <t xml:space="preserve">МУП "Кульдур"</t>
  </si>
  <si>
    <t>7902537170</t>
  </si>
  <si>
    <t xml:space="preserve">21-08-2020 00:00:00</t>
  </si>
  <si>
    <t>31465899</t>
  </si>
  <si>
    <t xml:space="preserve">МУП "Прогресс"</t>
  </si>
  <si>
    <t>7900000084</t>
  </si>
  <si>
    <t>790001001</t>
  </si>
  <si>
    <t xml:space="preserve">17-12-2020 00:00:00</t>
  </si>
  <si>
    <t>30349668</t>
  </si>
  <si>
    <t xml:space="preserve">МУП "Сервис"</t>
  </si>
  <si>
    <t>7904505921</t>
  </si>
  <si>
    <t xml:space="preserve">23-09-2015 00:00:00</t>
  </si>
  <si>
    <t>31443542</t>
  </si>
  <si>
    <t xml:space="preserve">МУП "Тепловодоканал"</t>
  </si>
  <si>
    <t>7902537205</t>
  </si>
  <si>
    <t xml:space="preserve">12-08-2020 00:00:00</t>
  </si>
  <si>
    <t>26412999</t>
  </si>
  <si>
    <t xml:space="preserve">МУП "Теплотехник"</t>
  </si>
  <si>
    <t>7904504364</t>
  </si>
  <si>
    <t xml:space="preserve">11-09-2006 00:00:00</t>
  </si>
  <si>
    <t>28878853</t>
  </si>
  <si>
    <t xml:space="preserve">МУП "Теплоэнерго"</t>
  </si>
  <si>
    <t>7905001370</t>
  </si>
  <si>
    <t>790501001</t>
  </si>
  <si>
    <t xml:space="preserve">01-01-2015 00:00:00</t>
  </si>
  <si>
    <t>27570232</t>
  </si>
  <si>
    <t xml:space="preserve">ОАО "РЖД"</t>
  </si>
  <si>
    <t>7708503727</t>
  </si>
  <si>
    <t>272102001</t>
  </si>
  <si>
    <t>26415206</t>
  </si>
  <si>
    <t xml:space="preserve">ОАО "РЖД" (ДТВ)</t>
  </si>
  <si>
    <t>790145003</t>
  </si>
  <si>
    <t xml:space="preserve">15-09-2009 00:00:00</t>
  </si>
  <si>
    <t>28129965</t>
  </si>
  <si>
    <t xml:space="preserve">ОГПОБУ "Сельскохозяйственный техникум"</t>
  </si>
  <si>
    <t>7904505390</t>
  </si>
  <si>
    <t xml:space="preserve">15-01-2013 00:00:00</t>
  </si>
  <si>
    <t>27908137</t>
  </si>
  <si>
    <t xml:space="preserve">ООО "Валдгейм ЖКХ"</t>
  </si>
  <si>
    <t>7906505162</t>
  </si>
  <si>
    <t>790601001</t>
  </si>
  <si>
    <t xml:space="preserve">15-07-2024 00:00:00</t>
  </si>
  <si>
    <t>27908554</t>
  </si>
  <si>
    <t xml:space="preserve">ООО "Валдгейм-Тепло"</t>
  </si>
  <si>
    <t>7906505123</t>
  </si>
  <si>
    <t>30363034</t>
  </si>
  <si>
    <t xml:space="preserve">ООО "Вектор"</t>
  </si>
  <si>
    <t>2724162088</t>
  </si>
  <si>
    <t>790301001</t>
  </si>
  <si>
    <t xml:space="preserve">27-07-2015 00:00:00</t>
  </si>
  <si>
    <t xml:space="preserve">26-02-2024 00:00:00</t>
  </si>
  <si>
    <t>27908257</t>
  </si>
  <si>
    <t xml:space="preserve">ООО "Дубовое ЖКХ"</t>
  </si>
  <si>
    <t>7906505116</t>
  </si>
  <si>
    <t xml:space="preserve">20-08-2012 00:00:00</t>
  </si>
  <si>
    <t>28823401</t>
  </si>
  <si>
    <t xml:space="preserve">ООО "Источник"</t>
  </si>
  <si>
    <t>7906504874</t>
  </si>
  <si>
    <t xml:space="preserve">16-04-2014 00:00:00</t>
  </si>
  <si>
    <t>26617241</t>
  </si>
  <si>
    <t xml:space="preserve">ООО "Комфорт"</t>
  </si>
  <si>
    <t>7903526975</t>
  </si>
  <si>
    <t xml:space="preserve">25-12-2007 00:00:00</t>
  </si>
  <si>
    <t>26361141</t>
  </si>
  <si>
    <t xml:space="preserve">ООО "Ремстройработ"</t>
  </si>
  <si>
    <t>7901001517</t>
  </si>
  <si>
    <t xml:space="preserve">13-12-1992 00:00:00</t>
  </si>
  <si>
    <t>30385070</t>
  </si>
  <si>
    <t xml:space="preserve">ООО "Сапсан плюс"</t>
  </si>
  <si>
    <t>7902528306</t>
  </si>
  <si>
    <t xml:space="preserve">02-09-2014 00:00:00</t>
  </si>
  <si>
    <t>26361168</t>
  </si>
  <si>
    <t xml:space="preserve">ООО "ТеплоВодоКаналРемонт"</t>
  </si>
  <si>
    <t>7903528041</t>
  </si>
  <si>
    <t xml:space="preserve">19-06-2007 00:00:00</t>
  </si>
  <si>
    <t>31153021</t>
  </si>
  <si>
    <t xml:space="preserve">ООО "Теплоресурс"</t>
  </si>
  <si>
    <t>7902536868</t>
  </si>
  <si>
    <t xml:space="preserve">18-06-2018 00:00:00</t>
  </si>
  <si>
    <t xml:space="preserve">15-01-2024 00:00:00</t>
  </si>
  <si>
    <t>30990287</t>
  </si>
  <si>
    <t xml:space="preserve">ООО "Теплоснабжение"</t>
  </si>
  <si>
    <t>7902536875</t>
  </si>
  <si>
    <t xml:space="preserve">28-09-2017 00:00:00</t>
  </si>
  <si>
    <t xml:space="preserve">11-09-2024 00:00:00</t>
  </si>
  <si>
    <t>26652727</t>
  </si>
  <si>
    <t xml:space="preserve">ООО "Универсал"</t>
  </si>
  <si>
    <t>7904505008</t>
  </si>
  <si>
    <t xml:space="preserve">27-09-2010 00:00:00</t>
  </si>
  <si>
    <t>31338606</t>
  </si>
  <si>
    <t xml:space="preserve">ООО "Экспресс Смидович"</t>
  </si>
  <si>
    <t>7903529800</t>
  </si>
  <si>
    <t>30874066</t>
  </si>
  <si>
    <t xml:space="preserve">ООО "Экспресс"</t>
  </si>
  <si>
    <t>2721228284</t>
  </si>
  <si>
    <t>272101001</t>
  </si>
  <si>
    <t xml:space="preserve">12-12-2016 00:00:00</t>
  </si>
  <si>
    <t>30810601</t>
  </si>
  <si>
    <t xml:space="preserve">ООО "Энергоресурс"</t>
  </si>
  <si>
    <t>7904506026</t>
  </si>
  <si>
    <t xml:space="preserve">01-05-2016 00:00:00</t>
  </si>
  <si>
    <t>26361162</t>
  </si>
  <si>
    <t xml:space="preserve">ООО "Южное ЖКХ"</t>
  </si>
  <si>
    <t>7903503784</t>
  </si>
  <si>
    <t xml:space="preserve">17-12-2004 00:00:00</t>
  </si>
  <si>
    <t>28435468</t>
  </si>
  <si>
    <t xml:space="preserve">ООО Комтехсервис</t>
  </si>
  <si>
    <t>7902528017</t>
  </si>
  <si>
    <t xml:space="preserve">29-11-2013 00:00:00</t>
  </si>
  <si>
    <t>26360994</t>
  </si>
  <si>
    <t xml:space="preserve">Путевая машинная станция № 219 Дальневосточной дирекции по ремонту пути - структурное подразделение ДВОСТ ж.д. - филиал ОАО "РЖД"</t>
  </si>
  <si>
    <t>272231005</t>
  </si>
  <si>
    <t>26361149</t>
  </si>
  <si>
    <t xml:space="preserve">ФГБПОУ "Известковское СУВУ"</t>
  </si>
  <si>
    <t>7902001647</t>
  </si>
  <si>
    <t xml:space="preserve">15-12-2002 00:00:00</t>
  </si>
  <si>
    <t xml:space="preserve">17-06-2024 00:00:00</t>
  </si>
  <si>
    <t>31408099</t>
  </si>
  <si>
    <t xml:space="preserve">ФГБПОУ "КАРГАТСКОЕ СУВУ"</t>
  </si>
  <si>
    <t>5423101288</t>
  </si>
  <si>
    <t>542301001</t>
  </si>
  <si>
    <t>30903763</t>
  </si>
  <si>
    <t xml:space="preserve">ФГБУ "ЦЖКУ" МИНОБОРОНЫ РОССИИ</t>
  </si>
  <si>
    <t>7729314745</t>
  </si>
  <si>
    <t>770101001</t>
  </si>
  <si>
    <t>30926365</t>
  </si>
  <si>
    <t xml:space="preserve">ФГБУ «ЦЖКУ» МО РФ (Филиал ФГБУ «ЦЖКУ» МО РФ по ВВО)</t>
  </si>
  <si>
    <t>272443001</t>
  </si>
  <si>
    <t xml:space="preserve">20-03-2017 00:00:00</t>
  </si>
  <si>
    <t>31310642</t>
  </si>
  <si>
    <t xml:space="preserve">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</si>
  <si>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</si>
  <si>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</si>
  <si>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</si>
  <si>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 xml:space="preserve">ФКУ "Биробиджанская воспитательная колония"  УФСИН России по ЕАО</t>
  </si>
  <si>
    <t>7901013872</t>
  </si>
  <si>
    <t xml:space="preserve">29-07-1999 00:00:00</t>
  </si>
  <si>
    <t>26361161</t>
  </si>
  <si>
    <t xml:space="preserve">ФКУ Колония-поселение № 4 УФСИН России по ЕАО</t>
  </si>
  <si>
    <t>7903003407</t>
  </si>
  <si>
    <t xml:space="preserve">20-07-2001 00:00:00</t>
  </si>
  <si>
    <t>26761819</t>
  </si>
  <si>
    <t xml:space="preserve">Филиал ОАО "РЭУ "Хабаровский"</t>
  </si>
  <si>
    <t>7714783092</t>
  </si>
  <si>
    <t>272343002</t>
  </si>
  <si>
    <t>28159257</t>
  </si>
  <si>
    <t xml:space="preserve">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</si>
  <si>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</si>
  <si>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 xml:space="preserve">01-04-2013 00:00:00</t>
  </si>
  <si>
    <t>31310779</t>
  </si>
  <si>
    <t xml:space="preserve">ИП Лермонтов Александр Сергеевич</t>
  </si>
  <si>
    <t>790203128980</t>
  </si>
  <si>
    <t>31451018</t>
  </si>
  <si>
    <t xml:space="preserve">МУП "Аква Ресурс"</t>
  </si>
  <si>
    <t>7902537195</t>
  </si>
  <si>
    <t xml:space="preserve">27-05-2024 00:00:00</t>
  </si>
  <si>
    <t>26375648</t>
  </si>
  <si>
    <t xml:space="preserve">МУП "Водоканал"</t>
  </si>
  <si>
    <t>7901003190</t>
  </si>
  <si>
    <t xml:space="preserve">24-10-2002 00:00:00</t>
  </si>
  <si>
    <t>31004415</t>
  </si>
  <si>
    <t xml:space="preserve">МУП "Единый заказчик" МО "Теплоозерское городское поселение"</t>
  </si>
  <si>
    <t>7902004849</t>
  </si>
  <si>
    <t xml:space="preserve">08-12-2017 00:00:00</t>
  </si>
  <si>
    <t xml:space="preserve">04-04-2024 00:00:00</t>
  </si>
  <si>
    <t>31500234</t>
  </si>
  <si>
    <t xml:space="preserve">МУП "РК"</t>
  </si>
  <si>
    <t>7900001680</t>
  </si>
  <si>
    <t>31543177</t>
  </si>
  <si>
    <t xml:space="preserve">ООО "Акварель"</t>
  </si>
  <si>
    <t>2723215178</t>
  </si>
  <si>
    <t>272301001</t>
  </si>
  <si>
    <t>30952579</t>
  </si>
  <si>
    <t xml:space="preserve">ООО "Водоканал"</t>
  </si>
  <si>
    <t>7905001677</t>
  </si>
  <si>
    <t xml:space="preserve">09-08-2017 00:00:00</t>
  </si>
  <si>
    <t xml:space="preserve">11-01-2024 00:00:00</t>
  </si>
  <si>
    <t>28139980</t>
  </si>
  <si>
    <t xml:space="preserve">ООО "Горное"</t>
  </si>
  <si>
    <t>7902525707</t>
  </si>
  <si>
    <t xml:space="preserve">28-01-2013 00:00:00</t>
  </si>
  <si>
    <t>31352540</t>
  </si>
  <si>
    <t xml:space="preserve">ООО "Источник ДВ"</t>
  </si>
  <si>
    <t>2721243765</t>
  </si>
  <si>
    <t>272124376</t>
  </si>
  <si>
    <t>31281247</t>
  </si>
  <si>
    <t xml:space="preserve">ООО "Луч"</t>
  </si>
  <si>
    <t>7902527976</t>
  </si>
  <si>
    <t xml:space="preserve">22-01-2024 00:00:00</t>
  </si>
  <si>
    <t>30933881</t>
  </si>
  <si>
    <t xml:space="preserve">ООО "Прометей"</t>
  </si>
  <si>
    <t>7903528595</t>
  </si>
  <si>
    <t xml:space="preserve">07-02-2013 00:00:00</t>
  </si>
  <si>
    <t>28129787</t>
  </si>
  <si>
    <t xml:space="preserve">ООО "СВЕТОЧ"</t>
  </si>
  <si>
    <t>2721190640</t>
  </si>
  <si>
    <t xml:space="preserve">13-03-2013 00:00:00</t>
  </si>
  <si>
    <t>31454466</t>
  </si>
  <si>
    <t xml:space="preserve">ООО "Сервис Строй"</t>
  </si>
  <si>
    <t>2723207843</t>
  </si>
  <si>
    <t xml:space="preserve">14-11-2019 00:00:00</t>
  </si>
  <si>
    <t>31449151</t>
  </si>
  <si>
    <t xml:space="preserve">ООО "ТДМ"</t>
  </si>
  <si>
    <t>7903529976</t>
  </si>
  <si>
    <t xml:space="preserve">04-06-2020 00:00:00</t>
  </si>
  <si>
    <t xml:space="preserve">24-06-2024 00:00:00</t>
  </si>
  <si>
    <t>31319417</t>
  </si>
  <si>
    <t xml:space="preserve">ООО "УК Луч"</t>
  </si>
  <si>
    <t>7901549092</t>
  </si>
  <si>
    <t>28872748</t>
  </si>
  <si>
    <t xml:space="preserve">ФКУ "ЛИУ № 2 УФСИН России по ЕАО"</t>
  </si>
  <si>
    <t>7902004479</t>
  </si>
  <si>
    <t xml:space="preserve">21-11-2014 00:00:00</t>
  </si>
  <si>
    <t>28797758</t>
  </si>
  <si>
    <t xml:space="preserve">АУ "Чистое село" Еврейской автономной области</t>
  </si>
  <si>
    <t>7904504903</t>
  </si>
  <si>
    <t>31481922</t>
  </si>
  <si>
    <t xml:space="preserve">ООО "Дом-Строй"</t>
  </si>
  <si>
    <t>7901530310</t>
  </si>
  <si>
    <t>30856622</t>
  </si>
  <si>
    <t xml:space="preserve">ООО "Полигон"</t>
  </si>
  <si>
    <t>2723155602</t>
  </si>
  <si>
    <t xml:space="preserve">10-10-2016 00:00:00</t>
  </si>
  <si>
    <t>31481596</t>
  </si>
  <si>
    <t>7906505469</t>
  </si>
  <si>
    <t>31223091</t>
  </si>
  <si>
    <t>NSRF</t>
  </si>
  <si>
    <t>MR_NAME</t>
  </si>
  <si>
    <t>OKTMO_MR_NAME</t>
  </si>
  <si>
    <t>MO_NAME</t>
  </si>
  <si>
    <t>OKTMO_NAME</t>
  </si>
  <si>
    <t>TYPE</t>
  </si>
  <si>
    <t>MR_ID</t>
  </si>
  <si>
    <t xml:space="preserve">Биробиджанский муниципальный район</t>
  </si>
  <si>
    <t>99605000</t>
  </si>
  <si>
    <t xml:space="preserve">муниципальный район</t>
  </si>
  <si>
    <t>Бирофельдское</t>
  </si>
  <si>
    <t>99605405</t>
  </si>
  <si>
    <t xml:space="preserve">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</si>
  <si>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</si>
  <si>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</si>
  <si>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</si>
  <si>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</si>
  <si>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</si>
  <si>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</si>
  <si>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</si>
  <si>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</si>
  <si>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</si>
  <si>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</si>
  <si>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 xml:space="preserve">городской округ</t>
  </si>
  <si>
    <t xml:space="preserve">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</si>
  <si>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</si>
  <si>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</si>
  <si>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</si>
  <si>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</si>
  <si>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</si>
  <si>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</si>
  <si>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</si>
  <si>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</si>
  <si>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</si>
  <si>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</si>
  <si>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</si>
  <si>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 xml:space="preserve">Облученский муниципальный район</t>
  </si>
  <si>
    <t>99620000</t>
  </si>
  <si>
    <t>Бираканское</t>
  </si>
  <si>
    <t>99620156</t>
  </si>
  <si>
    <t xml:space="preserve">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</si>
  <si>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</si>
  <si>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</si>
  <si>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</si>
  <si>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</si>
  <si>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</si>
  <si>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</si>
  <si>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</si>
  <si>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</si>
  <si>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 xml:space="preserve">городское поселение, в состав которого входит город</t>
  </si>
  <si>
    <t>Пашковское</t>
  </si>
  <si>
    <t>99620440</t>
  </si>
  <si>
    <t>Теплоозерское</t>
  </si>
  <si>
    <t>99620170</t>
  </si>
  <si>
    <t xml:space="preserve">Октябрьский муниципальный район</t>
  </si>
  <si>
    <t>99625000</t>
  </si>
  <si>
    <t>Амурзетское</t>
  </si>
  <si>
    <t>99625405</t>
  </si>
  <si>
    <t>Нагибовское</t>
  </si>
  <si>
    <t>99625435</t>
  </si>
  <si>
    <t>Полевское</t>
  </si>
  <si>
    <t>99625440</t>
  </si>
  <si>
    <t xml:space="preserve">Смидовичский муниципальный район</t>
  </si>
  <si>
    <t>99630000</t>
  </si>
  <si>
    <t>Волочаевское</t>
  </si>
  <si>
    <t>99630155</t>
  </si>
  <si>
    <t xml:space="preserve">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</si>
  <si>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</si>
  <si>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</si>
  <si>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</si>
  <si>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</si>
  <si>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</si>
  <si>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</si>
  <si>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</si>
  <si>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</si>
  <si>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</si>
  <si>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</si>
  <si>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</si>
  <si>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</si>
  <si>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</si>
  <si>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</si>
  <si>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</si>
  <si>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</si>
  <si>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</si>
  <si>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</si>
  <si>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 xml:space="preserve">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</si>
  <si>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</si>
  <si>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</si>
  <si>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 xml:space="preserve">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</si>
  <si>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</si>
  <si>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 xml:space="preserve">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</si>
  <si>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</si>
  <si>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 xml:space="preserve">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</si>
  <si>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</si>
  <si>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</si>
  <si>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 xml:space="preserve">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</si>
  <si>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 xml:space="preserve">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</si>
  <si>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 xml:space="preserve">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</si>
  <si>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</si>
  <si>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 xml:space="preserve">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</si>
  <si>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</si>
  <si>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</si>
  <si>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</si>
  <si>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</si>
  <si>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</si>
  <si>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</si>
  <si>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</si>
  <si>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</si>
  <si>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</si>
  <si>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</si>
  <si>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</si>
  <si>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</si>
  <si>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</si>
  <si>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</si>
  <si>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</si>
  <si>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</si>
  <si>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</si>
  <si>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</si>
  <si>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</si>
  <si>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</si>
  <si>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</si>
  <si>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</si>
  <si>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</si>
  <si>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</si>
  <si>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</si>
  <si>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</si>
  <si>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</si>
  <si>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</si>
  <si>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</si>
  <si>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</si>
  <si>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</si>
  <si>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</si>
  <si>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</si>
  <si>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</si>
  <si>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</si>
  <si>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 xml:space="preserve">Расчетные листы</t>
  </si>
  <si>
    <t xml:space="preserve">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</si>
  <si>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</si>
  <si>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</si>
  <si>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</si>
  <si>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</si>
  <si>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</si>
  <si>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</si>
  <si>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</si>
  <si>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</si>
  <si>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</si>
  <si>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</si>
  <si>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</si>
  <si>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</si>
  <si>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</si>
  <si>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</si>
  <si>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</si>
  <si>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</si>
  <si>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</si>
  <si>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</si>
  <si>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</si>
  <si>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</si>
  <si>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</si>
  <si>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</si>
  <si>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</si>
  <si>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</si>
  <si>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</si>
  <si>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</si>
  <si>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</si>
  <si>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</si>
  <si>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</si>
  <si>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</si>
  <si>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</si>
  <si>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</si>
  <si>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</si>
  <si>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</si>
  <si>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</si>
  <si>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</si>
  <si>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</si>
  <si>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</si>
  <si>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</si>
  <si>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</si>
  <si>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</si>
  <si>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</si>
  <si>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</si>
  <si>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</si>
  <si>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</si>
  <si>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</si>
  <si>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</si>
  <si>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</si>
  <si>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</si>
  <si>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</si>
  <si>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</si>
  <si>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</si>
  <si>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</si>
  <si>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</si>
  <si>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</si>
  <si>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</si>
  <si>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</si>
  <si>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</si>
  <si>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</si>
  <si>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</si>
  <si>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</si>
  <si>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</si>
  <si>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</si>
  <si>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</si>
  <si>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</si>
  <si>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</si>
  <si>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</si>
  <si>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</si>
  <si>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</si>
  <si>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</si>
  <si>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</si>
  <si>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</si>
  <si>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</si>
  <si>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</si>
  <si>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</si>
  <si>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</si>
  <si>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</si>
  <si>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</si>
  <si>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</si>
  <si>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</si>
  <si>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</si>
  <si>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</si>
  <si>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</si>
  <si>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</si>
  <si>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</si>
  <si>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</si>
  <si>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</si>
  <si>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</si>
  <si>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</si>
  <si>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</si>
  <si>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</si>
  <si>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</si>
  <si>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</si>
  <si>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</si>
  <si>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</si>
  <si>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</si>
  <si>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</si>
  <si>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</si>
  <si>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</si>
  <si>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</si>
  <si>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</si>
  <si>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</si>
  <si>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</si>
  <si>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</si>
  <si>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</si>
  <si>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</si>
  <si>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</si>
  <si>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</si>
  <si>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</si>
  <si>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</si>
  <si>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</si>
  <si>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</si>
  <si>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</si>
  <si>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</si>
  <si>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</si>
  <si>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</si>
  <si>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</si>
  <si>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</si>
  <si>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</si>
  <si>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</si>
  <si>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</si>
  <si>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</si>
  <si>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</si>
  <si>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</si>
  <si>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</si>
  <si>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</si>
  <si>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</si>
  <si>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</si>
  <si>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</si>
  <si>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</si>
  <si>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</si>
  <si>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</si>
  <si>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</si>
  <si>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</si>
  <si>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</si>
  <si>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</si>
  <si>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</si>
  <si>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</si>
  <si>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</si>
  <si>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</si>
  <si>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</si>
  <si>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</si>
  <si>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</si>
  <si>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</si>
  <si>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</si>
  <si>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</si>
  <si>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</si>
  <si>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</si>
  <si>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</si>
  <si>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</si>
  <si>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</si>
  <si>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</si>
  <si>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</si>
  <si>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</si>
  <si>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</si>
  <si>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</si>
  <si>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</si>
  <si>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</si>
  <si>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Инструкция</t>
  </si>
  <si>
    <t xml:space="preserve">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</si>
</sst>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11">
    <numFmt numFmtId="501" formatCode="000000"/>
    <numFmt numFmtId="502" formatCode="#,##0.000"/>
    <numFmt numFmtId="503" formatCode="#,##0.0000"/>
    <numFmt numFmtId="504" formatCode="dd\.mm\.yyyy"/>
    <numFmt numFmtId="505" formatCode="h:mm;@"/>
    <numFmt numFmtId="506" formatCode="_-* #,##0.00\ _₽_-;\-* #,##0.00\ _₽_-;_-* &quot;-&quot;??\ _₽_-;_-@_-"/>
    <numFmt numFmtId="507" formatCode="_-* #,##0\ _₽_-;\-* #,##0\ _₽_-;_-* &quot;-&quot;\ _₽_-;_-@_-"/>
    <numFmt numFmtId="508" formatCode="_-* #,##0.00\ &quot;₽&quot;_-;\-* #,##0.00\ &quot;₽&quot;_-;_-* &quot;-&quot;??\ &quot;₽&quot;_-;_-@_-"/>
    <numFmt numFmtId="509" formatCode="_-* #,##0\ &quot;₽&quot;_-;\-* #,##0\ &quot;₽&quot;_-;_-* &quot;-&quot;\ &quot;₽&quot;_-;_-@_-"/>
    <numFmt numFmtId="510" formatCode="_-* #,##0.00[$€-1]_-;\-* #,##0.00[$€-1]_-;_-* &quot;-&quot;??[$€-1]_-"/>
    <numFmt numFmtId="511" formatCode="#,##0.0"/>
  </numFmts>
  <fonts count="128">
    <font>
      <sz val="9.000000"/>
      <color indexed="64"/>
      <name val="Tahoma"/>
    </font>
    <font>
      <sz val="11.000000"/>
      <color theme="1"/>
      <name val="Calibri"/>
      <scheme val="minor"/>
    </font>
    <font>
      <sz val="11.000000"/>
      <color theme="0"/>
      <name val="Calibri"/>
      <scheme val="minor"/>
    </font>
    <font>
      <sz val="11.000000"/>
      <color rgb="FF9C0006"/>
      <name val="Calibri"/>
      <scheme val="minor"/>
    </font>
    <font>
      <b/>
      <sz val="11.000000"/>
      <color rgb="FFFA7D00"/>
      <name val="Calibri"/>
      <scheme val="minor"/>
    </font>
    <font>
      <b/>
      <sz val="11.000000"/>
      <color theme="0"/>
      <name val="Calibri"/>
      <scheme val="minor"/>
    </font>
    <font>
      <sz val="11.000000"/>
      <color indexed="64"/>
      <name val="Calibri"/>
    </font>
    <font>
      <i/>
      <sz val="11.000000"/>
      <color rgb="FF7F7F7F"/>
      <name val="Calibri"/>
      <scheme val="minor"/>
    </font>
    <font>
      <sz val="11.000000"/>
      <color rgb="FF006100"/>
      <name val="Calibri"/>
      <scheme val="minor"/>
    </font>
    <font>
      <b/>
      <sz val="15.000000"/>
      <color theme="3"/>
      <name val="Calibri"/>
      <scheme val="minor"/>
    </font>
    <font>
      <b/>
      <sz val="13.000000"/>
      <color theme="3"/>
      <name val="Calibri"/>
      <scheme val="minor"/>
    </font>
    <font>
      <b/>
      <sz val="11.000000"/>
      <color theme="3"/>
      <name val="Calibri"/>
      <scheme val="minor"/>
    </font>
    <font>
      <sz val="11.000000"/>
      <color rgb="FF3F3F76"/>
      <name val="Calibri"/>
      <scheme val="minor"/>
    </font>
    <font>
      <sz val="11.000000"/>
      <color rgb="FFFA7D00"/>
      <name val="Calibri"/>
      <scheme val="minor"/>
    </font>
    <font>
      <sz val="11.000000"/>
      <color rgb="FF9C5700"/>
      <name val="Calibri"/>
      <scheme val="minor"/>
    </font>
    <font>
      <sz val="12.000000"/>
      <color auto="1"/>
      <name val="Arial"/>
    </font>
    <font>
      <b/>
      <sz val="11.000000"/>
      <color rgb="FF3F3F3F"/>
      <name val="Calibri"/>
      <scheme val="minor"/>
    </font>
    <font>
      <sz val="18.000000"/>
      <color theme="3"/>
      <name val="Cambria"/>
      <scheme val="major"/>
    </font>
    <font>
      <b/>
      <sz val="11.000000"/>
      <color theme="1"/>
      <name val="Calibri"/>
      <scheme val="minor"/>
    </font>
    <font>
      <sz val="11.000000"/>
      <color indexed="2"/>
      <name val="Calibri"/>
      <scheme val="minor"/>
    </font>
    <font>
      <sz val="10.000000"/>
      <color auto="1"/>
      <name val="Helv"/>
    </font>
    <font>
      <sz val="8.000000"/>
      <color auto="1"/>
      <name val="Arial"/>
    </font>
    <font>
      <sz val="9.000000"/>
      <color auto="1"/>
      <name val="Tahoma"/>
    </font>
    <font>
      <sz val="8.000000"/>
      <color auto="1"/>
      <name val="Palatino"/>
    </font>
    <font>
      <u/>
      <sz val="10.000000"/>
      <color indexed="20"/>
      <name val="Arial Cyr"/>
    </font>
    <font>
      <u/>
      <sz val="10.000000"/>
      <color indexed="4"/>
      <name val="Arial Cyr"/>
    </font>
    <font>
      <sz val="8.000000"/>
      <color auto="1"/>
      <name val="Helv"/>
    </font>
    <font>
      <u/>
      <sz val="9.000000"/>
      <color theme="10"/>
      <name val="Tahoma"/>
    </font>
    <font>
      <sz val="10.000000"/>
      <color auto="1"/>
      <name val="Arial"/>
    </font>
    <font>
      <sz val="10.000000"/>
      <color auto="1"/>
      <name val="Arial Cyr"/>
    </font>
    <font>
      <u/>
      <sz val="9.000000"/>
      <color theme="11"/>
      <name val="Tahoma"/>
    </font>
    <font>
      <sz val="11.000000"/>
      <color indexed="64"/>
      <name val="Calibri"/>
    </font>
    <font>
      <sz val="9.000000"/>
      <color indexed="65"/>
      <name val="Tahoma"/>
    </font>
    <font>
      <sz val="9.000000"/>
      <color rgb="FFCC0000"/>
      <name val="Tahoma"/>
    </font>
    <font>
      <sz val="16.000000"/>
      <color auto="1"/>
      <name val="Tahoma"/>
    </font>
    <font>
      <sz val="16.000000"/>
      <color indexed="65"/>
      <name val="Tahoma"/>
    </font>
    <font>
      <sz val="9.000000"/>
      <color rgb="FFBCBCBC"/>
      <name val="Tahoma"/>
    </font>
    <font>
      <sz val="11.000000"/>
      <color rgb="FFBCBCBC"/>
      <name val="Wingdings 2"/>
    </font>
    <font>
      <b/>
      <u/>
      <sz val="9.000000"/>
      <color auto="1"/>
      <name val="Tahoma"/>
    </font>
    <font>
      <sz val="11.000000"/>
      <color auto="1"/>
      <name val="Webdings2"/>
    </font>
    <font>
      <sz val="9.000000"/>
      <color indexed="18"/>
      <name val="Tahoma"/>
    </font>
    <font>
      <b/>
      <sz val="11.000000"/>
      <color indexed="64"/>
      <name val="Calibri"/>
    </font>
    <font>
      <sz val="11.000000"/>
      <color auto="1"/>
      <name val="Wingdings 2"/>
    </font>
    <font>
      <b/>
      <sz val="9.000000"/>
      <color indexed="65"/>
      <name val="Tahoma"/>
    </font>
    <font>
      <b/>
      <u/>
      <sz val="9.000000"/>
      <color indexed="18"/>
      <name val="Tahoma"/>
    </font>
    <font>
      <sz val="8.000000"/>
      <color auto="1"/>
      <name val="Tahoma"/>
    </font>
    <font>
      <sz val="10.000000"/>
      <color auto="1"/>
      <name val="Tahoma"/>
    </font>
    <font>
      <sz val="9.000000"/>
      <color theme="0"/>
      <name val="Tahoma"/>
    </font>
    <font>
      <sz val="1.000000"/>
      <color theme="0"/>
      <name val="Tahoma"/>
    </font>
    <font>
      <b/>
      <sz val="1.000000"/>
      <color theme="0"/>
      <name val="Calibri"/>
    </font>
    <font>
      <b/>
      <sz val="9.000000"/>
      <color auto="1"/>
      <name val="Tahoma"/>
    </font>
    <font>
      <sz val="8.000000"/>
      <color rgb="FFBCBCBC"/>
      <name val="Tahoma"/>
    </font>
    <font>
      <sz val="12.000000"/>
      <color indexed="64"/>
      <name val="Tahoma"/>
    </font>
    <font>
      <u/>
      <sz val="9.000000"/>
      <color indexed="62"/>
      <name val="Tahoma"/>
    </font>
    <font>
      <sz val="9.000000"/>
      <color indexed="2"/>
      <name val="Tahoma"/>
    </font>
    <font>
      <sz val="5.000000"/>
      <color indexed="2"/>
      <name val="Tahoma"/>
    </font>
    <font>
      <sz val="11.000000"/>
      <color theme="0"/>
      <name val="Wingdings 2"/>
    </font>
    <font>
      <sz val="5.000000"/>
      <color theme="0"/>
      <name val="Tahoma"/>
    </font>
    <font>
      <sz val="3.000000"/>
      <color indexed="65"/>
      <name val="Tahoma"/>
    </font>
    <font>
      <sz val="3.000000"/>
      <color rgb="FFCC0000"/>
      <name val="Tahoma"/>
    </font>
    <font>
      <sz val="3.000000"/>
      <color auto="1"/>
      <name val="Tahoma"/>
    </font>
    <font>
      <sz val="3.000000"/>
      <color indexed="64"/>
      <name val="Tahoma"/>
    </font>
    <font>
      <sz val="3.000000"/>
      <color indexed="60"/>
      <name val="Tahoma"/>
    </font>
    <font>
      <sz val="1.000000"/>
      <color indexed="65"/>
      <name val="Tahoma"/>
    </font>
    <font>
      <sz val="18.000000"/>
      <color auto="1"/>
      <name val="Tahoma"/>
    </font>
    <font>
      <sz val="18.000000"/>
      <color indexed="64"/>
      <name val="Tahoma"/>
    </font>
    <font>
      <sz val="11.000000"/>
      <color indexed="64"/>
      <name val="Tahoma"/>
    </font>
    <font>
      <sz val="1.000000"/>
      <color indexed="64"/>
      <name val="Tahoma"/>
    </font>
    <font>
      <sz val="15.000000"/>
      <color indexed="64"/>
      <name val="Tahoma"/>
    </font>
    <font>
      <sz val="11.000000"/>
      <color theme="0"/>
      <name val="Webdings2"/>
    </font>
    <font>
      <u/>
      <sz val="1.000000"/>
      <color indexed="62"/>
      <name val="Tahoma"/>
    </font>
    <font>
      <sz val="15.000000"/>
      <color auto="1"/>
      <name val="Tahoma"/>
    </font>
    <font>
      <sz val="1.000000"/>
      <color auto="1"/>
      <name val="Tahoma"/>
    </font>
    <font>
      <b/>
      <sz val="9.000000"/>
      <color indexed="18"/>
      <name val="Tahoma"/>
    </font>
    <font>
      <sz val="12.000000"/>
      <color theme="0"/>
      <name val="Tahoma"/>
    </font>
    <font>
      <sz val="9.000000"/>
      <color theme="1"/>
      <name val="Tahoma"/>
    </font>
    <font>
      <sz val="9.000000"/>
      <color indexed="30"/>
      <name val="Tahoma"/>
    </font>
    <font>
      <b/>
      <sz val="10.000000"/>
      <color theme="1"/>
      <name val="Tahoma"/>
    </font>
    <font>
      <sz val="10.000000"/>
      <color theme="1"/>
      <name val="Tahoma"/>
    </font>
    <font>
      <sz val="3.000000"/>
      <color rgb="FFBCBCBC"/>
      <name val="Tahoma"/>
    </font>
    <font>
      <sz val="1.000000"/>
      <color rgb="FFBCBCBC"/>
      <name val="Tahoma"/>
    </font>
    <font>
      <sz val="12.000000"/>
      <color auto="1"/>
      <name val="Marlett"/>
    </font>
    <font>
      <sz val="9.000000"/>
      <color rgb="FFBCBCBC"/>
      <name val="Wingdings 2"/>
    </font>
    <font>
      <sz val="12.000000"/>
      <color auto="1"/>
      <name val="Tahoma"/>
    </font>
    <font>
      <sz val="15.000000"/>
      <color theme="0"/>
      <name val="Tahoma"/>
    </font>
    <font>
      <sz val="1.000000"/>
      <color indexed="2"/>
      <name val="Tahoma"/>
    </font>
    <font>
      <b/>
      <sz val="11.000000"/>
      <color theme="0"/>
      <name val="Calibri"/>
    </font>
    <font>
      <sz val="11.000000"/>
      <color theme="0"/>
      <name val="Tahoma"/>
    </font>
    <font>
      <sz val="3.000000"/>
      <color theme="0"/>
      <name val="Tahoma"/>
    </font>
    <font>
      <b/>
      <sz val="3.000000"/>
      <color auto="1"/>
      <name val="Tahoma"/>
    </font>
    <font>
      <b/>
      <sz val="9.000000"/>
      <color rgb="FF0070C0"/>
      <name val="Tahoma"/>
    </font>
    <font>
      <sz val="7.000000"/>
      <color auto="1"/>
      <name val="Tahoma"/>
    </font>
    <font>
      <sz val="7.000000"/>
      <color indexed="65"/>
      <name val="Tahoma"/>
    </font>
    <font>
      <sz val="7.000000"/>
      <color theme="0" tint="-0.5"/>
      <name val="Tahoma"/>
    </font>
    <font>
      <sz val="8.000000"/>
      <color theme="0"/>
      <name val="Tahoma"/>
    </font>
    <font>
      <sz val="7.000000"/>
      <color indexed="64"/>
      <name val="Tahoma"/>
    </font>
    <font>
      <b/>
      <sz val="9.000000"/>
      <color theme="0"/>
      <name val="Tahoma"/>
    </font>
    <font>
      <b/>
      <sz val="1.000000"/>
      <color theme="0"/>
      <name val="Tahoma"/>
    </font>
    <font>
      <sz val="19.000000"/>
      <color theme="0"/>
      <name val="Tahoma"/>
    </font>
    <font>
      <sz val="8.000000"/>
      <color indexed="65"/>
      <name val="Tahoma"/>
    </font>
    <font>
      <b/>
      <sz val="1.000000"/>
      <color auto="1"/>
      <name val="Tahoma"/>
    </font>
    <font>
      <b/>
      <sz val="1.000000"/>
      <color indexed="18"/>
      <name val="Tahoma"/>
    </font>
    <font>
      <b/>
      <sz val="10.000000"/>
      <color auto="1"/>
      <name val="Tahoma"/>
    </font>
    <font>
      <b/>
      <sz val="9.000000"/>
      <color indexed="64"/>
      <name val="Tahoma"/>
    </font>
    <font>
      <sz val="10.000000"/>
      <color indexed="64"/>
      <name val="Arial"/>
    </font>
    <font>
      <sz val="8.000000"/>
      <color indexed="18"/>
      <name val="Tahoma"/>
    </font>
    <font>
      <sz val="1.000000"/>
      <color auto="1"/>
      <name val="Webdings2"/>
    </font>
    <font>
      <sz val="1.000000"/>
      <color theme="0"/>
      <name val="Webdings2"/>
    </font>
    <font>
      <b/>
      <sz val="9.000000"/>
      <color auto="1"/>
      <name val="Calibri"/>
    </font>
    <font>
      <sz val="1.000000"/>
      <color indexed="18"/>
      <name val="Tahoma"/>
    </font>
    <font>
      <sz val="9.000000"/>
      <color theme="0"/>
      <name val="Webdings2"/>
    </font>
    <font>
      <sz val="1.000000"/>
      <color theme="0"/>
      <name val="Wingdings 2"/>
    </font>
    <font>
      <sz val="18.000000"/>
      <color theme="0"/>
      <name val="Tahoma"/>
    </font>
    <font>
      <sz val="9.000000"/>
      <color auto="1"/>
      <name val="Wingdings 2"/>
    </font>
    <font>
      <sz val="9.000000"/>
      <color indexed="65"/>
      <name val="Wingdings 2"/>
    </font>
    <font>
      <b/>
      <u/>
      <sz val="11.000000"/>
      <color indexed="4"/>
      <name val="Tahoma"/>
    </font>
    <font>
      <sz val="11.000000"/>
      <color indexed="65"/>
      <name val="Tahoma"/>
    </font>
    <font>
      <u/>
      <sz val="20.000000"/>
      <color indexed="56"/>
      <name val="Tahoma"/>
    </font>
    <font>
      <b/>
      <sz val="10.000000"/>
      <color indexed="64"/>
      <name val="Tahoma"/>
    </font>
    <font>
      <sz val="11.000000"/>
      <color indexed="64"/>
      <name val="Marlett"/>
    </font>
    <font>
      <sz val="10.000000"/>
      <color indexed="64"/>
      <name val="Tahoma"/>
    </font>
    <font>
      <sz val="14.000000"/>
      <color rgb="FFBCBCBC"/>
      <name val="Calibri"/>
    </font>
    <font>
      <sz val="9.000000"/>
      <color indexed="62"/>
      <name val="Tahoma"/>
    </font>
    <font>
      <b/>
      <sz val="8.000000"/>
      <color indexed="22"/>
      <name val="Wingdings 2"/>
    </font>
    <font>
      <u/>
      <sz val="9.000000"/>
      <color indexed="18"/>
      <name val="Tahoma"/>
    </font>
    <font>
      <b/>
      <sz val="8.000000"/>
      <color theme="0"/>
      <name val="Wingdings 2"/>
    </font>
    <font>
      <b/>
      <sz val="9.000000"/>
      <color rgb="FFCC0000"/>
      <name val="Tahoma"/>
    </font>
    <font>
      <u/>
      <sz val="9.000000"/>
      <color auto="1"/>
      <name val="Tahoma"/>
    </font>
  </fonts>
  <fills count="58">
    <fill>
      <patternFill patternType="none"/>
    </fill>
    <fill>
      <patternFill patternType="gray125"/>
    </fill>
    <fill>
      <patternFill patternType="solid">
        <fgColor theme="4" tint="0.80000000000000004"/>
        <bgColor theme="4" tint="0.80000000000000004"/>
      </patternFill>
    </fill>
    <fill>
      <patternFill patternType="solid">
        <fgColor theme="5" tint="0.80000000000000004"/>
        <bgColor theme="5" tint="0.80000000000000004"/>
      </patternFill>
    </fill>
    <fill>
      <patternFill patternType="solid">
        <fgColor theme="6" tint="0.80000000000000004"/>
        <bgColor theme="6" tint="0.80000000000000004"/>
      </patternFill>
    </fill>
    <fill>
      <patternFill patternType="solid">
        <fgColor theme="7" tint="0.80000000000000004"/>
        <bgColor theme="7" tint="0.80000000000000004"/>
      </patternFill>
    </fill>
    <fill>
      <patternFill patternType="solid">
        <fgColor theme="8" tint="0.80000000000000004"/>
        <bgColor theme="8" tint="0.80000000000000004"/>
      </patternFill>
    </fill>
    <fill>
      <patternFill patternType="solid">
        <fgColor theme="9" tint="0.80000000000000004"/>
        <bgColor theme="9" tint="0.80000000000000004"/>
      </patternFill>
    </fill>
    <fill>
      <patternFill patternType="solid">
        <fgColor theme="4" tint="0.59999999999999998"/>
        <bgColor theme="4" tint="0.59999999999999998"/>
      </patternFill>
    </fill>
    <fill>
      <patternFill patternType="solid">
        <fgColor theme="5" tint="0.59999999999999998"/>
        <bgColor theme="5" tint="0.59999999999999998"/>
      </patternFill>
    </fill>
    <fill>
      <patternFill patternType="solid">
        <fgColor theme="6" tint="0.59999999999999998"/>
        <bgColor theme="6" tint="0.59999999999999998"/>
      </patternFill>
    </fill>
    <fill>
      <patternFill patternType="solid">
        <fgColor theme="7" tint="0.59999999999999998"/>
        <bgColor theme="7" tint="0.59999999999999998"/>
      </patternFill>
    </fill>
    <fill>
      <patternFill patternType="solid">
        <fgColor theme="8" tint="0.59999999999999998"/>
        <bgColor theme="8" tint="0.59999999999999998"/>
      </patternFill>
    </fill>
    <fill>
      <patternFill patternType="solid">
        <fgColor theme="9" tint="0.59999999999999998"/>
        <bgColor theme="9" tint="0.59999999999999998"/>
      </patternFill>
    </fill>
    <fill>
      <patternFill patternType="solid">
        <fgColor theme="4" tint="0.40000000000000002"/>
        <bgColor theme="4" tint="0.40000000000000002"/>
      </patternFill>
    </fill>
    <fill>
      <patternFill patternType="solid">
        <fgColor theme="5" tint="0.40000000000000002"/>
        <bgColor theme="5" tint="0.40000000000000002"/>
      </patternFill>
    </fill>
    <fill>
      <patternFill patternType="solid">
        <fgColor theme="6" tint="0.40000000000000002"/>
        <bgColor theme="6" tint="0.40000000000000002"/>
      </patternFill>
    </fill>
    <fill>
      <patternFill patternType="solid">
        <fgColor theme="7" tint="0.40000000000000002"/>
        <bgColor theme="7" tint="0.40000000000000002"/>
      </patternFill>
    </fill>
    <fill>
      <patternFill patternType="solid">
        <fgColor theme="8" tint="0.40000000000000002"/>
        <bgColor theme="8" tint="0.40000000000000002"/>
      </patternFill>
    </fill>
    <fill>
      <patternFill patternType="solid">
        <fgColor theme="9" tint="0.40000000000000002"/>
        <bgColor theme="9" tint="0.40000000000000002"/>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rgb="FFFFC7CE"/>
        <bgColor rgb="FFFFC7CE"/>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indexed="47"/>
        <bgColor indexed="47"/>
      </patternFill>
    </fill>
    <fill>
      <patternFill patternType="solid">
        <fgColor rgb="FFFFEB9C"/>
        <bgColor rgb="FFFFEB9C"/>
      </patternFill>
    </fill>
    <fill>
      <patternFill patternType="solid">
        <fgColor indexed="26"/>
        <bgColor indexed="26"/>
      </patternFill>
    </fill>
    <fill>
      <patternFill patternType="solid">
        <fgColor indexed="43"/>
        <bgColor indexed="43"/>
      </patternFill>
    </fill>
    <fill>
      <patternFill patternType="solid">
        <fgColor rgb="FFD7EAD3"/>
        <bgColor rgb="FFD7EAD3"/>
      </patternFill>
    </fill>
    <fill>
      <patternFill patternType="solid">
        <fgColor indexed="65"/>
        <bgColor indexed="65"/>
      </patternFill>
    </fill>
    <fill>
      <patternFill patternType="solid">
        <fgColor rgb="FFFFFFC0"/>
        <bgColor rgb="FFFFFFC0"/>
      </patternFill>
    </fill>
    <fill>
      <patternFill patternType="lightDown">
        <fgColor indexed="22"/>
        <bgColor indexed="22"/>
      </patternFill>
    </fill>
    <fill>
      <patternFill patternType="solid">
        <fgColor rgb="FFFFB7B7"/>
        <bgColor rgb="FFFFB7B7"/>
      </patternFill>
    </fill>
    <fill>
      <patternFill patternType="solid">
        <fgColor rgb="FFE3FAFD"/>
        <bgColor rgb="FFE3FAFD"/>
      </patternFill>
    </fill>
    <fill>
      <patternFill patternType="solid">
        <fgColor rgb="FFB7E4FF"/>
        <bgColor rgb="FFB7E4FF"/>
      </patternFill>
    </fill>
    <fill>
      <patternFill patternType="solid">
        <fgColor indexed="22"/>
        <bgColor indexed="22"/>
      </patternFill>
    </fill>
    <fill>
      <patternFill patternType="solid">
        <fgColor theme="0"/>
        <bgColor theme="0"/>
      </patternFill>
    </fill>
    <fill>
      <patternFill patternType="solid">
        <fgColor rgb="FF8DB4E2"/>
        <bgColor rgb="FF8DB4E2"/>
      </patternFill>
    </fill>
    <fill>
      <patternFill patternType="solid">
        <fgColor theme="2" tint="-0.10000000000000001"/>
        <bgColor theme="2" tint="-0.10000000000000001"/>
      </patternFill>
    </fill>
    <fill>
      <patternFill patternType="solid">
        <fgColor theme="9" tint="-0.25"/>
        <bgColor theme="9" tint="-0.25"/>
      </patternFill>
    </fill>
    <fill>
      <patternFill patternType="solid">
        <fgColor theme="0" tint="-0.14999999999999999"/>
        <bgColor theme="0" tint="-0.14999999999999999"/>
      </patternFill>
    </fill>
    <fill>
      <patternFill patternType="solid">
        <fgColor indexed="30"/>
        <bgColor indexed="30"/>
      </patternFill>
    </fill>
    <fill>
      <patternFill patternType="solid">
        <fgColor indexed="5"/>
        <bgColor indexed="5"/>
      </patternFill>
    </fill>
    <fill>
      <patternFill patternType="solid">
        <fgColor indexed="52"/>
        <bgColor indexed="52"/>
      </patternFill>
    </fill>
    <fill>
      <patternFill patternType="solid">
        <fgColor indexed="19"/>
        <bgColor indexed="19"/>
      </patternFill>
    </fill>
    <fill>
      <patternFill patternType="solid">
        <fgColor indexed="46"/>
        <bgColor indexed="46"/>
      </patternFill>
    </fill>
    <fill>
      <patternFill patternType="lightDown">
        <fgColor rgb="FFB7E4FF"/>
        <bgColor indexed="65"/>
      </patternFill>
    </fill>
    <fill>
      <patternFill patternType="solid">
        <fgColor rgb="FFD3DBDB"/>
        <bgColor rgb="FFD3DBDB"/>
      </patternFill>
    </fill>
    <fill>
      <patternFill patternType="solid">
        <fgColor indexed="31"/>
        <bgColor indexed="31"/>
      </patternFill>
    </fill>
    <fill>
      <patternFill patternType="solid">
        <fgColor indexed="40"/>
        <bgColor indexed="40"/>
      </patternFill>
    </fill>
    <fill>
      <patternFill patternType="solid">
        <fgColor rgb="FFBCBCBC"/>
        <bgColor rgb="FFBCBCBC"/>
      </patternFill>
    </fill>
    <fill>
      <patternFill patternType="solid">
        <fgColor rgb="FFEAEBEE"/>
        <bgColor rgb="FFEAEBEE"/>
      </patternFill>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5"/>
      </bottom>
      <diagonal/>
    </border>
    <border>
      <left/>
      <right/>
      <top/>
      <bottom style="medium">
        <color theme="4" tint="0.4000000000000000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BCBCBC"/>
      </left>
      <right style="thin">
        <color rgb="FFBCBCBC"/>
      </right>
      <top style="thin">
        <color rgb="FFBCBCBC"/>
      </top>
      <bottom style="thin">
        <color rgb="FFBCBCBC"/>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rgb="FFD3DBDB"/>
      </left>
      <right style="thin">
        <color rgb="FFD3DBDB"/>
      </right>
      <top style="thin">
        <color rgb="FFD3DBDB"/>
      </top>
      <bottom style="thin">
        <color rgb="FFD3DBDB"/>
      </bottom>
      <diagonal/>
    </border>
    <border>
      <left style="thin">
        <color indexed="22"/>
      </left>
      <right style="thin">
        <color indexed="22"/>
      </right>
      <top style="thin">
        <color indexed="22"/>
      </top>
      <bottom/>
      <diagonal/>
    </border>
    <border>
      <left/>
      <right/>
      <top style="dotted">
        <color indexed="64"/>
      </top>
      <bottom style="dotted">
        <color indexed="64"/>
      </bottom>
      <diagonal/>
    </border>
    <border>
      <left/>
      <right/>
      <top style="thin">
        <color indexed="22"/>
      </top>
      <bottom/>
      <diagonal/>
    </border>
    <border>
      <left/>
      <right style="thin">
        <color indexed="22"/>
      </right>
      <top style="thin">
        <color indexed="22"/>
      </top>
      <bottom/>
      <diagonal/>
    </border>
    <border>
      <left/>
      <right/>
      <top style="thin">
        <color rgb="FFD3DBDB"/>
      </top>
      <bottom/>
      <diagonal/>
    </border>
    <border>
      <left style="thin">
        <color indexed="22"/>
      </left>
      <right/>
      <top/>
      <bottom/>
      <diagonal/>
    </border>
    <border>
      <left style="thin">
        <color indexed="22"/>
      </left>
      <right style="thin">
        <color indexed="22"/>
      </right>
      <top/>
      <bottom style="thin">
        <color indexed="22"/>
      </bottom>
      <diagonal/>
    </border>
    <border>
      <left/>
      <right style="thin">
        <color indexed="22"/>
      </right>
      <top/>
      <bottom/>
      <diagonal/>
    </border>
    <border>
      <left style="thin">
        <color indexed="22"/>
      </left>
      <right style="thin">
        <color indexed="22"/>
      </right>
      <top style="thin">
        <color indexed="22"/>
      </top>
      <bottom style="thin">
        <color rgb="FFBCBCBC"/>
      </bottom>
      <diagonal/>
    </border>
    <border>
      <left style="hair">
        <color indexed="22"/>
      </left>
      <right/>
      <top style="hair">
        <color indexed="22"/>
      </top>
      <bottom style="hair">
        <color indexed="22"/>
      </bottom>
      <diagonal/>
    </border>
    <border>
      <left/>
      <right/>
      <top/>
      <bottom style="thin">
        <color indexed="22"/>
      </bottom>
      <diagonal/>
    </border>
    <border>
      <left style="thin">
        <color theme="0" tint="-0.25"/>
      </left>
      <right style="thin">
        <color indexed="22"/>
      </right>
      <top style="thin">
        <color indexed="22"/>
      </top>
      <bottom style="thin">
        <color indexed="22"/>
      </bottom>
      <diagonal/>
    </border>
    <border>
      <left/>
      <right style="thin">
        <color indexed="22"/>
      </right>
      <top/>
      <bottom style="thin">
        <color indexed="22"/>
      </bottom>
      <diagonal/>
    </border>
    <border>
      <left style="thin">
        <color indexed="22"/>
      </left>
      <right/>
      <top/>
      <bottom style="thin">
        <color indexed="22"/>
      </bottom>
      <diagonal/>
    </border>
    <border>
      <left style="thin">
        <color theme="0" tint="-0.25"/>
      </left>
      <right style="thin">
        <color theme="0" tint="-0.25"/>
      </right>
      <top style="thin">
        <color theme="0" tint="-0.25"/>
      </top>
      <bottom style="thin">
        <color theme="0" tint="-0.25"/>
      </bottom>
      <diagonal/>
    </border>
    <border>
      <left style="thin">
        <color theme="0" tint="-0.25"/>
      </left>
      <right style="thin">
        <color theme="0" tint="-0.25"/>
      </right>
      <top/>
      <bottom style="thin">
        <color theme="0" tint="-0.25"/>
      </bottom>
      <diagonal/>
    </border>
    <border>
      <left style="thin">
        <color theme="0" tint="-0.25"/>
      </left>
      <right/>
      <top style="thin">
        <color theme="0" tint="-0.25"/>
      </top>
      <bottom style="thin">
        <color theme="0" tint="-0.25"/>
      </bottom>
      <diagonal/>
    </border>
    <border>
      <left style="thin">
        <color theme="0" tint="-0.25"/>
      </left>
      <right/>
      <top/>
      <bottom style="thin">
        <color theme="0" tint="-0.25"/>
      </bottom>
      <diagonal/>
    </border>
    <border>
      <left style="thin">
        <color theme="0" tint="-0.25"/>
      </left>
      <right style="thin">
        <color theme="0" tint="-0.25"/>
      </right>
      <top style="thin">
        <color theme="0" tint="-0.25"/>
      </top>
      <bottom/>
      <diagonal/>
    </border>
    <border>
      <left style="thin">
        <color indexed="22"/>
      </left>
      <right style="thin">
        <color indexed="22"/>
      </right>
      <top/>
      <bottom/>
      <diagonal/>
    </border>
    <border>
      <left style="thin">
        <color indexed="22"/>
      </left>
      <right/>
      <top style="thin">
        <color indexed="22"/>
      </top>
      <bottom/>
      <diagonal/>
    </border>
    <border>
      <left style="thin">
        <color rgb="FFBCBCBC"/>
      </left>
      <right/>
      <top/>
      <bottom/>
      <diagonal/>
    </border>
    <border>
      <left/>
      <right/>
      <top/>
      <bottom style="thin">
        <color rgb="FFBCBCBC"/>
      </bottom>
      <diagonal/>
    </border>
    <border>
      <left style="thin">
        <color theme="0" tint="-0.25"/>
      </left>
      <right style="thin">
        <color theme="0" tint="-0.25"/>
      </right>
      <top/>
      <bottom/>
      <diagonal/>
    </border>
    <border>
      <left/>
      <right/>
      <top style="thin">
        <color rgb="FFBCBCBC"/>
      </top>
      <bottom style="thin">
        <color rgb="FFBCBCBC"/>
      </bottom>
      <diagonal/>
    </border>
    <border>
      <left style="thin">
        <color indexed="22"/>
      </left>
      <right/>
      <top style="thin">
        <color rgb="FFBCBCBC"/>
      </top>
      <bottom style="thin">
        <color indexed="22"/>
      </bottom>
      <diagonal/>
    </border>
    <border>
      <left/>
      <right/>
      <top style="thin">
        <color rgb="FFBCBCBC"/>
      </top>
      <bottom style="thin">
        <color indexed="22"/>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9999999999998"/>
      </left>
      <right style="thin">
        <color theme="0" tint="-0.34999999999999998"/>
      </right>
      <top style="thin">
        <color theme="0" tint="-0.34999999999999998"/>
      </top>
      <bottom style="thin">
        <color theme="0" tint="-0.34999999999999998"/>
      </bottom>
      <diagonal/>
    </border>
    <border>
      <left style="thin">
        <color rgb="FFBCBCBC"/>
      </left>
      <right/>
      <top style="medium">
        <color rgb="FFBCBCBC"/>
      </top>
      <bottom style="thin">
        <color indexed="22"/>
      </bottom>
      <diagonal/>
    </border>
    <border>
      <left style="thin">
        <color rgb="FFBCBCBC"/>
      </left>
      <right/>
      <top style="medium">
        <color rgb="FFBCBCBC"/>
      </top>
      <bottom/>
      <diagonal/>
    </border>
    <border>
      <left/>
      <right/>
      <top style="medium">
        <color rgb="FFBCBCBC"/>
      </top>
      <bottom/>
      <diagonal/>
    </border>
    <border>
      <left/>
      <right/>
      <top/>
      <bottom style="medium">
        <color indexed="22"/>
      </bottom>
      <diagonal/>
    </border>
    <border>
      <left/>
      <right/>
      <top style="thin">
        <color indexed="22"/>
      </top>
      <bottom style="medium">
        <color indexed="22"/>
      </bottom>
      <diagonal/>
    </border>
    <border>
      <left/>
      <right style="thin">
        <color theme="0" tint="-0.25"/>
      </right>
      <top style="thin">
        <color indexed="22"/>
      </top>
      <bottom style="thin">
        <color indexed="22"/>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indexed="22"/>
      </top>
      <bottom style="thin">
        <color indexed="22"/>
      </bottom>
      <diagonal/>
    </border>
    <border>
      <left style="thin">
        <color indexed="22"/>
      </left>
      <right/>
      <top style="thin">
        <color indexed="22"/>
      </top>
      <bottom style="medium">
        <color indexed="22"/>
      </bottom>
      <diagonal/>
    </border>
    <border>
      <left style="thin">
        <color theme="0" tint="-0.25"/>
      </left>
      <right style="thin">
        <color indexed="22"/>
      </right>
      <top style="thin">
        <color indexed="22"/>
      </top>
      <bottom/>
      <diagonal/>
    </border>
    <border>
      <left style="thin">
        <color theme="0" tint="-0.25"/>
      </left>
      <right/>
      <top style="thin">
        <color indexed="22"/>
      </top>
      <bottom style="thin">
        <color indexed="22"/>
      </bottom>
      <diagonal/>
    </border>
    <border>
      <left style="thin">
        <color theme="0" tint="-0.25"/>
      </left>
      <right/>
      <top style="thin">
        <color indexed="22"/>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indexed="22"/>
      </left>
      <right style="thin">
        <color indexed="22"/>
      </right>
      <top style="thin">
        <color rgb="FFBCBCBC"/>
      </top>
      <bottom style="thin">
        <color rgb="FFBCBCBC"/>
      </bottom>
      <diagonal/>
    </border>
    <border>
      <left style="thin">
        <color indexed="22"/>
      </left>
      <right/>
      <top style="thin">
        <color rgb="FFBCBCBC"/>
      </top>
      <bottom style="thin">
        <color rgb="FFBCBCBC"/>
      </bottom>
      <diagonal/>
    </border>
    <border>
      <left/>
      <right style="thin">
        <color indexed="22"/>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indexed="22"/>
      </bottom>
      <diagonal/>
    </border>
    <border>
      <left style="thin">
        <color indexed="22"/>
      </left>
      <right style="thin">
        <color indexed="22"/>
      </right>
      <top style="thin">
        <color indexed="22"/>
      </top>
      <bottom style="medium">
        <color indexed="22"/>
      </bottom>
      <diagonal/>
    </border>
  </borders>
  <cellStyleXfs count="64">
    <xf fontId="0" fillId="0" borderId="0" numFmtId="49" applyFont="1" applyFill="0" applyBorder="0">
      <alignment vertical="top"/>
    </xf>
    <xf fontId="1" fillId="2" borderId="0" numFmtId="0" applyFont="1" applyFill="1" applyBorder="0">
      <alignment vertical="top"/>
    </xf>
    <xf fontId="1" fillId="3" borderId="0" numFmtId="0" applyFont="1" applyFill="1" applyBorder="0">
      <alignment vertical="top"/>
    </xf>
    <xf fontId="1" fillId="4" borderId="0" numFmtId="0" applyFont="1" applyFill="1" applyBorder="0">
      <alignment vertical="top"/>
    </xf>
    <xf fontId="1" fillId="5" borderId="0" numFmtId="0" applyFont="1" applyFill="1" applyBorder="0">
      <alignment vertical="top"/>
    </xf>
    <xf fontId="1" fillId="6" borderId="0" numFmtId="0" applyFont="1" applyFill="1" applyBorder="0">
      <alignment vertical="top"/>
    </xf>
    <xf fontId="1" fillId="7" borderId="0" numFmtId="0" applyFont="1" applyFill="1" applyBorder="0">
      <alignment vertical="top"/>
    </xf>
    <xf fontId="1" fillId="8" borderId="0" numFmtId="0" applyFont="1" applyFill="1" applyBorder="0">
      <alignment vertical="top"/>
    </xf>
    <xf fontId="1" fillId="9" borderId="0" numFmtId="0" applyFont="1" applyFill="1" applyBorder="0">
      <alignment vertical="top"/>
    </xf>
    <xf fontId="1" fillId="10" borderId="0" numFmtId="0" applyFont="1" applyFill="1" applyBorder="0">
      <alignment vertical="top"/>
    </xf>
    <xf fontId="1" fillId="11" borderId="0" numFmtId="0" applyFont="1" applyFill="1" applyBorder="0">
      <alignment vertical="top"/>
    </xf>
    <xf fontId="1" fillId="12" borderId="0" numFmtId="0" applyFont="1" applyFill="1" applyBorder="0">
      <alignment vertical="top"/>
    </xf>
    <xf fontId="1" fillId="13" borderId="0" numFmtId="0" applyFont="1" applyFill="1" applyBorder="0">
      <alignment vertical="top"/>
    </xf>
    <xf fontId="1" fillId="14" borderId="0" numFmtId="0" applyFont="1" applyFill="1" applyBorder="0">
      <alignment vertical="top"/>
    </xf>
    <xf fontId="1" fillId="15" borderId="0" numFmtId="0" applyFont="1" applyFill="1" applyBorder="0">
      <alignment vertical="top"/>
    </xf>
    <xf fontId="1" fillId="16" borderId="0" numFmtId="0" applyFont="1" applyFill="1" applyBorder="0">
      <alignment vertical="top"/>
    </xf>
    <xf fontId="1" fillId="17" borderId="0" numFmtId="0" applyFont="1" applyFill="1" applyBorder="0">
      <alignment vertical="top"/>
    </xf>
    <xf fontId="1" fillId="18" borderId="0" numFmtId="0" applyFont="1" applyFill="1" applyBorder="0">
      <alignment vertical="top"/>
    </xf>
    <xf fontId="1" fillId="19" borderId="0" numFmtId="0" applyFont="1" applyFill="1" applyBorder="0">
      <alignment vertical="top"/>
    </xf>
    <xf fontId="2" fillId="20" borderId="0" numFmtId="0" applyFont="1" applyFill="1" applyBorder="0">
      <alignment vertical="top"/>
    </xf>
    <xf fontId="2" fillId="21" borderId="0" numFmtId="0" applyFont="1" applyFill="1" applyBorder="0">
      <alignment vertical="top"/>
    </xf>
    <xf fontId="2" fillId="22" borderId="0" numFmtId="0" applyFont="1" applyFill="1" applyBorder="0">
      <alignment vertical="top"/>
    </xf>
    <xf fontId="2" fillId="23" borderId="0" numFmtId="0" applyFont="1" applyFill="1" applyBorder="0">
      <alignment vertical="top"/>
    </xf>
    <xf fontId="2" fillId="24" borderId="0" numFmtId="0" applyFont="1" applyFill="1" applyBorder="0">
      <alignment vertical="top"/>
    </xf>
    <xf fontId="2" fillId="25" borderId="0" numFmtId="0" applyFont="1" applyFill="1" applyBorder="0">
      <alignment vertical="top"/>
    </xf>
    <xf fontId="3" fillId="26" borderId="0" numFmtId="0" applyFont="1" applyFill="1" applyBorder="0">
      <alignment vertical="top"/>
    </xf>
    <xf fontId="4" fillId="27" borderId="1" numFmtId="0" applyFont="1" applyFill="1" applyBorder="1">
      <alignment vertical="top"/>
    </xf>
    <xf fontId="5" fillId="28" borderId="2" numFmtId="0" applyFont="1" applyFill="1" applyBorder="1">
      <alignment vertical="top"/>
    </xf>
    <xf fontId="6" fillId="0" borderId="0" numFmtId="506" applyNumberFormat="1" applyFont="0" applyFill="0" applyBorder="0">
      <alignment vertical="top"/>
    </xf>
    <xf fontId="6" fillId="0" borderId="0" numFmtId="507" applyNumberFormat="1" applyFont="0" applyFill="0" applyBorder="0">
      <alignment vertical="top"/>
    </xf>
    <xf fontId="6" fillId="0" borderId="0" numFmtId="508" applyNumberFormat="1" applyFont="0" applyFill="0" applyBorder="0">
      <alignment vertical="top"/>
    </xf>
    <xf fontId="6" fillId="0" borderId="0" numFmtId="509" applyNumberFormat="1" applyFont="0" applyFill="0" applyBorder="0">
      <alignment vertical="top"/>
    </xf>
    <xf fontId="7" fillId="0" borderId="0" numFmtId="0" applyFont="1" applyFill="0" applyBorder="0">
      <alignment vertical="top"/>
    </xf>
    <xf fontId="8" fillId="29" borderId="0" numFmtId="0" applyFont="1" applyFill="1" applyBorder="0">
      <alignment vertical="top"/>
    </xf>
    <xf fontId="9" fillId="0" borderId="3" numFmtId="0" applyFont="1" applyFill="0" applyBorder="1">
      <alignment vertical="top"/>
    </xf>
    <xf fontId="10" fillId="0" borderId="4" numFmtId="0" applyFont="1" applyFill="0" applyBorder="1">
      <alignment vertical="top"/>
    </xf>
    <xf fontId="11" fillId="0" borderId="5" numFmtId="0" applyFont="1" applyFill="0" applyBorder="1">
      <alignment vertical="top"/>
    </xf>
    <xf fontId="11" fillId="0" borderId="0" numFmtId="0" applyFont="1" applyFill="0" applyBorder="0">
      <alignment vertical="top"/>
    </xf>
    <xf fontId="12" fillId="30" borderId="1" numFmtId="0" applyFont="1" applyFill="1" applyBorder="1">
      <alignment vertical="top"/>
    </xf>
    <xf fontId="13" fillId="0" borderId="6" numFmtId="0" applyFont="1" applyFill="0" applyBorder="1">
      <alignment vertical="top"/>
    </xf>
    <xf fontId="14" fillId="31" borderId="0" numFmtId="0" applyFont="1" applyFill="1" applyBorder="0">
      <alignment vertical="top"/>
    </xf>
    <xf fontId="15" fillId="0" borderId="0" numFmtId="0" applyFont="1" applyFill="0" applyBorder="0">
      <alignment vertical="top"/>
    </xf>
    <xf fontId="6" fillId="32" borderId="7" numFmtId="0" applyFont="0" applyFill="1" applyBorder="1">
      <alignment vertical="top"/>
    </xf>
    <xf fontId="16" fillId="27" borderId="8" numFmtId="0" applyFont="1" applyFill="1" applyBorder="1">
      <alignment vertical="top"/>
    </xf>
    <xf fontId="6" fillId="0" borderId="0" numFmtId="9" applyNumberFormat="1" applyFont="0" applyFill="0" applyBorder="0">
      <alignment vertical="top"/>
    </xf>
    <xf fontId="17" fillId="0" borderId="0" numFmtId="0" applyFont="1" applyFill="0" applyBorder="0">
      <alignment vertical="top"/>
    </xf>
    <xf fontId="18" fillId="0" borderId="9" numFmtId="0" applyFont="1" applyFill="0" applyBorder="1">
      <alignment vertical="top"/>
    </xf>
    <xf fontId="19" fillId="0" borderId="0" numFmtId="0" applyFont="1" applyFill="0" applyBorder="0">
      <alignment vertical="top"/>
    </xf>
    <xf fontId="20" fillId="0" borderId="0" numFmtId="0" applyFont="1" applyFill="0" applyBorder="0"/>
    <xf fontId="20" fillId="0" borderId="0" numFmtId="510" applyNumberFormat="1" applyFont="1" applyFill="0" applyBorder="0"/>
    <xf fontId="21" fillId="0" borderId="0" numFmtId="38" applyNumberFormat="1" applyFont="1" applyFill="0" applyBorder="0">
      <alignment vertical="top"/>
    </xf>
    <xf fontId="22" fillId="33" borderId="0" numFmtId="511" applyNumberFormat="1" applyFont="1" applyFill="1" applyBorder="0">
      <protection locked="0"/>
    </xf>
    <xf fontId="23" fillId="0" borderId="0" numFmtId="0" applyFont="1" applyFill="0" applyBorder="0">
      <alignment vertical="center"/>
    </xf>
    <xf fontId="22" fillId="33" borderId="0" numFmtId="502" applyNumberFormat="1" applyFont="1" applyFill="1" applyBorder="0">
      <protection locked="0"/>
    </xf>
    <xf fontId="22" fillId="33" borderId="0" numFmtId="503" applyNumberFormat="1" applyFont="1" applyFill="1" applyBorder="0">
      <protection locked="0"/>
    </xf>
    <xf fontId="24" fillId="0" borderId="0" numFmtId="0" applyFont="1" applyFill="0" applyBorder="0">
      <alignment vertical="top"/>
    </xf>
    <xf fontId="25" fillId="0" borderId="0" numFmtId="0" applyFont="1" applyFill="0" applyBorder="0">
      <alignment vertical="top"/>
    </xf>
    <xf fontId="26" fillId="0" borderId="0" numFmtId="0" applyFont="1" applyFill="0" applyBorder="0"/>
    <xf fontId="27" fillId="0" borderId="0" numFmtId="0" applyFont="1" applyFill="0" applyBorder="0">
      <alignment vertical="top"/>
    </xf>
    <xf fontId="22" fillId="0" borderId="0" numFmtId="49" applyNumberFormat="1" applyFont="1" applyFill="0" applyBorder="0">
      <alignment vertical="top"/>
    </xf>
    <xf fontId="28" fillId="0" borderId="0" numFmtId="0" applyFont="1" applyFill="0" applyBorder="0"/>
    <xf fontId="0" fillId="0" borderId="0" numFmtId="49" applyNumberFormat="1" applyFont="1" applyFill="0" applyBorder="0">
      <alignment vertical="top"/>
    </xf>
    <xf fontId="29" fillId="0" borderId="0" numFmtId="0" applyFont="1" applyFill="0" applyBorder="0"/>
    <xf fontId="30" fillId="0" borderId="0" numFmtId="0" applyFont="1" applyFill="0" applyBorder="0">
      <alignment vertical="top"/>
    </xf>
  </cellStyleXfs>
  <cellXfs count="12211">
    <xf fontId="0" fillId="0" borderId="0" numFmtId="49" xfId="0" applyNumberFormat="1" applyFont="1">
      <alignment vertical="top"/>
    </xf>
    <xf fontId="0" fillId="0" borderId="0" numFmtId="49" xfId="0" applyNumberFormat="1" applyFont="1">
      <alignment vertical="top"/>
    </xf>
    <xf fontId="1" fillId="2" borderId="0" numFmtId="0" xfId="1" applyFont="1" applyFill="1">
      <alignment vertical="top"/>
    </xf>
    <xf fontId="1" fillId="3" borderId="0" numFmtId="0" xfId="2" applyFont="1" applyFill="1">
      <alignment vertical="top"/>
    </xf>
    <xf fontId="1" fillId="4" borderId="0" numFmtId="0" xfId="3" applyFont="1" applyFill="1">
      <alignment vertical="top"/>
    </xf>
    <xf fontId="1" fillId="5" borderId="0" numFmtId="0" xfId="4" applyFont="1" applyFill="1">
      <alignment vertical="top"/>
    </xf>
    <xf fontId="1" fillId="6" borderId="0" numFmtId="0" xfId="5" applyFont="1" applyFill="1">
      <alignment vertical="top"/>
    </xf>
    <xf fontId="1" fillId="7" borderId="0" numFmtId="0" xfId="6" applyFont="1" applyFill="1">
      <alignment vertical="top"/>
    </xf>
    <xf fontId="1" fillId="8" borderId="0" numFmtId="0" xfId="7" applyFont="1" applyFill="1">
      <alignment vertical="top"/>
    </xf>
    <xf fontId="1" fillId="9" borderId="0" numFmtId="0" xfId="8" applyFont="1" applyFill="1">
      <alignment vertical="top"/>
    </xf>
    <xf fontId="1" fillId="10" borderId="0" numFmtId="0" xfId="9" applyFont="1" applyFill="1">
      <alignment vertical="top"/>
    </xf>
    <xf fontId="1" fillId="11" borderId="0" numFmtId="0" xfId="10" applyFont="1" applyFill="1">
      <alignment vertical="top"/>
    </xf>
    <xf fontId="1" fillId="12" borderId="0" numFmtId="0" xfId="11" applyFont="1" applyFill="1">
      <alignment vertical="top"/>
    </xf>
    <xf fontId="1" fillId="13" borderId="0" numFmtId="0" xfId="12" applyFont="1" applyFill="1">
      <alignment vertical="top"/>
    </xf>
    <xf fontId="1" fillId="14" borderId="0" numFmtId="0" xfId="13" applyFont="1" applyFill="1">
      <alignment vertical="top"/>
    </xf>
    <xf fontId="1" fillId="15" borderId="0" numFmtId="0" xfId="14" applyFont="1" applyFill="1">
      <alignment vertical="top"/>
    </xf>
    <xf fontId="1" fillId="16" borderId="0" numFmtId="0" xfId="15" applyFont="1" applyFill="1">
      <alignment vertical="top"/>
    </xf>
    <xf fontId="1" fillId="17" borderId="0" numFmtId="0" xfId="16" applyFont="1" applyFill="1">
      <alignment vertical="top"/>
    </xf>
    <xf fontId="1" fillId="18" borderId="0" numFmtId="0" xfId="17" applyFont="1" applyFill="1">
      <alignment vertical="top"/>
    </xf>
    <xf fontId="1" fillId="19" borderId="0" numFmtId="0" xfId="18" applyFont="1" applyFill="1">
      <alignment vertical="top"/>
    </xf>
    <xf fontId="2" fillId="20" borderId="0" numFmtId="0" xfId="19" applyFont="1" applyFill="1">
      <alignment vertical="top"/>
    </xf>
    <xf fontId="2" fillId="21" borderId="0" numFmtId="0" xfId="20" applyFont="1" applyFill="1">
      <alignment vertical="top"/>
    </xf>
    <xf fontId="2" fillId="22" borderId="0" numFmtId="0" xfId="21" applyFont="1" applyFill="1">
      <alignment vertical="top"/>
    </xf>
    <xf fontId="2" fillId="23" borderId="0" numFmtId="0" xfId="22" applyFont="1" applyFill="1">
      <alignment vertical="top"/>
    </xf>
    <xf fontId="2" fillId="24" borderId="0" numFmtId="0" xfId="23" applyFont="1" applyFill="1">
      <alignment vertical="top"/>
    </xf>
    <xf fontId="2" fillId="25" borderId="0" numFmtId="0" xfId="24" applyFont="1" applyFill="1">
      <alignment vertical="top"/>
    </xf>
    <xf fontId="3" fillId="26" borderId="0" numFmtId="0" xfId="25" applyFont="1" applyFill="1">
      <alignment vertical="top"/>
    </xf>
    <xf fontId="4" fillId="27" borderId="1" numFmtId="0" xfId="26" applyFont="1" applyFill="1" applyBorder="1">
      <alignment vertical="top"/>
    </xf>
    <xf fontId="5" fillId="28" borderId="2" numFmtId="0" xfId="27" applyFont="1" applyFill="1" applyBorder="1">
      <alignment vertical="top"/>
    </xf>
    <xf fontId="6" fillId="0" borderId="0" numFmtId="506" xfId="28" applyNumberFormat="1">
      <alignment vertical="top"/>
    </xf>
    <xf fontId="6" fillId="0" borderId="0" numFmtId="507" xfId="29" applyNumberFormat="1">
      <alignment vertical="top"/>
    </xf>
    <xf fontId="6" fillId="0" borderId="0" numFmtId="508" xfId="30" applyNumberFormat="1">
      <alignment vertical="top"/>
    </xf>
    <xf fontId="6" fillId="0" borderId="0" numFmtId="509" xfId="31" applyNumberFormat="1">
      <alignment vertical="top"/>
    </xf>
    <xf fontId="7" fillId="0" borderId="0" numFmtId="0" xfId="32" applyFont="1">
      <alignment vertical="top"/>
    </xf>
    <xf fontId="8" fillId="29" borderId="0" numFmtId="0" xfId="33" applyFont="1" applyFill="1">
      <alignment vertical="top"/>
    </xf>
    <xf fontId="9" fillId="0" borderId="3" numFmtId="0" xfId="34" applyFont="1" applyBorder="1">
      <alignment vertical="top"/>
    </xf>
    <xf fontId="10" fillId="0" borderId="4" numFmtId="0" xfId="35" applyFont="1" applyBorder="1">
      <alignment vertical="top"/>
    </xf>
    <xf fontId="11" fillId="0" borderId="5" numFmtId="0" xfId="36" applyFont="1" applyBorder="1">
      <alignment vertical="top"/>
    </xf>
    <xf fontId="11" fillId="0" borderId="0" numFmtId="0" xfId="37" applyFont="1">
      <alignment vertical="top"/>
    </xf>
    <xf fontId="12" fillId="30" borderId="1" numFmtId="0" xfId="38" applyFont="1" applyFill="1" applyBorder="1">
      <alignment vertical="top"/>
    </xf>
    <xf fontId="13" fillId="0" borderId="6" numFmtId="0" xfId="39" applyFont="1" applyBorder="1">
      <alignment vertical="top"/>
    </xf>
    <xf fontId="14" fillId="31" borderId="0" numFmtId="0" xfId="40" applyFont="1" applyFill="1">
      <alignment vertical="top"/>
    </xf>
    <xf fontId="15" fillId="0" borderId="0" numFmtId="0" xfId="41" applyFont="1">
      <alignment vertical="top"/>
    </xf>
    <xf fontId="6" fillId="32" borderId="7" numFmtId="0" xfId="42" applyFill="1" applyBorder="1">
      <alignment vertical="top"/>
    </xf>
    <xf fontId="16" fillId="27" borderId="8" numFmtId="0" xfId="43" applyFont="1" applyFill="1" applyBorder="1">
      <alignment vertical="top"/>
    </xf>
    <xf fontId="6" fillId="0" borderId="0" numFmtId="9" xfId="44" applyNumberFormat="1">
      <alignment vertical="top"/>
    </xf>
    <xf fontId="17" fillId="0" borderId="0" numFmtId="0" xfId="45" applyFont="1">
      <alignment vertical="top"/>
    </xf>
    <xf fontId="18" fillId="0" borderId="9" numFmtId="0" xfId="46" applyFont="1" applyBorder="1">
      <alignment vertical="top"/>
    </xf>
    <xf fontId="19" fillId="0" borderId="0" numFmtId="0" xfId="47" applyFont="1">
      <alignment vertical="top"/>
    </xf>
    <xf fontId="20" fillId="0" borderId="0" numFmtId="0" xfId="48" applyFont="1"/>
    <xf fontId="20" fillId="0" borderId="0" numFmtId="510" xfId="49" applyNumberFormat="1" applyFont="1"/>
    <xf fontId="21" fillId="0" borderId="0" numFmtId="38" xfId="50" applyNumberFormat="1" applyFont="1">
      <alignment vertical="top"/>
    </xf>
    <xf fontId="22" fillId="33" borderId="0" numFmtId="511" xfId="51" applyNumberFormat="1" applyFont="1" applyFill="1">
      <protection locked="0"/>
    </xf>
    <xf fontId="23" fillId="0" borderId="0" numFmtId="0" xfId="52" applyFont="1">
      <alignment vertical="center"/>
    </xf>
    <xf fontId="22" fillId="33" borderId="0" numFmtId="502" xfId="53" applyNumberFormat="1" applyFont="1" applyFill="1">
      <protection locked="0"/>
    </xf>
    <xf fontId="22" fillId="33" borderId="0" numFmtId="503" xfId="54" applyNumberFormat="1" applyFont="1" applyFill="1">
      <protection locked="0"/>
    </xf>
    <xf fontId="24" fillId="0" borderId="0" numFmtId="0" xfId="55" applyFont="1">
      <alignment vertical="top"/>
    </xf>
    <xf fontId="25" fillId="0" borderId="0" numFmtId="0" xfId="56" applyFont="1">
      <alignment vertical="top"/>
    </xf>
    <xf fontId="26" fillId="0" borderId="0" numFmtId="0" xfId="57" applyFont="1"/>
    <xf fontId="27" fillId="0" borderId="0" numFmtId="0" xfId="58" applyFont="1">
      <alignment vertical="top"/>
    </xf>
    <xf fontId="22" fillId="0" borderId="0" numFmtId="49" xfId="59" applyNumberFormat="1" applyFont="1">
      <alignment vertical="top"/>
    </xf>
    <xf fontId="28" fillId="0" borderId="0" numFmtId="0" xfId="60" applyFont="1"/>
    <xf fontId="0" fillId="0" borderId="0" numFmtId="49" xfId="61" applyNumberFormat="1" applyFont="1">
      <alignment vertical="top"/>
    </xf>
    <xf fontId="29" fillId="0" borderId="0" numFmtId="0" xfId="62" applyFont="1"/>
    <xf fontId="30" fillId="0" borderId="0" numFmtId="0" xfId="63" applyFont="1">
      <alignment vertical="top"/>
    </xf>
    <xf fontId="0" fillId="0" borderId="0" numFmtId="49" xfId="0" applyNumberFormat="1" applyFont="1">
      <alignment vertical="top"/>
    </xf>
    <xf fontId="1" fillId="2" borderId="0" numFmtId="0" xfId="1" applyNumberFormat="1" applyFont="1" applyFill="1">
      <alignment vertical="top"/>
    </xf>
    <xf fontId="1" fillId="3" borderId="0" numFmtId="0" xfId="2" applyNumberFormat="1" applyFont="1" applyFill="1">
      <alignment vertical="top"/>
    </xf>
    <xf fontId="1" fillId="4" borderId="0" numFmtId="0" xfId="3" applyNumberFormat="1" applyFont="1" applyFill="1">
      <alignment vertical="top"/>
    </xf>
    <xf fontId="1" fillId="5" borderId="0" numFmtId="0" xfId="4" applyNumberFormat="1" applyFont="1" applyFill="1">
      <alignment vertical="top"/>
    </xf>
    <xf fontId="1" fillId="6" borderId="0" numFmtId="0" xfId="5" applyNumberFormat="1" applyFont="1" applyFill="1">
      <alignment vertical="top"/>
    </xf>
    <xf fontId="1" fillId="7" borderId="0" numFmtId="0" xfId="6" applyNumberFormat="1" applyFont="1" applyFill="1">
      <alignment vertical="top"/>
    </xf>
    <xf fontId="1" fillId="8" borderId="0" numFmtId="0" xfId="7" applyNumberFormat="1" applyFont="1" applyFill="1">
      <alignment vertical="top"/>
    </xf>
    <xf fontId="1" fillId="9" borderId="0" numFmtId="0" xfId="8" applyNumberFormat="1" applyFont="1" applyFill="1">
      <alignment vertical="top"/>
    </xf>
    <xf fontId="1" fillId="10" borderId="0" numFmtId="0" xfId="9" applyNumberFormat="1" applyFont="1" applyFill="1">
      <alignment vertical="top"/>
    </xf>
    <xf fontId="1" fillId="11" borderId="0" numFmtId="0" xfId="10" applyNumberFormat="1" applyFont="1" applyFill="1">
      <alignment vertical="top"/>
    </xf>
    <xf fontId="1" fillId="12" borderId="0" numFmtId="0" xfId="11" applyNumberFormat="1" applyFont="1" applyFill="1">
      <alignment vertical="top"/>
    </xf>
    <xf fontId="1" fillId="13" borderId="0" numFmtId="0" xfId="12" applyNumberFormat="1" applyFont="1" applyFill="1">
      <alignment vertical="top"/>
    </xf>
    <xf fontId="1" fillId="14" borderId="0" numFmtId="0" xfId="13" applyNumberFormat="1" applyFont="1" applyFill="1">
      <alignment vertical="top"/>
    </xf>
    <xf fontId="1" fillId="15" borderId="0" numFmtId="0" xfId="14" applyNumberFormat="1" applyFont="1" applyFill="1">
      <alignment vertical="top"/>
    </xf>
    <xf fontId="1" fillId="16" borderId="0" numFmtId="0" xfId="15" applyNumberFormat="1" applyFont="1" applyFill="1">
      <alignment vertical="top"/>
    </xf>
    <xf fontId="1" fillId="17" borderId="0" numFmtId="0" xfId="16" applyNumberFormat="1" applyFont="1" applyFill="1">
      <alignment vertical="top"/>
    </xf>
    <xf fontId="1" fillId="18" borderId="0" numFmtId="0" xfId="17" applyNumberFormat="1" applyFont="1" applyFill="1">
      <alignment vertical="top"/>
    </xf>
    <xf fontId="1" fillId="19" borderId="0" numFmtId="0" xfId="18" applyNumberFormat="1" applyFont="1" applyFill="1">
      <alignment vertical="top"/>
    </xf>
    <xf fontId="2" fillId="20" borderId="0" numFmtId="0" xfId="19" applyNumberFormat="1" applyFont="1" applyFill="1">
      <alignment vertical="top"/>
    </xf>
    <xf fontId="2" fillId="21" borderId="0" numFmtId="0" xfId="20" applyNumberFormat="1" applyFont="1" applyFill="1">
      <alignment vertical="top"/>
    </xf>
    <xf fontId="2" fillId="22" borderId="0" numFmtId="0" xfId="21" applyNumberFormat="1" applyFont="1" applyFill="1">
      <alignment vertical="top"/>
    </xf>
    <xf fontId="2" fillId="23" borderId="0" numFmtId="0" xfId="22" applyNumberFormat="1" applyFont="1" applyFill="1">
      <alignment vertical="top"/>
    </xf>
    <xf fontId="2" fillId="24" borderId="0" numFmtId="0" xfId="23" applyNumberFormat="1" applyFont="1" applyFill="1">
      <alignment vertical="top"/>
    </xf>
    <xf fontId="2" fillId="25" borderId="0" numFmtId="0" xfId="24" applyNumberFormat="1" applyFont="1" applyFill="1">
      <alignment vertical="top"/>
    </xf>
    <xf fontId="3" fillId="26" borderId="0" numFmtId="0" xfId="25" applyNumberFormat="1" applyFont="1" applyFill="1">
      <alignment vertical="top"/>
    </xf>
    <xf fontId="4" fillId="27" borderId="1" numFmtId="0" xfId="26" applyNumberFormat="1" applyFont="1" applyFill="1" applyBorder="1">
      <alignment vertical="top"/>
    </xf>
    <xf fontId="5" fillId="28" borderId="2" numFmtId="0" xfId="27" applyNumberFormat="1" applyFont="1" applyFill="1" applyBorder="1">
      <alignment vertical="top"/>
    </xf>
    <xf fontId="31" fillId="0" borderId="0" numFmtId="506" xfId="28" applyNumberFormat="1" applyFont="1">
      <alignment vertical="top"/>
    </xf>
    <xf fontId="31" fillId="0" borderId="0" numFmtId="507" xfId="29" applyNumberFormat="1" applyFont="1">
      <alignment vertical="top"/>
    </xf>
    <xf fontId="31" fillId="0" borderId="0" numFmtId="508" xfId="30" applyNumberFormat="1" applyFont="1">
      <alignment vertical="top"/>
    </xf>
    <xf fontId="31" fillId="0" borderId="0" numFmtId="509" xfId="31" applyNumberFormat="1" applyFont="1">
      <alignment vertical="top"/>
    </xf>
    <xf fontId="7" fillId="0" borderId="0" numFmtId="0" xfId="32" applyNumberFormat="1" applyFont="1">
      <alignment vertical="top"/>
    </xf>
    <xf fontId="8" fillId="29" borderId="0" numFmtId="0" xfId="33" applyNumberFormat="1" applyFont="1" applyFill="1">
      <alignment vertical="top"/>
    </xf>
    <xf fontId="9" fillId="0" borderId="3" numFmtId="0" xfId="34" applyNumberFormat="1" applyFont="1" applyBorder="1">
      <alignment vertical="top"/>
    </xf>
    <xf fontId="10" fillId="0" borderId="4" numFmtId="0" xfId="35" applyNumberFormat="1" applyFont="1" applyBorder="1">
      <alignment vertical="top"/>
    </xf>
    <xf fontId="11" fillId="0" borderId="5" numFmtId="0" xfId="36" applyNumberFormat="1" applyFont="1" applyBorder="1">
      <alignment vertical="top"/>
    </xf>
    <xf fontId="11" fillId="0" borderId="0" numFmtId="0" xfId="37" applyNumberFormat="1" applyFont="1">
      <alignment vertical="top"/>
    </xf>
    <xf fontId="12" fillId="30" borderId="1" numFmtId="0" xfId="38" applyNumberFormat="1" applyFont="1" applyFill="1" applyBorder="1">
      <alignment vertical="top"/>
    </xf>
    <xf fontId="13" fillId="0" borderId="6" numFmtId="0" xfId="39" applyNumberFormat="1" applyFont="1" applyBorder="1">
      <alignment vertical="top"/>
    </xf>
    <xf fontId="14" fillId="31" borderId="0" numFmtId="0" xfId="40" applyNumberFormat="1" applyFont="1" applyFill="1">
      <alignment vertical="top"/>
    </xf>
    <xf fontId="31" fillId="32" borderId="7" numFmtId="0" xfId="42" applyNumberFormat="1" applyFont="1" applyFill="1" applyBorder="1">
      <alignment vertical="top"/>
    </xf>
    <xf fontId="16" fillId="27" borderId="8" numFmtId="0" xfId="43" applyNumberFormat="1" applyFont="1" applyFill="1" applyBorder="1">
      <alignment vertical="top"/>
    </xf>
    <xf fontId="31" fillId="0" borderId="0" numFmtId="9" xfId="44" applyNumberFormat="1" applyFont="1">
      <alignment vertical="top"/>
    </xf>
    <xf fontId="17" fillId="0" borderId="0" numFmtId="0" xfId="45" applyNumberFormat="1" applyFont="1">
      <alignment vertical="top"/>
    </xf>
    <xf fontId="18" fillId="0" borderId="9" numFmtId="0" xfId="46" applyNumberFormat="1" applyFont="1" applyBorder="1">
      <alignment vertical="top"/>
    </xf>
    <xf fontId="19" fillId="0" borderId="0" numFmtId="0" xfId="47" applyNumberFormat="1" applyFont="1">
      <alignment vertical="top"/>
    </xf>
    <xf fontId="20" fillId="0" borderId="0" numFmtId="0" xfId="0" applyNumberFormat="1" applyFont="1"/>
    <xf fontId="23" fillId="0" borderId="0" numFmtId="0" xfId="0" applyNumberFormat="1" applyFont="1">
      <alignment vertical="center"/>
    </xf>
    <xf fontId="24" fillId="0" borderId="0" numFmtId="0" xfId="55" applyNumberFormat="1" applyFont="1">
      <alignment vertical="top"/>
    </xf>
    <xf fontId="25" fillId="0" borderId="0" numFmtId="0" xfId="56" applyNumberFormat="1" applyFont="1">
      <alignment vertical="top"/>
    </xf>
    <xf fontId="26" fillId="0" borderId="0" numFmtId="0" xfId="57" applyNumberFormat="1" applyFont="1"/>
    <xf fontId="27" fillId="0" borderId="0" numFmtId="0" xfId="58" applyNumberFormat="1" applyFont="1">
      <alignment vertical="top"/>
    </xf>
    <xf fontId="28" fillId="0" borderId="0" numFmtId="0" xfId="60" applyNumberFormat="1" applyFont="1"/>
    <xf fontId="0" fillId="0" borderId="0" numFmtId="49" xfId="61" applyNumberFormat="1" applyFont="1">
      <alignment vertical="top"/>
    </xf>
    <xf fontId="29" fillId="0" borderId="0" numFmtId="0" xfId="0" applyNumberFormat="1" applyFont="1"/>
    <xf fontId="30" fillId="0" borderId="0" numFmtId="0" xfId="63" applyNumberFormat="1" applyFont="1">
      <alignment vertical="top"/>
    </xf>
    <xf fontId="0" fillId="0" borderId="0" numFmtId="49" xfId="0" applyNumberFormat="1" applyFont="1">
      <alignment vertical="top"/>
    </xf>
    <xf fontId="1" fillId="2" borderId="0" numFmtId="0" xfId="1" applyNumberFormat="1" applyFont="1" applyFill="1">
      <alignment vertical="top"/>
    </xf>
    <xf fontId="1" fillId="3" borderId="0" numFmtId="0" xfId="2" applyNumberFormat="1" applyFont="1" applyFill="1">
      <alignment vertical="top"/>
    </xf>
    <xf fontId="1" fillId="4" borderId="0" numFmtId="0" xfId="3" applyNumberFormat="1" applyFont="1" applyFill="1">
      <alignment vertical="top"/>
    </xf>
    <xf fontId="1" fillId="5" borderId="0" numFmtId="0" xfId="4" applyNumberFormat="1" applyFont="1" applyFill="1">
      <alignment vertical="top"/>
    </xf>
    <xf fontId="1" fillId="6" borderId="0" numFmtId="0" xfId="5" applyNumberFormat="1" applyFont="1" applyFill="1">
      <alignment vertical="top"/>
    </xf>
    <xf fontId="1" fillId="7" borderId="0" numFmtId="0" xfId="6" applyNumberFormat="1" applyFont="1" applyFill="1">
      <alignment vertical="top"/>
    </xf>
    <xf fontId="1" fillId="8" borderId="0" numFmtId="0" xfId="7" applyNumberFormat="1" applyFont="1" applyFill="1">
      <alignment vertical="top"/>
    </xf>
    <xf fontId="1" fillId="9" borderId="0" numFmtId="0" xfId="8" applyNumberFormat="1" applyFont="1" applyFill="1">
      <alignment vertical="top"/>
    </xf>
    <xf fontId="1" fillId="10" borderId="0" numFmtId="0" xfId="9" applyNumberFormat="1" applyFont="1" applyFill="1">
      <alignment vertical="top"/>
    </xf>
    <xf fontId="1" fillId="11" borderId="0" numFmtId="0" xfId="10" applyNumberFormat="1" applyFont="1" applyFill="1">
      <alignment vertical="top"/>
    </xf>
    <xf fontId="1" fillId="12" borderId="0" numFmtId="0" xfId="11" applyNumberFormat="1" applyFont="1" applyFill="1">
      <alignment vertical="top"/>
    </xf>
    <xf fontId="1" fillId="13" borderId="0" numFmtId="0" xfId="12" applyNumberFormat="1" applyFont="1" applyFill="1">
      <alignment vertical="top"/>
    </xf>
    <xf fontId="1" fillId="14" borderId="0" numFmtId="0" xfId="13" applyNumberFormat="1" applyFont="1" applyFill="1">
      <alignment vertical="top"/>
    </xf>
    <xf fontId="1" fillId="15" borderId="0" numFmtId="0" xfId="14" applyNumberFormat="1" applyFont="1" applyFill="1">
      <alignment vertical="top"/>
    </xf>
    <xf fontId="1" fillId="16" borderId="0" numFmtId="0" xfId="15" applyNumberFormat="1" applyFont="1" applyFill="1">
      <alignment vertical="top"/>
    </xf>
    <xf fontId="1" fillId="17" borderId="0" numFmtId="0" xfId="16" applyNumberFormat="1" applyFont="1" applyFill="1">
      <alignment vertical="top"/>
    </xf>
    <xf fontId="1" fillId="18" borderId="0" numFmtId="0" xfId="17" applyNumberFormat="1" applyFont="1" applyFill="1">
      <alignment vertical="top"/>
    </xf>
    <xf fontId="1" fillId="19" borderId="0" numFmtId="0" xfId="18" applyNumberFormat="1" applyFont="1" applyFill="1">
      <alignment vertical="top"/>
    </xf>
    <xf fontId="2" fillId="20" borderId="0" numFmtId="0" xfId="19" applyNumberFormat="1" applyFont="1" applyFill="1">
      <alignment vertical="top"/>
    </xf>
    <xf fontId="2" fillId="21" borderId="0" numFmtId="0" xfId="20" applyNumberFormat="1" applyFont="1" applyFill="1">
      <alignment vertical="top"/>
    </xf>
    <xf fontId="2" fillId="22" borderId="0" numFmtId="0" xfId="21" applyNumberFormat="1" applyFont="1" applyFill="1">
      <alignment vertical="top"/>
    </xf>
    <xf fontId="2" fillId="23" borderId="0" numFmtId="0" xfId="22" applyNumberFormat="1" applyFont="1" applyFill="1">
      <alignment vertical="top"/>
    </xf>
    <xf fontId="2" fillId="24" borderId="0" numFmtId="0" xfId="23" applyNumberFormat="1" applyFont="1" applyFill="1">
      <alignment vertical="top"/>
    </xf>
    <xf fontId="2" fillId="25" borderId="0" numFmtId="0" xfId="24" applyNumberFormat="1" applyFont="1" applyFill="1">
      <alignment vertical="top"/>
    </xf>
    <xf fontId="3" fillId="26" borderId="0" numFmtId="0" xfId="25" applyNumberFormat="1" applyFont="1" applyFill="1">
      <alignment vertical="top"/>
    </xf>
    <xf fontId="4" fillId="27" borderId="1" numFmtId="0" xfId="26" applyNumberFormat="1" applyFont="1" applyFill="1" applyBorder="1">
      <alignment vertical="top"/>
    </xf>
    <xf fontId="5" fillId="28" borderId="2" numFmtId="0" xfId="27" applyNumberFormat="1" applyFont="1" applyFill="1" applyBorder="1">
      <alignment vertical="top"/>
    </xf>
    <xf fontId="31" fillId="0" borderId="0" numFmtId="506" xfId="28" applyNumberFormat="1" applyFont="1">
      <alignment vertical="top"/>
    </xf>
    <xf fontId="31" fillId="0" borderId="0" numFmtId="507" xfId="29" applyNumberFormat="1" applyFont="1">
      <alignment vertical="top"/>
    </xf>
    <xf fontId="31" fillId="0" borderId="0" numFmtId="508" xfId="30" applyNumberFormat="1" applyFont="1">
      <alignment vertical="top"/>
    </xf>
    <xf fontId="31" fillId="0" borderId="0" numFmtId="509" xfId="31" applyNumberFormat="1" applyFont="1">
      <alignment vertical="top"/>
    </xf>
    <xf fontId="7" fillId="0" borderId="0" numFmtId="0" xfId="32" applyNumberFormat="1" applyFont="1">
      <alignment vertical="top"/>
    </xf>
    <xf fontId="8" fillId="29" borderId="0" numFmtId="0" xfId="33" applyNumberFormat="1" applyFont="1" applyFill="1">
      <alignment vertical="top"/>
    </xf>
    <xf fontId="9" fillId="0" borderId="3" numFmtId="0" xfId="34" applyNumberFormat="1" applyFont="1" applyBorder="1">
      <alignment vertical="top"/>
    </xf>
    <xf fontId="10" fillId="0" borderId="4" numFmtId="0" xfId="35" applyNumberFormat="1" applyFont="1" applyBorder="1">
      <alignment vertical="top"/>
    </xf>
    <xf fontId="11" fillId="0" borderId="5" numFmtId="0" xfId="36" applyNumberFormat="1" applyFont="1" applyBorder="1">
      <alignment vertical="top"/>
    </xf>
    <xf fontId="11" fillId="0" borderId="0" numFmtId="0" xfId="37" applyNumberFormat="1" applyFont="1">
      <alignment vertical="top"/>
    </xf>
    <xf fontId="12" fillId="30" borderId="1" numFmtId="0" xfId="38" applyNumberFormat="1" applyFont="1" applyFill="1" applyBorder="1">
      <alignment vertical="top"/>
    </xf>
    <xf fontId="13" fillId="0" borderId="6" numFmtId="0" xfId="39" applyNumberFormat="1" applyFont="1" applyBorder="1">
      <alignment vertical="top"/>
    </xf>
    <xf fontId="14" fillId="31" borderId="0" numFmtId="0" xfId="40" applyNumberFormat="1" applyFont="1" applyFill="1">
      <alignment vertical="top"/>
    </xf>
    <xf fontId="31" fillId="32" borderId="7" numFmtId="0" xfId="42" applyNumberFormat="1" applyFont="1" applyFill="1" applyBorder="1">
      <alignment vertical="top"/>
    </xf>
    <xf fontId="16" fillId="27" borderId="8" numFmtId="0" xfId="43" applyNumberFormat="1" applyFont="1" applyFill="1" applyBorder="1">
      <alignment vertical="top"/>
    </xf>
    <xf fontId="31" fillId="0" borderId="0" numFmtId="9" xfId="44" applyNumberFormat="1" applyFont="1">
      <alignment vertical="top"/>
    </xf>
    <xf fontId="17" fillId="0" borderId="0" numFmtId="0" xfId="45" applyNumberFormat="1" applyFont="1">
      <alignment vertical="top"/>
    </xf>
    <xf fontId="18" fillId="0" borderId="9" numFmtId="0" xfId="46" applyNumberFormat="1" applyFont="1" applyBorder="1">
      <alignment vertical="top"/>
    </xf>
    <xf fontId="19" fillId="0" borderId="0" numFmtId="0" xfId="47" applyNumberFormat="1" applyFont="1">
      <alignment vertical="top"/>
    </xf>
    <xf fontId="20" fillId="0" borderId="0" numFmtId="0" xfId="0" applyNumberFormat="1" applyFont="1"/>
    <xf fontId="23" fillId="0" borderId="0" numFmtId="0" xfId="0" applyNumberFormat="1" applyFont="1">
      <alignment vertical="center"/>
    </xf>
    <xf fontId="24" fillId="0" borderId="0" numFmtId="0" xfId="55" applyNumberFormat="1" applyFont="1">
      <alignment vertical="top"/>
    </xf>
    <xf fontId="25" fillId="0" borderId="0" numFmtId="0" xfId="56" applyNumberFormat="1" applyFont="1">
      <alignment vertical="top"/>
    </xf>
    <xf fontId="26" fillId="0" borderId="0" numFmtId="0" xfId="57" applyNumberFormat="1" applyFont="1"/>
    <xf fontId="27" fillId="0" borderId="0" numFmtId="0" xfId="58" applyNumberFormat="1" applyFont="1">
      <alignment vertical="top"/>
    </xf>
    <xf fontId="28" fillId="0" borderId="0" numFmtId="0" xfId="60" applyNumberFormat="1" applyFont="1"/>
    <xf fontId="0" fillId="0" borderId="0" numFmtId="49" xfId="61" applyNumberFormat="1" applyFont="1">
      <alignment vertical="top"/>
    </xf>
    <xf fontId="29" fillId="0" borderId="0" numFmtId="0" xfId="0" applyNumberFormat="1" applyFont="1"/>
    <xf fontId="30" fillId="0" borderId="0" numFmtId="0" xfId="63" applyNumberFormat="1" applyFont="1">
      <alignment vertical="top"/>
    </xf>
    <xf fontId="1" fillId="2" borderId="0" numFmtId="0" xfId="1" applyNumberFormat="1" applyFont="1" applyFill="1">
      <alignment vertical="top"/>
    </xf>
    <xf fontId="1" fillId="3" borderId="0" numFmtId="0" xfId="2" applyNumberFormat="1" applyFont="1" applyFill="1">
      <alignment vertical="top"/>
    </xf>
    <xf fontId="1" fillId="4" borderId="0" numFmtId="0" xfId="3" applyNumberFormat="1" applyFont="1" applyFill="1">
      <alignment vertical="top"/>
    </xf>
    <xf fontId="1" fillId="5" borderId="0" numFmtId="0" xfId="4" applyNumberFormat="1" applyFont="1" applyFill="1">
      <alignment vertical="top"/>
    </xf>
    <xf fontId="1" fillId="6" borderId="0" numFmtId="0" xfId="5" applyNumberFormat="1" applyFont="1" applyFill="1">
      <alignment vertical="top"/>
    </xf>
    <xf fontId="1" fillId="7" borderId="0" numFmtId="0" xfId="6" applyNumberFormat="1" applyFont="1" applyFill="1">
      <alignment vertical="top"/>
    </xf>
    <xf fontId="1" fillId="8" borderId="0" numFmtId="0" xfId="7" applyNumberFormat="1" applyFont="1" applyFill="1">
      <alignment vertical="top"/>
    </xf>
    <xf fontId="1" fillId="9" borderId="0" numFmtId="0" xfId="8" applyNumberFormat="1" applyFont="1" applyFill="1">
      <alignment vertical="top"/>
    </xf>
    <xf fontId="1" fillId="10" borderId="0" numFmtId="0" xfId="9" applyNumberFormat="1" applyFont="1" applyFill="1">
      <alignment vertical="top"/>
    </xf>
    <xf fontId="1" fillId="11" borderId="0" numFmtId="0" xfId="10" applyNumberFormat="1" applyFont="1" applyFill="1">
      <alignment vertical="top"/>
    </xf>
    <xf fontId="1" fillId="12" borderId="0" numFmtId="0" xfId="11" applyNumberFormat="1" applyFont="1" applyFill="1">
      <alignment vertical="top"/>
    </xf>
    <xf fontId="1" fillId="13" borderId="0" numFmtId="0" xfId="12" applyNumberFormat="1" applyFont="1" applyFill="1">
      <alignment vertical="top"/>
    </xf>
    <xf fontId="1" fillId="14" borderId="0" numFmtId="0" xfId="13" applyNumberFormat="1" applyFont="1" applyFill="1">
      <alignment vertical="top"/>
    </xf>
    <xf fontId="1" fillId="15" borderId="0" numFmtId="0" xfId="14" applyNumberFormat="1" applyFont="1" applyFill="1">
      <alignment vertical="top"/>
    </xf>
    <xf fontId="1" fillId="16" borderId="0" numFmtId="0" xfId="15" applyNumberFormat="1" applyFont="1" applyFill="1">
      <alignment vertical="top"/>
    </xf>
    <xf fontId="1" fillId="17" borderId="0" numFmtId="0" xfId="16" applyNumberFormat="1" applyFont="1" applyFill="1">
      <alignment vertical="top"/>
    </xf>
    <xf fontId="1" fillId="18" borderId="0" numFmtId="0" xfId="17" applyNumberFormat="1" applyFont="1" applyFill="1">
      <alignment vertical="top"/>
    </xf>
    <xf fontId="1" fillId="19" borderId="0" numFmtId="0" xfId="18" applyNumberFormat="1" applyFont="1" applyFill="1">
      <alignment vertical="top"/>
    </xf>
    <xf fontId="2" fillId="20" borderId="0" numFmtId="0" xfId="19" applyNumberFormat="1" applyFont="1" applyFill="1">
      <alignment vertical="top"/>
    </xf>
    <xf fontId="2" fillId="21" borderId="0" numFmtId="0" xfId="20" applyNumberFormat="1" applyFont="1" applyFill="1">
      <alignment vertical="top"/>
    </xf>
    <xf fontId="2" fillId="22" borderId="0" numFmtId="0" xfId="21" applyNumberFormat="1" applyFont="1" applyFill="1">
      <alignment vertical="top"/>
    </xf>
    <xf fontId="2" fillId="23" borderId="0" numFmtId="0" xfId="22" applyNumberFormat="1" applyFont="1" applyFill="1">
      <alignment vertical="top"/>
    </xf>
    <xf fontId="2" fillId="24" borderId="0" numFmtId="0" xfId="23" applyNumberFormat="1" applyFont="1" applyFill="1">
      <alignment vertical="top"/>
    </xf>
    <xf fontId="2" fillId="25" borderId="0" numFmtId="0" xfId="24" applyNumberFormat="1" applyFont="1" applyFill="1">
      <alignment vertical="top"/>
    </xf>
    <xf fontId="3" fillId="26" borderId="0" numFmtId="0" xfId="25" applyNumberFormat="1" applyFont="1" applyFill="1">
      <alignment vertical="top"/>
    </xf>
    <xf fontId="4" fillId="27" borderId="1" numFmtId="0" xfId="26" applyNumberFormat="1" applyFont="1" applyFill="1" applyBorder="1">
      <alignment vertical="top"/>
    </xf>
    <xf fontId="5" fillId="28" borderId="2" numFmtId="0" xfId="27" applyNumberFormat="1" applyFont="1" applyFill="1" applyBorder="1">
      <alignment vertical="top"/>
    </xf>
    <xf fontId="31" fillId="0" borderId="0" numFmtId="506" xfId="28" applyNumberFormat="1" applyFont="1">
      <alignment vertical="top"/>
    </xf>
    <xf fontId="31" fillId="0" borderId="0" numFmtId="507" xfId="29" applyNumberFormat="1" applyFont="1">
      <alignment vertical="top"/>
    </xf>
    <xf fontId="31" fillId="0" borderId="0" numFmtId="508" xfId="30" applyNumberFormat="1" applyFont="1">
      <alignment vertical="top"/>
    </xf>
    <xf fontId="31" fillId="0" borderId="0" numFmtId="509" xfId="31" applyNumberFormat="1" applyFont="1">
      <alignment vertical="top"/>
    </xf>
    <xf fontId="7" fillId="0" borderId="0" numFmtId="0" xfId="32" applyNumberFormat="1" applyFont="1">
      <alignment vertical="top"/>
    </xf>
    <xf fontId="8" fillId="29" borderId="0" numFmtId="0" xfId="33" applyNumberFormat="1" applyFont="1" applyFill="1">
      <alignment vertical="top"/>
    </xf>
    <xf fontId="9" fillId="0" borderId="3" numFmtId="0" xfId="34" applyNumberFormat="1" applyFont="1" applyBorder="1">
      <alignment vertical="top"/>
    </xf>
    <xf fontId="10" fillId="0" borderId="4" numFmtId="0" xfId="35" applyNumberFormat="1" applyFont="1" applyBorder="1">
      <alignment vertical="top"/>
    </xf>
    <xf fontId="11" fillId="0" borderId="5" numFmtId="0" xfId="36" applyNumberFormat="1" applyFont="1" applyBorder="1">
      <alignment vertical="top"/>
    </xf>
    <xf fontId="11" fillId="0" borderId="0" numFmtId="0" xfId="37" applyNumberFormat="1" applyFont="1">
      <alignment vertical="top"/>
    </xf>
    <xf fontId="12" fillId="30" borderId="1" numFmtId="0" xfId="38" applyNumberFormat="1" applyFont="1" applyFill="1" applyBorder="1">
      <alignment vertical="top"/>
    </xf>
    <xf fontId="13" fillId="0" borderId="6" numFmtId="0" xfId="39" applyNumberFormat="1" applyFont="1" applyBorder="1">
      <alignment vertical="top"/>
    </xf>
    <xf fontId="14" fillId="31" borderId="0" numFmtId="0" xfId="40" applyNumberFormat="1" applyFont="1" applyFill="1">
      <alignment vertical="top"/>
    </xf>
    <xf fontId="31" fillId="32" borderId="7" numFmtId="0" xfId="42" applyNumberFormat="1" applyFont="1" applyFill="1" applyBorder="1">
      <alignment vertical="top"/>
    </xf>
    <xf fontId="16" fillId="27" borderId="8" numFmtId="0" xfId="43" applyNumberFormat="1" applyFont="1" applyFill="1" applyBorder="1">
      <alignment vertical="top"/>
    </xf>
    <xf fontId="31" fillId="0" borderId="0" numFmtId="9" xfId="44" applyNumberFormat="1" applyFont="1">
      <alignment vertical="top"/>
    </xf>
    <xf fontId="17" fillId="0" borderId="0" numFmtId="0" xfId="45" applyNumberFormat="1" applyFont="1">
      <alignment vertical="top"/>
    </xf>
    <xf fontId="18" fillId="0" borderId="9" numFmtId="0" xfId="46" applyNumberFormat="1" applyFont="1" applyBorder="1">
      <alignment vertical="top"/>
    </xf>
    <xf fontId="19" fillId="0" borderId="0" numFmtId="0" xfId="47" applyNumberFormat="1" applyFont="1">
      <alignment vertical="top"/>
    </xf>
    <xf fontId="20" fillId="0" borderId="0" numFmtId="0" xfId="0" applyNumberFormat="1" applyFont="1"/>
    <xf fontId="23" fillId="0" borderId="0" numFmtId="0" xfId="0" applyNumberFormat="1" applyFont="1">
      <alignment vertical="center"/>
    </xf>
    <xf fontId="24" fillId="0" borderId="0" numFmtId="0" xfId="55" applyNumberFormat="1" applyFont="1">
      <alignment vertical="top"/>
    </xf>
    <xf fontId="25" fillId="0" borderId="0" numFmtId="0" xfId="56" applyNumberFormat="1" applyFont="1">
      <alignment vertical="top"/>
    </xf>
    <xf fontId="26" fillId="0" borderId="0" numFmtId="0" xfId="57" applyNumberFormat="1" applyFont="1"/>
    <xf fontId="27" fillId="0" borderId="0" numFmtId="0" xfId="58" applyNumberFormat="1" applyFont="1">
      <alignment vertical="top"/>
    </xf>
    <xf fontId="28" fillId="0" borderId="0" numFmtId="0" xfId="60" applyNumberFormat="1" applyFont="1"/>
    <xf fontId="0" fillId="0" borderId="0" numFmtId="49" xfId="61" applyNumberFormat="1" applyFont="1">
      <alignment vertical="top"/>
    </xf>
    <xf fontId="29" fillId="0" borderId="0" numFmtId="0" xfId="0" applyNumberFormat="1" applyFont="1"/>
    <xf fontId="30" fillId="0" borderId="0" numFmtId="0" xfId="63" applyNumberFormat="1" applyFont="1">
      <alignment vertical="top"/>
    </xf>
    <xf fontId="22" fillId="0" borderId="0" numFmtId="0" xfId="0" applyNumberFormat="1" applyFont="1">
      <alignment vertical="top" wrapText="1"/>
    </xf>
    <xf fontId="0" fillId="0" borderId="0" numFmtId="49" xfId="0" applyNumberFormat="1" applyFont="1">
      <alignment vertical="top"/>
    </xf>
    <xf fontId="22" fillId="34" borderId="10" numFmtId="49" xfId="0" applyNumberFormat="1" applyFont="1" applyFill="1" applyBorder="1">
      <alignment horizontal="center" vertical="top"/>
    </xf>
    <xf fontId="0" fillId="0" borderId="0" numFmtId="49" xfId="0" applyNumberFormat="1" applyFont="1">
      <alignment vertical="top"/>
    </xf>
    <xf fontId="22" fillId="0" borderId="0" numFmtId="0" xfId="0" applyNumberFormat="1" applyFont="1"/>
    <xf fontId="22" fillId="35" borderId="0" numFmtId="0" xfId="0" applyNumberFormat="1" applyFont="1" applyFill="1"/>
    <xf fontId="32" fillId="0" borderId="0" numFmtId="0" xfId="0" applyNumberFormat="1" applyFont="1">
      <alignment vertical="center" wrapText="1"/>
    </xf>
    <xf fontId="33" fillId="0" borderId="0" numFmtId="0" xfId="0" applyNumberFormat="1" applyFont="1">
      <alignment vertical="center" wrapText="1"/>
    </xf>
    <xf fontId="22" fillId="35" borderId="0" numFmtId="0" xfId="0" applyNumberFormat="1" applyFont="1" applyFill="1">
      <alignment vertical="center" wrapText="1"/>
    </xf>
    <xf fontId="22" fillId="0" borderId="0" numFmtId="0" xfId="0" applyNumberFormat="1" applyFont="1">
      <alignment vertical="center" wrapText="1"/>
    </xf>
    <xf fontId="34" fillId="35" borderId="0" numFmtId="0" xfId="0" applyNumberFormat="1" applyFont="1" applyFill="1">
      <alignment vertical="center" wrapText="1"/>
    </xf>
    <xf fontId="22" fillId="35" borderId="0" numFmtId="0" xfId="0" applyNumberFormat="1" applyFont="1" applyFill="1">
      <alignment horizontal="right" indent="1" vertical="center" wrapText="1"/>
    </xf>
    <xf fontId="22" fillId="35" borderId="0" numFmtId="0" xfId="0" applyNumberFormat="1" applyFont="1" applyFill="1">
      <alignment horizontal="center"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0" borderId="0" numFmtId="0" xfId="0" applyNumberFormat="1" applyFont="1">
      <alignment vertical="center"/>
    </xf>
    <xf fontId="22" fillId="35" borderId="0" numFmtId="49" xfId="0" applyNumberFormat="1" applyFont="1" applyFill="1">
      <alignment horizontal="right" indent="1" vertical="center" wrapText="1"/>
    </xf>
    <xf fontId="34" fillId="35" borderId="0" numFmtId="49" xfId="0" applyNumberFormat="1" applyFont="1" applyFill="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0" numFmtId="0" xfId="0" applyNumberFormat="1" applyFont="1" applyFill="1">
      <alignment horizontal="right" vertical="center" wrapText="1"/>
    </xf>
    <xf fontId="0" fillId="35" borderId="0" numFmtId="49" xfId="0" applyNumberFormat="1" applyFont="1" applyFill="1">
      <alignment horizontal="right" indent="1" vertical="center" wrapText="1"/>
    </xf>
    <xf fontId="36" fillId="35" borderId="0" numFmtId="49" xfId="0" applyNumberFormat="1" applyFont="1" applyFill="1">
      <alignment horizontal="center" vertical="center" wrapText="1"/>
    </xf>
    <xf fontId="0" fillId="0" borderId="0" numFmtId="49" xfId="0" applyNumberFormat="1" applyFont="1">
      <alignment vertical="top"/>
    </xf>
    <xf fontId="0" fillId="0" borderId="0" numFmtId="49" xfId="0" applyNumberFormat="1" applyFont="1">
      <alignment vertical="top"/>
    </xf>
    <xf fontId="37" fillId="35" borderId="0" numFmtId="0" xfId="0" applyNumberFormat="1" applyFont="1" applyFill="1">
      <alignment horizontal="center" vertical="center" wrapText="1"/>
    </xf>
    <xf fontId="37" fillId="0" borderId="0" numFmtId="0" xfId="0" applyNumberFormat="1" applyFont="1">
      <alignment horizontal="center" vertical="center"/>
    </xf>
    <xf fontId="37" fillId="35" borderId="0" numFmtId="0" xfId="0" applyNumberFormat="1" applyFont="1" applyFill="1">
      <alignment horizontal="center" vertical="center"/>
    </xf>
    <xf fontId="38" fillId="0" borderId="11" numFmtId="49" xfId="0" applyNumberFormat="1" applyFont="1" applyBorder="1">
      <alignment vertical="top" wrapText="1"/>
    </xf>
    <xf fontId="0" fillId="0" borderId="11" numFmtId="0" xfId="0" applyNumberFormat="1" applyFont="1" applyBorder="1">
      <alignment vertical="top" wrapText="1"/>
    </xf>
    <xf fontId="22" fillId="35" borderId="0" numFmtId="0" xfId="0" applyNumberFormat="1" applyFont="1" applyFill="1">
      <alignment horizontal="center" vertical="center" wrapText="1"/>
    </xf>
    <xf fontId="39" fillId="35" borderId="0" numFmtId="0" xfId="0" applyNumberFormat="1" applyFont="1" applyFill="1">
      <alignment vertical="center" wrapText="1"/>
    </xf>
    <xf fontId="39" fillId="0" borderId="0" numFmtId="0" xfId="0" applyNumberFormat="1" applyFont="1">
      <alignment vertical="center" wrapText="1"/>
    </xf>
    <xf fontId="32" fillId="0" borderId="0" numFmtId="0" xfId="0" applyNumberFormat="1" applyFont="1">
      <alignment horizontal="left" vertical="center" wrapText="1"/>
    </xf>
    <xf fontId="32" fillId="0" borderId="0" numFmtId="49" xfId="0" applyNumberFormat="1" applyFont="1">
      <alignment horizontal="left" vertical="center" wrapText="1"/>
    </xf>
    <xf fontId="0" fillId="0" borderId="0" numFmtId="0" xfId="0" applyNumberFormat="1" applyFont="1">
      <alignment vertical="top"/>
    </xf>
    <xf fontId="22" fillId="0" borderId="0" numFmtId="49" xfId="0" applyNumberFormat="1" applyFont="1">
      <alignment vertical="center" wrapText="1"/>
    </xf>
    <xf fontId="22" fillId="0" borderId="0" numFmtId="49" xfId="0" applyNumberFormat="1" applyFont="1">
      <alignment vertical="top"/>
    </xf>
    <xf fontId="22" fillId="0" borderId="0" numFmtId="0" xfId="0" applyNumberFormat="1" applyFont="1">
      <alignment vertical="center" wrapText="1"/>
    </xf>
    <xf fontId="0" fillId="0" borderId="0" numFmtId="0" xfId="0" applyNumberFormat="1" applyFont="1">
      <alignment vertical="center"/>
    </xf>
    <xf fontId="22" fillId="35" borderId="12" numFmtId="0" xfId="0" applyNumberFormat="1" applyFont="1" applyFill="1" applyBorder="1">
      <alignment horizontal="center" vertical="center" wrapText="1"/>
    </xf>
    <xf fontId="22" fillId="36" borderId="12" numFmtId="49" xfId="0" applyNumberFormat="1" applyFont="1" applyFill="1" applyBorder="1">
      <alignment horizontal="left" vertical="center" wrapText="1"/>
      <protection locked="0"/>
    </xf>
    <xf fontId="40" fillId="37" borderId="13" numFmtId="49" xfId="0" applyNumberFormat="1" applyFont="1" applyFill="1" applyBorder="1">
      <alignment horizontal="left" vertical="center"/>
    </xf>
    <xf fontId="0" fillId="0" borderId="12" numFmtId="0" xfId="0" applyNumberFormat="1" applyFont="1" applyBorder="1">
      <alignment horizontal="center" vertical="center" wrapText="1"/>
    </xf>
    <xf fontId="22" fillId="37" borderId="14" numFmtId="0" xfId="0" applyNumberFormat="1" applyFont="1" applyFill="1" applyBorder="1">
      <alignment vertical="center" wrapText="1"/>
    </xf>
    <xf fontId="22" fillId="0" borderId="12" numFmtId="0" xfId="0" applyNumberFormat="1" applyFont="1" applyBorder="1">
      <alignment horizontal="center" vertical="center" wrapText="1"/>
    </xf>
    <xf fontId="41" fillId="0" borderId="0" numFmtId="0" xfId="0" applyNumberFormat="1" applyFont="1">
      <alignment vertical="center"/>
    </xf>
    <xf fontId="22" fillId="0" borderId="12" numFmtId="49" xfId="0" applyNumberFormat="1" applyFont="1" applyBorder="1">
      <alignment horizontal="center" vertical="center" wrapText="1"/>
    </xf>
    <xf fontId="22" fillId="35" borderId="12" numFmtId="0" xfId="0" applyNumberFormat="1" applyFont="1" applyFill="1" applyBorder="1">
      <alignment horizontal="center" vertical="center"/>
    </xf>
    <xf fontId="22" fillId="36" borderId="12" numFmtId="49" xfId="0" applyNumberFormat="1" applyFont="1" applyFill="1" applyBorder="1">
      <alignment horizontal="left" vertical="center" wrapText="1"/>
      <protection locked="0"/>
    </xf>
    <xf fontId="32" fillId="0" borderId="0" numFmtId="0" xfId="0" applyNumberFormat="1" applyFont="1">
      <alignment vertical="center" wrapText="1"/>
    </xf>
    <xf fontId="42" fillId="0" borderId="0" numFmtId="0" xfId="0" applyNumberFormat="1" applyFont="1">
      <alignment vertical="center" wrapText="1"/>
    </xf>
    <xf fontId="22" fillId="0" borderId="0" numFmtId="49" xfId="0" applyNumberFormat="1" applyFont="1">
      <alignment vertical="top"/>
    </xf>
    <xf fontId="32"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xf>
    <xf fontId="22" fillId="0" borderId="0" numFmtId="49" xfId="0" applyNumberFormat="1" applyFont="1">
      <alignment vertical="top"/>
    </xf>
    <xf fontId="22" fillId="35" borderId="0" numFmtId="0" xfId="0" applyNumberFormat="1" applyFont="1" applyFill="1"/>
    <xf fontId="43" fillId="35" borderId="0" numFmtId="0" xfId="0" applyNumberFormat="1" applyFont="1" applyFill="1">
      <alignment horizontal="center" vertical="center" wrapText="1"/>
    </xf>
    <xf fontId="3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wrapText="1"/>
    </xf>
    <xf fontId="22"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44" fillId="37" borderId="15" numFmtId="49" xfId="0" applyNumberFormat="1" applyFont="1" applyFill="1" applyBorder="1">
      <alignment horizontal="center" vertical="top"/>
    </xf>
    <xf fontId="40" fillId="37" borderId="15" numFmtId="49" xfId="0" applyNumberFormat="1" applyFont="1" applyFill="1" applyBorder="1">
      <alignment horizontal="left" vertical="center"/>
    </xf>
    <xf fontId="22" fillId="0" borderId="0" numFmtId="49" xfId="0" applyNumberFormat="1" applyFont="1">
      <alignment horizontal="center" vertical="top"/>
    </xf>
    <xf fontId="41" fillId="0" borderId="0" numFmtId="0" xfId="0" applyNumberFormat="1" applyFont="1">
      <alignment vertical="center"/>
    </xf>
    <xf fontId="0"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0" numFmtId="49" xfId="0" applyNumberFormat="1" applyFont="1">
      <alignment vertical="center" wrapText="1"/>
    </xf>
    <xf fontId="37" fillId="35" borderId="0" numFmtId="0" xfId="0" applyNumberFormat="1" applyFont="1" applyFill="1">
      <alignment horizontal="center" vertical="center" wrapText="1"/>
    </xf>
    <xf fontId="45" fillId="0" borderId="0" numFmtId="49" xfId="0" applyNumberFormat="1" applyFont="1">
      <alignment horizontal="right" vertical="top"/>
    </xf>
    <xf fontId="45" fillId="0" borderId="0" numFmtId="49" xfId="0" applyNumberFormat="1" applyFont="1">
      <alignment vertical="top"/>
    </xf>
    <xf fontId="22" fillId="0" borderId="0" numFmtId="0" xfId="0" applyNumberFormat="1" applyFont="1">
      <alignment horizontal="center" vertical="center" wrapText="1"/>
    </xf>
    <xf fontId="22" fillId="0" borderId="0" numFmtId="49" xfId="0" applyNumberFormat="1" applyFont="1">
      <alignment vertical="top"/>
    </xf>
    <xf fontId="0" fillId="0" borderId="0" numFmtId="0" xfId="0" applyNumberFormat="1" applyFont="1">
      <alignment vertical="center"/>
    </xf>
    <xf fontId="46" fillId="0" borderId="0" numFmtId="0" xfId="0" applyNumberFormat="1" applyFont="1">
      <alignment vertical="center" wrapText="1"/>
    </xf>
    <xf fontId="22" fillId="0" borderId="16" numFmtId="49" xfId="0" applyNumberFormat="1" applyFont="1" applyBorder="1">
      <alignment vertical="top"/>
    </xf>
    <xf fontId="29" fillId="0" borderId="0" numFmtId="0" xfId="0" applyNumberFormat="1" applyFont="1"/>
    <xf fontId="47" fillId="0" borderId="0" numFmtId="49" xfId="0" applyNumberFormat="1" applyFont="1">
      <alignment vertical="top"/>
    </xf>
    <xf fontId="47" fillId="0" borderId="0" numFmtId="0" xfId="0" applyNumberFormat="1" applyFont="1">
      <alignment vertical="center" wrapText="1"/>
    </xf>
    <xf fontId="0" fillId="35" borderId="12" numFmtId="49" xfId="0" applyNumberFormat="1" applyFont="1" applyFill="1" applyBorder="1">
      <alignment horizontal="center" vertical="center" wrapText="1"/>
    </xf>
    <xf fontId="32" fillId="0" borderId="0" numFmtId="0" xfId="0" applyNumberFormat="1" applyFont="1">
      <alignment horizontal="left" vertical="center" wrapText="1"/>
    </xf>
    <xf fontId="22" fillId="0" borderId="12" numFmtId="49" xfId="0" applyNumberFormat="1" applyFont="1" applyBorder="1">
      <alignment horizontal="left" vertical="center" wrapText="1"/>
    </xf>
    <xf fontId="22" fillId="35" borderId="17" numFmtId="0" xfId="0" applyNumberFormat="1" applyFont="1" applyFill="1" applyBorder="1">
      <alignment horizontal="center" vertical="center"/>
    </xf>
    <xf fontId="22" fillId="0" borderId="12" numFmtId="0" xfId="0" applyNumberFormat="1" applyFont="1" applyBorder="1">
      <alignment vertical="center" wrapText="1"/>
    </xf>
    <xf fontId="48" fillId="0" borderId="0" numFmtId="0" xfId="0" applyNumberFormat="1" applyFont="1">
      <alignment vertical="center" wrapText="1"/>
    </xf>
    <xf fontId="48" fillId="0" borderId="0" numFmtId="0" xfId="0" applyNumberFormat="1" applyFont="1">
      <alignment vertical="center"/>
    </xf>
    <xf fontId="49"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top" wrapText="1"/>
    </xf>
    <xf fontId="22" fillId="0" borderId="12" numFmtId="49" xfId="0" applyNumberFormat="1" applyFont="1" applyBorder="1">
      <alignment horizontal="center" vertical="center" wrapText="1"/>
    </xf>
    <xf fontId="46" fillId="0" borderId="18" numFmtId="0" xfId="0" applyNumberFormat="1" applyFont="1" applyBorder="1">
      <alignment vertical="top" wrapText="1"/>
    </xf>
    <xf fontId="0" fillId="0" borderId="12" numFmtId="49" xfId="0" applyNumberFormat="1" applyFont="1" applyBorder="1">
      <alignment vertical="top" wrapText="1"/>
    </xf>
    <xf fontId="0" fillId="0" borderId="12" numFmtId="0" xfId="0" applyNumberFormat="1" applyFont="1" applyBorder="1">
      <alignment vertical="top" wrapText="1"/>
    </xf>
    <xf fontId="1" fillId="0" borderId="0" numFmtId="0" xfId="0" applyNumberFormat="1" applyFont="1"/>
    <xf fontId="0" fillId="0" borderId="0" numFmtId="0" xfId="0" applyNumberFormat="1" applyFont="1"/>
    <xf fontId="37" fillId="0" borderId="0" numFmtId="0" xfId="0" applyNumberFormat="1" applyFont="1">
      <alignment horizontal="center" vertical="center" wrapText="1"/>
    </xf>
    <xf fontId="37"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22" fillId="0" borderId="0" numFmtId="4" xfId="0" applyNumberFormat="1" applyFont="1">
      <alignment horizontal="center" vertical="center" wrapText="1"/>
    </xf>
    <xf fontId="47" fillId="0" borderId="0" numFmtId="0" xfId="0" applyNumberFormat="1" applyFont="1">
      <alignment vertical="center"/>
    </xf>
    <xf fontId="22" fillId="0" borderId="12" numFmtId="501" xfId="0" applyNumberFormat="1" applyFont="1" applyBorder="1">
      <alignment horizontal="center" vertical="center" wrapText="1"/>
    </xf>
    <xf fontId="47" fillId="37" borderId="19" numFmtId="49" xfId="0" applyNumberFormat="1" applyFont="1" applyFill="1" applyBorder="1">
      <alignment horizontal="left" vertical="center" wrapText="1"/>
    </xf>
    <xf fontId="0" fillId="37" borderId="15" numFmtId="49" xfId="0" applyNumberFormat="1" applyFont="1" applyFill="1" applyBorder="1">
      <alignment horizontal="left" vertical="center"/>
    </xf>
    <xf fontId="47" fillId="37" borderId="20" numFmtId="49" xfId="0" applyNumberFormat="1" applyFont="1" applyFill="1" applyBorder="1">
      <alignment horizontal="left" vertical="center" wrapText="1"/>
    </xf>
    <xf fontId="36" fillId="0" borderId="0" numFmtId="0" xfId="0" applyNumberFormat="1" applyFont="1">
      <alignment horizontal="center" vertical="center" wrapText="1"/>
    </xf>
    <xf fontId="50" fillId="37" borderId="15"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22" fillId="37" borderId="13" numFmtId="49" xfId="0" applyNumberFormat="1" applyFont="1" applyFill="1" applyBorder="1">
      <alignment horizontal="right"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51" fillId="0" borderId="0" numFmtId="0" xfId="0" applyNumberFormat="1" applyFont="1">
      <alignment horizontal="center" vertical="center" wrapText="1"/>
    </xf>
    <xf fontId="0" fillId="35" borderId="0" numFmtId="49" xfId="0" applyNumberFormat="1" applyFont="1" applyFill="1">
      <alignment vertical="top"/>
    </xf>
    <xf fontId="52" fillId="38" borderId="0" numFmtId="49" xfId="0" applyNumberFormat="1" applyFont="1" applyFill="1">
      <alignment vertical="top"/>
    </xf>
    <xf fontId="52" fillId="0" borderId="0" numFmtId="49" xfId="0" applyNumberFormat="1" applyFont="1">
      <alignment vertical="top"/>
    </xf>
    <xf fontId="47" fillId="0" borderId="0" numFmtId="0" xfId="0" applyNumberFormat="1" applyFont="1">
      <alignment vertical="center"/>
    </xf>
    <xf fontId="0" fillId="37" borderId="15" numFmtId="49" xfId="0" applyNumberFormat="1" applyFont="1" applyFill="1" applyBorder="1">
      <alignment horizontal="right" vertical="center" wrapText="1"/>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xf fontId="22" fillId="0" borderId="0" numFmtId="49" xfId="0" applyNumberFormat="1" applyFont="1">
      <alignment vertical="top"/>
    </xf>
    <xf fontId="22" fillId="35" borderId="0" numFmtId="0" xfId="0" applyNumberFormat="1" applyFont="1" applyFill="1">
      <alignment horizontal="right" vertical="center"/>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48" fillId="0" borderId="0" numFmtId="49" xfId="0" applyNumberFormat="1" applyFont="1">
      <alignment vertical="top"/>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0" fillId="39" borderId="12" numFmtId="0" xfId="0" applyNumberFormat="1" applyFont="1" applyFill="1" applyBorder="1">
      <alignment horizontal="left" indent="1" vertical="center" wrapText="1"/>
      <protection locked="0"/>
    </xf>
    <xf fontId="40" fillId="37" borderId="15" numFmtId="49" xfId="0" applyNumberFormat="1" applyFont="1" applyFill="1" applyBorder="1">
      <alignment horizontal="left" indent="3" vertical="center"/>
    </xf>
    <xf fontId="44" fillId="37" borderId="13" numFmtId="49" xfId="0" applyNumberFormat="1" applyFont="1" applyFill="1" applyBorder="1">
      <alignment horizontal="center" vertical="top"/>
    </xf>
    <xf fontId="46" fillId="0" borderId="0" numFmtId="0" xfId="0" applyNumberFormat="1" applyFont="1">
      <alignment horizontal="right" vertical="top" wrapText="1"/>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indent="2" vertical="center"/>
    </xf>
    <xf fontId="0" fillId="0" borderId="12" numFmtId="0" xfId="0" applyNumberFormat="1" applyFont="1" applyBorder="1">
      <alignment horizontal="left" indent="1" vertical="center" wrapText="1"/>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22" fillId="0" borderId="12" numFmtId="0" xfId="0" applyNumberFormat="1" applyFont="1" applyBorder="1">
      <alignment vertical="top" wrapText="1"/>
    </xf>
    <xf fontId="37" fillId="0" borderId="0" numFmtId="0" xfId="0" applyNumberFormat="1" applyFont="1">
      <alignment horizontal="center" vertical="center" wrapText="1"/>
    </xf>
    <xf fontId="0" fillId="0" borderId="17" numFmtId="49" xfId="0" applyNumberFormat="1" applyFont="1" applyBorder="1">
      <alignment vertical="top"/>
    </xf>
    <xf fontId="48" fillId="0" borderId="0" numFmtId="0" xfId="0" applyNumberFormat="1" applyFont="1">
      <alignment vertical="center"/>
    </xf>
    <xf fontId="31" fillId="0" borderId="0" numFmtId="0" xfId="0" applyNumberFormat="1" applyFont="1">
      <alignment vertical="center"/>
    </xf>
    <xf fontId="53" fillId="39" borderId="12" numFmtId="49" xfId="0" applyNumberFormat="1" applyFont="1" applyFill="1" applyBorder="1">
      <alignment horizontal="left" vertical="center" wrapText="1"/>
      <protection locked="0"/>
    </xf>
    <xf fontId="44" fillId="37" borderId="13" numFmtId="49" xfId="0" applyNumberFormat="1" applyFont="1" applyFill="1" applyBorder="1">
      <alignment horizontal="center" vertical="top"/>
    </xf>
    <xf fontId="0" fillId="34" borderId="12" numFmtId="0" xfId="0" applyNumberFormat="1" applyFont="1" applyFill="1" applyBorder="1">
      <alignment horizontal="left" indent="1" vertical="center" wrapText="1"/>
    </xf>
    <xf fontId="22" fillId="39" borderId="12" numFmtId="49" xfId="0" applyNumberFormat="1" applyFont="1" applyFill="1" applyBorder="1">
      <alignment horizontal="left" indent="1" vertical="center" wrapText="1"/>
      <protection locked="0"/>
    </xf>
    <xf fontId="22" fillId="34" borderId="12" numFmtId="49" xfId="0" applyNumberFormat="1" applyFont="1" applyFill="1" applyBorder="1">
      <alignment horizontal="left" indent="1"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center" vertical="center" wrapText="1"/>
    </xf>
    <xf fontId="46" fillId="0" borderId="0" numFmtId="0" xfId="0" applyNumberFormat="1" applyFont="1">
      <alignment vertical="center" wrapText="1"/>
    </xf>
    <xf fontId="48" fillId="0" borderId="0" numFmtId="0" xfId="0" applyNumberFormat="1" applyFont="1">
      <alignment horizontal="center" vertical="center" wrapText="1"/>
    </xf>
    <xf fontId="0" fillId="0" borderId="12" numFmtId="0" xfId="0" applyNumberFormat="1" applyFont="1" applyBorder="1">
      <alignment horizontal="left" vertical="center" wrapText="1"/>
    </xf>
    <xf fontId="36" fillId="0" borderId="15" numFmtId="49" xfId="0" applyNumberFormat="1" applyFont="1" applyBorder="1">
      <alignment horizontal="center" vertical="center" wrapText="1"/>
    </xf>
    <xf fontId="54" fillId="0" borderId="0" numFmtId="0" xfId="0" applyNumberFormat="1" applyFont="1">
      <alignment vertical="center"/>
    </xf>
    <xf fontId="55"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60"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49" xfId="0" applyNumberFormat="1" applyFont="1">
      <alignment vertical="center" wrapText="1"/>
    </xf>
    <xf fontId="0" fillId="0" borderId="0" numFmtId="0" xfId="0" applyNumberFormat="1" applyFont="1">
      <alignment horizontal="left" indent="1" vertical="center"/>
    </xf>
    <xf fontId="48" fillId="0" borderId="0" numFmtId="0" xfId="0" applyNumberFormat="1" applyFont="1">
      <alignment horizontal="left" indent="1" vertical="center"/>
    </xf>
    <xf fontId="48" fillId="0" borderId="0" numFmtId="0" xfId="0" applyNumberFormat="1" applyFont="1">
      <alignment horizontal="left" indent="1" vertical="center"/>
    </xf>
    <xf fontId="48" fillId="0" borderId="22" numFmtId="0" xfId="0" applyNumberFormat="1" applyFont="1" applyBorder="1">
      <alignment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0" numFmtId="49" xfId="0" applyNumberFormat="1" applyFont="1">
      <alignment vertical="top"/>
    </xf>
    <xf fontId="22" fillId="0" borderId="0" numFmtId="0" xfId="0" applyNumberFormat="1" applyFont="1">
      <alignment horizontal="left" indent="2" vertical="center" wrapText="1"/>
    </xf>
    <xf fontId="22" fillId="0" borderId="12" numFmtId="0" xfId="0" applyNumberFormat="1" applyFont="1" applyBorder="1">
      <alignment vertical="top" wrapText="1"/>
    </xf>
    <xf fontId="0" fillId="39" borderId="12" numFmtId="0"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0" borderId="17" numFmtId="49" xfId="0" applyNumberFormat="1" applyFont="1" applyBorder="1">
      <alignment horizontal="left" vertical="center" wrapText="1"/>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22" fillId="0" borderId="0" numFmtId="0" xfId="0" applyNumberFormat="1" applyFont="1"/>
    <xf fontId="64" fillId="0" borderId="0" numFmtId="0" xfId="0" applyNumberFormat="1" applyFont="1">
      <alignment vertical="center" wrapText="1"/>
    </xf>
    <xf fontId="64" fillId="0" borderId="0" numFmtId="0" xfId="0" applyNumberFormat="1" applyFont="1">
      <alignment vertical="center" wrapText="1"/>
    </xf>
    <xf fontId="64" fillId="0" borderId="0" numFmtId="0" xfId="0" applyNumberFormat="1" applyFont="1"/>
    <xf fontId="65" fillId="0" borderId="0" numFmtId="49" xfId="0" applyNumberFormat="1" applyFont="1">
      <alignment vertical="top"/>
    </xf>
    <xf fontId="66" fillId="0" borderId="0" numFmtId="49" xfId="0" applyNumberFormat="1" applyFont="1">
      <alignment vertical="top"/>
    </xf>
    <xf fontId="22" fillId="0" borderId="0" numFmtId="0" xfId="0" applyNumberFormat="1" applyFont="1">
      <alignment horizontal="center" vertical="center" wrapText="1"/>
    </xf>
    <xf fontId="22" fillId="39" borderId="12" numFmtId="49" xfId="0" applyNumberFormat="1" applyFont="1" applyFill="1" applyBorder="1">
      <alignment horizontal="left" indent="1" vertical="center" wrapText="1"/>
      <protection locked="0"/>
    </xf>
    <xf fontId="48" fillId="0" borderId="0" numFmtId="0" xfId="0" applyNumberFormat="1" applyFont="1">
      <alignment vertical="top"/>
    </xf>
    <xf fontId="48" fillId="0" borderId="0" numFmtId="49" xfId="0" applyNumberFormat="1" applyFont="1">
      <alignment vertical="top"/>
    </xf>
    <xf fontId="0" fillId="0" borderId="0" numFmtId="0" xfId="0" applyNumberFormat="1" applyFont="1">
      <alignment vertical="top"/>
    </xf>
    <xf fontId="22" fillId="0" borderId="12" numFmtId="49" xfId="0" applyNumberFormat="1" applyFont="1" applyBorder="1">
      <alignment horizontal="right" vertical="center"/>
    </xf>
    <xf fontId="67"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vertical="center" wrapText="1"/>
    </xf>
    <xf fontId="22" fillId="0" borderId="12" numFmtId="0" xfId="0" applyNumberFormat="1" applyFont="1" applyBorder="1">
      <alignment horizontal="left" vertical="center" wrapText="1"/>
    </xf>
    <xf fontId="68" fillId="0" borderId="0" numFmtId="0" xfId="0" applyNumberFormat="1" applyFont="1">
      <alignment vertical="center"/>
    </xf>
    <xf fontId="36" fillId="35" borderId="0" numFmtId="49" xfId="0" applyNumberFormat="1" applyFont="1" applyFill="1">
      <alignment horizontal="center" vertical="center" wrapText="1"/>
    </xf>
    <xf fontId="0" fillId="0" borderId="0" numFmtId="0" xfId="0" applyNumberFormat="1" applyFont="1">
      <alignment vertical="center"/>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35" borderId="12" numFmtId="0" xfId="0" applyNumberFormat="1" applyFont="1" applyFill="1" applyBorder="1">
      <alignment horizontal="left" indent="5" vertical="center" wrapText="1"/>
    </xf>
    <xf fontId="40" fillId="37" borderId="15" numFmtId="49" xfId="0" applyNumberFormat="1" applyFont="1" applyFill="1" applyBorder="1">
      <alignment horizontal="left" indent="5" vertical="center"/>
    </xf>
    <xf fontId="40" fillId="37" borderId="15" numFmtId="49" xfId="0" applyNumberFormat="1" applyFont="1" applyFill="1" applyBorder="1">
      <alignment horizontal="left" indent="6" vertical="center"/>
    </xf>
    <xf fontId="22" fillId="0" borderId="12" numFmtId="0" xfId="0" applyNumberFormat="1" applyFont="1" applyBorder="1">
      <alignment vertical="center" wrapText="1"/>
    </xf>
    <xf fontId="46" fillId="0" borderId="0" numFmtId="0" xfId="0" applyNumberFormat="1" applyFont="1">
      <alignment vertical="center" wrapText="1"/>
    </xf>
    <xf fontId="69" fillId="35" borderId="0" numFmtId="0" xfId="0" applyNumberFormat="1" applyFont="1" applyFill="1">
      <alignment vertical="center" wrapText="1"/>
    </xf>
    <xf fontId="22" fillId="0" borderId="12" numFmtId="49" xfId="0" applyNumberFormat="1" applyFont="1" applyBorder="1">
      <alignment horizontal="center" vertical="center" wrapText="1"/>
    </xf>
    <xf fontId="0" fillId="0" borderId="0" numFmtId="49" xfId="0" applyNumberFormat="1" applyFont="1">
      <alignment vertical="top"/>
    </xf>
    <xf fontId="40" fillId="37" borderId="14" numFmtId="49" xfId="0" applyNumberFormat="1" applyFont="1" applyFill="1" applyBorder="1">
      <alignment horizontal="left" indent="1" vertical="center"/>
    </xf>
    <xf fontId="0" fillId="35" borderId="12" numFmtId="0" xfId="0" applyNumberFormat="1" applyFont="1" applyFill="1" applyBorder="1">
      <alignment horizontal="right" indent="1" vertical="center" wrapText="1"/>
    </xf>
    <xf fontId="0" fillId="0" borderId="12" numFmtId="49" xfId="0" applyNumberFormat="1" applyFont="1" applyBorder="1">
      <alignment horizontal="left" vertical="center"/>
    </xf>
    <xf fontId="22" fillId="0" borderId="12" numFmtId="0" xfId="0" applyNumberFormat="1" applyFont="1" applyBorder="1">
      <alignment vertical="top" wrapText="1"/>
    </xf>
    <xf fontId="22" fillId="0" borderId="12" numFmtId="0" xfId="0" applyNumberFormat="1" applyFont="1" applyBorder="1">
      <alignment vertical="center" wrapText="1"/>
    </xf>
    <xf fontId="67" fillId="0" borderId="0" numFmtId="0" xfId="0" applyNumberFormat="1" applyFont="1">
      <alignment vertical="center"/>
    </xf>
    <xf fontId="22" fillId="0" borderId="12" numFmtId="0" xfId="0" applyNumberFormat="1" applyFont="1" applyBorder="1">
      <alignment horizontal="left" indent="6" vertical="center" wrapText="1"/>
    </xf>
    <xf fontId="22" fillId="0" borderId="17" numFmtId="0" xfId="0" applyNumberFormat="1" applyFont="1" applyBorder="1">
      <alignment vertical="center" wrapText="1"/>
    </xf>
    <xf fontId="22" fillId="0" borderId="23" numFmtId="0" xfId="0" applyNumberFormat="1" applyFont="1" applyBorder="1">
      <alignment vertical="center" wrapText="1"/>
    </xf>
    <xf fontId="0" fillId="37" borderId="13" numFmtId="49" xfId="0" applyNumberFormat="1" applyFont="1" applyFill="1" applyBorder="1">
      <alignment horizontal="center" vertical="center" wrapText="1"/>
    </xf>
    <xf fontId="0" fillId="0" borderId="14" numFmtId="0" xfId="0" applyNumberFormat="1" applyFont="1" applyBorder="1">
      <alignment vertical="center"/>
    </xf>
    <xf fontId="0" fillId="35" borderId="14" numFmtId="0" xfId="0" applyNumberFormat="1" applyFont="1" applyFill="1" applyBorder="1">
      <alignment horizontal="right" indent="1" vertical="center" wrapText="1"/>
    </xf>
    <xf fontId="32" fillId="0" borderId="0" numFmtId="49" xfId="0" applyNumberFormat="1" applyFont="1">
      <alignment vertical="top"/>
    </xf>
    <xf fontId="39" fillId="35" borderId="0" numFmtId="0" xfId="0" applyNumberFormat="1" applyFont="1" applyFill="1">
      <alignment vertical="center" wrapText="1"/>
    </xf>
    <xf fontId="22" fillId="35" borderId="12" numFmtId="0" xfId="0" applyNumberFormat="1" applyFont="1" applyFill="1" applyBorder="1">
      <alignment horizontal="left" indent="1"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22" fillId="0" borderId="12" numFmtId="0" xfId="0" applyNumberFormat="1" applyFont="1" applyBorder="1">
      <alignment horizontal="left" indent="4"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xf>
    <xf fontId="40" fillId="37" borderId="15" numFmtId="49" xfId="0" applyNumberFormat="1" applyFont="1" applyFill="1" applyBorder="1">
      <alignment vertical="center" wrapText="1"/>
    </xf>
    <xf fontId="22" fillId="0" borderId="0" numFmtId="0" xfId="0" applyNumberFormat="1" applyFont="1">
      <alignment vertical="top" wrapText="1"/>
    </xf>
    <xf fontId="40" fillId="37" borderId="14" numFmtId="49"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0" numFmtId="0" xfId="0" applyNumberFormat="1" applyFont="1">
      <alignment vertical="center"/>
    </xf>
    <xf fontId="0" fillId="0" borderId="0" numFmtId="49" xfId="0" applyNumberFormat="1" applyFont="1">
      <alignment vertical="center"/>
    </xf>
    <xf fontId="50" fillId="35" borderId="0" numFmtId="0" xfId="0" applyNumberFormat="1" applyFont="1" applyFill="1">
      <alignment horizontal="center" vertical="center" wrapText="1"/>
    </xf>
    <xf fontId="22" fillId="0" borderId="0" numFmtId="0" xfId="0" applyNumberFormat="1" applyFont="1">
      <alignment vertical="center" wrapText="1"/>
    </xf>
    <xf fontId="22" fillId="37" borderId="13" numFmtId="49" xfId="0" applyNumberFormat="1" applyFont="1" applyFill="1" applyBorder="1">
      <alignment horizontal="center" vertical="center" wrapText="1"/>
    </xf>
    <xf fontId="22" fillId="0" borderId="12" numFmtId="4" xfId="0" applyNumberFormat="1" applyFont="1" applyBorder="1">
      <alignment horizontal="right" vertical="center" wrapText="1"/>
    </xf>
    <xf fontId="22" fillId="0" borderId="0" numFmtId="0" xfId="0" applyNumberFormat="1" applyFont="1">
      <alignment vertical="center" wrapText="1"/>
    </xf>
    <xf fontId="22" fillId="0" borderId="0" numFmtId="0" xfId="0" applyNumberFormat="1" applyFont="1">
      <alignment vertical="center" wrapText="1"/>
    </xf>
    <xf fontId="48" fillId="0" borderId="12" numFmtId="4" xfId="0" applyNumberFormat="1" applyFont="1" applyBorder="1">
      <alignment horizontal="center" vertical="center" wrapText="1"/>
    </xf>
    <xf fontId="0" fillId="0" borderId="0" numFmtId="0" xfId="0" applyNumberFormat="1" applyFont="1">
      <alignment vertical="center"/>
    </xf>
    <xf fontId="0" fillId="0" borderId="12" numFmtId="0" xfId="0" applyNumberFormat="1" applyFont="1" applyBorder="1">
      <alignment horizontal="left" indent="1" vertical="center" wrapText="1"/>
    </xf>
    <xf fontId="70" fillId="0" borderId="14" numFmtId="49" xfId="0" applyNumberFormat="1" applyFont="1" applyBorder="1">
      <alignment horizontal="left" vertical="center" wrapText="1"/>
    </xf>
    <xf fontId="67" fillId="0" borderId="12" numFmtId="0" xfId="0" applyNumberFormat="1" applyFont="1" applyBorder="1">
      <alignment horizontal="left" indent="2" vertical="center" wrapText="1"/>
    </xf>
    <xf fontId="67" fillId="0" borderId="12" numFmtId="49" xfId="0" applyNumberFormat="1" applyFont="1" applyBorder="1">
      <alignment horizontal="center" vertical="center" wrapText="1"/>
    </xf>
    <xf fontId="71" fillId="0" borderId="0" numFmtId="0" xfId="0" applyNumberFormat="1" applyFont="1">
      <alignment vertical="center" wrapText="1"/>
    </xf>
    <xf fontId="22" fillId="0" borderId="0" numFmtId="0" xfId="0" applyNumberFormat="1" applyFont="1">
      <alignment vertical="top"/>
    </xf>
    <xf fontId="22" fillId="0" borderId="0" numFmtId="0" xfId="0" applyNumberFormat="1" applyFont="1">
      <alignment horizontal="right" vertical="top" wrapText="1"/>
    </xf>
    <xf fontId="22" fillId="0" borderId="17" numFmtId="0" xfId="0" applyNumberFormat="1" applyFont="1" applyBorder="1">
      <alignment vertical="center" wrapText="1"/>
    </xf>
    <xf fontId="44" fillId="37" borderId="15" numFmtId="49" xfId="0" applyNumberFormat="1" applyFont="1" applyFill="1" applyBorder="1">
      <alignment horizontal="center" vertical="top"/>
    </xf>
    <xf fontId="22" fillId="0" borderId="23" numFmtId="0" xfId="0" applyNumberFormat="1" applyFont="1" applyBorder="1">
      <alignment vertical="top" wrapText="1"/>
    </xf>
    <xf fontId="0" fillId="0" borderId="0" numFmtId="0" xfId="0" applyNumberFormat="1" applyFont="1">
      <alignment horizontal="left" vertical="top" wrapText="1"/>
    </xf>
    <xf fontId="22" fillId="0" borderId="17" numFmtId="0" xfId="0" applyNumberFormat="1" applyFont="1" applyBorder="1">
      <alignment vertical="top" wrapText="1"/>
    </xf>
    <xf fontId="22" fillId="0" borderId="0" numFmtId="0" xfId="0" applyNumberFormat="1" applyFont="1">
      <alignment vertical="center" wrapText="1"/>
    </xf>
    <xf fontId="22" fillId="0" borderId="0" numFmtId="49" xfId="0" applyNumberFormat="1" applyFont="1">
      <alignment vertical="top"/>
    </xf>
    <xf fontId="39" fillId="0" borderId="0" numFmtId="0" xfId="0" applyNumberFormat="1" applyFont="1">
      <alignment vertical="center" wrapText="1"/>
    </xf>
    <xf fontId="22" fillId="0" borderId="12" numFmtId="0" xfId="0" applyNumberFormat="1" applyFont="1" applyBorder="1">
      <alignment vertical="center" wrapText="1"/>
    </xf>
    <xf fontId="22" fillId="0" borderId="0" numFmtId="49" xfId="0" applyNumberFormat="1" applyFont="1">
      <alignment horizontal="center" vertical="center" wrapText="1"/>
    </xf>
    <xf fontId="22" fillId="37" borderId="14" numFmtId="0" xfId="0" applyNumberFormat="1" applyFont="1" applyFill="1" applyBorder="1">
      <alignment vertical="center" wrapText="1"/>
    </xf>
    <xf fontId="22" fillId="39" borderId="12" numFmtId="0" xfId="0" applyNumberFormat="1" applyFont="1" applyFill="1" applyBorder="1">
      <alignment horizontal="left" indent="1" vertical="center" wrapText="1"/>
      <protection locked="0"/>
    </xf>
    <xf fontId="40" fillId="37" borderId="15" numFmtId="49" xfId="0" applyNumberFormat="1" applyFont="1" applyFill="1" applyBorder="1">
      <alignment horizontal="left" indent="2" vertical="center"/>
    </xf>
    <xf fontId="48" fillId="0" borderId="0" numFmtId="0" xfId="0" applyNumberFormat="1" applyFont="1">
      <alignment vertical="center"/>
    </xf>
    <xf fontId="72" fillId="0" borderId="0" numFmtId="0" xfId="0" applyNumberFormat="1" applyFont="1">
      <alignment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37" fillId="0" borderId="0" numFmtId="0" xfId="0" applyNumberFormat="1" applyFont="1">
      <alignment vertical="center" wrapText="1"/>
    </xf>
    <xf fontId="22" fillId="0" borderId="24" numFmtId="49" xfId="0" applyNumberFormat="1" applyFont="1" applyBorder="1">
      <alignment vertical="top"/>
    </xf>
    <xf fontId="48" fillId="0" borderId="24" numFmtId="0" xfId="0" applyNumberFormat="1" applyFont="1" applyBorder="1">
      <alignment horizontal="center" vertical="center" wrapText="1"/>
    </xf>
    <xf fontId="48" fillId="0" borderId="24" numFmtId="0" xfId="0" applyNumberFormat="1" applyFont="1" applyBorder="1">
      <alignment vertical="center" wrapText="1"/>
    </xf>
    <xf fontId="32" fillId="0" borderId="0" numFmtId="49" xfId="0" applyNumberFormat="1" applyFont="1">
      <alignment vertical="top"/>
    </xf>
    <xf fontId="0" fillId="0" borderId="24" numFmtId="49" xfId="0" applyNumberFormat="1" applyFont="1" applyBorder="1">
      <alignment vertical="top"/>
    </xf>
    <xf fontId="22" fillId="0" borderId="0" numFmtId="49" xfId="0" applyNumberFormat="1" applyFont="1">
      <alignment vertical="top"/>
    </xf>
    <xf fontId="22" fillId="0" borderId="0" numFmtId="49" xfId="0" applyNumberFormat="1" applyFont="1">
      <alignment vertical="center" wrapText="1"/>
    </xf>
    <xf fontId="32" fillId="0" borderId="0" numFmtId="0" xfId="0" applyNumberFormat="1" applyFont="1">
      <alignment vertical="center" wrapText="1"/>
    </xf>
    <xf fontId="22" fillId="35" borderId="0" numFmtId="0" xfId="0" applyNumberFormat="1" applyFont="1" applyFill="1">
      <alignment vertical="center" wrapText="1"/>
    </xf>
    <xf fontId="22" fillId="0" borderId="0" numFmtId="49" xfId="0" applyNumberFormat="1" applyFont="1">
      <alignment vertical="center" wrapText="1"/>
    </xf>
    <xf fontId="40" fillId="37" borderId="15" numFmtId="49" xfId="0" applyNumberFormat="1" applyFont="1" applyFill="1" applyBorder="1">
      <alignment horizontal="left" indent="4" vertical="center"/>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48" fillId="0" borderId="0" numFmtId="0" xfId="0" applyNumberFormat="1" applyFont="1">
      <alignment vertical="center"/>
    </xf>
    <xf fontId="22" fillId="0" borderId="0" numFmtId="0" xfId="0" applyNumberFormat="1" applyFont="1">
      <alignment vertical="top" wrapText="1"/>
    </xf>
    <xf fontId="22" fillId="0" borderId="12" numFmtId="49" xfId="0" applyNumberFormat="1" applyFont="1" applyBorder="1">
      <alignment horizontal="right" vertical="top"/>
    </xf>
    <xf fontId="22" fillId="0" borderId="17" numFmtId="49" xfId="0" applyNumberFormat="1" applyFont="1" applyBorder="1">
      <alignment horizontal="right" vertical="top"/>
    </xf>
    <xf fontId="40" fillId="37" borderId="15" numFmtId="49" xfId="0" applyNumberFormat="1" applyFont="1" applyFill="1" applyBorder="1">
      <alignment horizontal="left" indent="3" vertical="center"/>
    </xf>
    <xf fontId="0" fillId="0" borderId="0" numFmtId="49" xfId="0" applyNumberFormat="1" applyFont="1">
      <alignment vertical="top"/>
    </xf>
    <xf fontId="22" fillId="0" borderId="0" numFmtId="0" xfId="0" applyNumberFormat="1" applyFont="1">
      <alignment vertical="center" wrapText="1"/>
    </xf>
    <xf fontId="39" fillId="0" borderId="0" numFmtId="49" xfId="0" applyNumberFormat="1" applyFont="1">
      <alignment vertical="top"/>
    </xf>
    <xf fontId="39" fillId="35" borderId="0" numFmtId="0" xfId="0" applyNumberFormat="1" applyFont="1" applyFill="1">
      <alignment vertical="center" wrapText="1"/>
    </xf>
    <xf fontId="22"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48" fillId="0" borderId="0" numFmtId="49" xfId="0" applyNumberFormat="1" applyFont="1">
      <alignment vertical="top"/>
    </xf>
    <xf fontId="48" fillId="0" borderId="0" numFmtId="49" xfId="0" applyNumberFormat="1" applyFont="1">
      <alignment vertical="top"/>
    </xf>
    <xf fontId="22" fillId="39" borderId="12" numFmtId="49" xfId="0" applyNumberFormat="1" applyFont="1" applyFill="1" applyBorder="1">
      <alignment horizontal="left" vertical="center" wrapText="1"/>
      <protection locked="0"/>
    </xf>
    <xf fontId="53" fillId="39" borderId="12" numFmtId="49" xfId="0" applyNumberFormat="1" applyFont="1" applyFill="1" applyBorder="1">
      <alignment horizontal="left" vertical="center" wrapText="1"/>
      <protection locked="0"/>
    </xf>
    <xf fontId="0" fillId="0" borderId="25" numFmtId="49" xfId="0" applyNumberFormat="1" applyFont="1" applyBorder="1">
      <alignment horizontal="center" vertical="center"/>
    </xf>
    <xf fontId="22" fillId="0" borderId="12" numFmtId="502" xfId="0" applyNumberFormat="1" applyFont="1" applyBorder="1">
      <alignment horizontal="right" vertical="center" wrapText="1"/>
    </xf>
    <xf fontId="53" fillId="39" borderId="14" numFmtId="49" xfId="0" applyNumberFormat="1" applyFont="1" applyFill="1" applyBorder="1">
      <alignment horizontal="left" vertical="center" wrapText="1"/>
      <protection locked="0"/>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35" borderId="0" numFmtId="0" xfId="0" applyNumberFormat="1" applyFont="1" applyFill="1">
      <alignment horizontal="center" vertical="center" wrapText="1"/>
    </xf>
    <xf fontId="50" fillId="0" borderId="0" numFmtId="0" xfId="0" applyNumberFormat="1" applyFont="1">
      <alignment vertical="top" wrapText="1"/>
    </xf>
    <xf fontId="22" fillId="35" borderId="26" numFmtId="0" xfId="0" applyNumberFormat="1" applyFont="1" applyFill="1" applyBorder="1">
      <alignment horizontal="right" indent="1" vertical="center" wrapText="1"/>
    </xf>
    <xf fontId="0" fillId="35" borderId="26" numFmtId="0" xfId="0" applyNumberFormat="1" applyFont="1" applyFill="1" applyBorder="1">
      <alignment horizontal="right" indent="1" vertical="center" wrapText="1"/>
    </xf>
    <xf fontId="22" fillId="0" borderId="0" numFmtId="0" xfId="0" applyNumberFormat="1" applyFont="1">
      <alignment horizontal="left" indent="4" vertical="center" wrapText="1"/>
    </xf>
    <xf fontId="22" fillId="35" borderId="0" numFmtId="0" xfId="0" applyNumberFormat="1" applyFont="1" applyFill="1">
      <alignment horizontal="center" vertical="center" wrapText="1"/>
    </xf>
    <xf fontId="40" fillId="37" borderId="15" numFmtId="49" xfId="0" applyNumberFormat="1" applyFont="1" applyFill="1" applyBorder="1">
      <alignment horizontal="left" vertical="center"/>
    </xf>
    <xf fontId="22" fillId="0" borderId="19" numFmtId="0" xfId="0" applyNumberFormat="1" applyFont="1" applyBorder="1">
      <alignment vertical="center" wrapText="1"/>
    </xf>
    <xf fontId="22" fillId="0" borderId="0" numFmtId="0" xfId="0" applyNumberFormat="1" applyFont="1">
      <alignment horizontal="left" indent="1" vertical="center" wrapText="1"/>
    </xf>
    <xf fontId="71" fillId="0" borderId="0" numFmtId="0" xfId="0" applyNumberFormat="1" applyFont="1">
      <alignment vertical="center" wrapText="1"/>
    </xf>
    <xf fontId="0" fillId="35" borderId="14" numFmtId="49" xfId="0" applyNumberFormat="1" applyFont="1" applyFill="1" applyBorder="1">
      <alignment horizontal="center" vertical="center" wrapText="1"/>
    </xf>
    <xf fontId="40" fillId="37" borderId="27" numFmtId="49" xfId="0" applyNumberFormat="1" applyFont="1" applyFill="1" applyBorder="1">
      <alignment horizontal="left" indent="2" vertical="center"/>
    </xf>
    <xf fontId="53" fillId="36" borderId="12" numFmtId="49" xfId="0" applyNumberFormat="1" applyFont="1" applyFill="1" applyBorder="1">
      <alignment horizontal="left" vertical="center" wrapText="1"/>
      <protection locked="0"/>
    </xf>
    <xf fontId="22" fillId="0" borderId="19" numFmtId="49" xfId="0" applyNumberFormat="1" applyFont="1" applyBorder="1">
      <alignment vertical="top"/>
    </xf>
    <xf fontId="73" fillId="37" borderId="13" numFmtId="49" xfId="0" applyNumberFormat="1" applyFont="1" applyFill="1" applyBorder="1">
      <alignment horizontal="left" indent="1" vertical="center"/>
    </xf>
    <xf fontId="73" fillId="37" borderId="15" numFmtId="49" xfId="0" applyNumberFormat="1" applyFont="1" applyFill="1" applyBorder="1">
      <alignment horizontal="left" indent="1" vertical="center"/>
    </xf>
    <xf fontId="50" fillId="37" borderId="14" numFmtId="49" xfId="0" applyNumberFormat="1" applyFont="1" applyFill="1" applyBorder="1">
      <alignment horizontal="center" vertical="center"/>
    </xf>
    <xf fontId="73" fillId="37" borderId="15" numFmtId="49" xfId="0" applyNumberFormat="1" applyFont="1" applyFill="1" applyBorder="1">
      <alignment vertical="center"/>
    </xf>
    <xf fontId="0" fillId="41" borderId="12" numFmtId="0" xfId="0" applyNumberFormat="1" applyFont="1" applyFill="1" applyBorder="1">
      <alignment horizontal="right" vertical="center"/>
    </xf>
    <xf fontId="33" fillId="0" borderId="0" numFmtId="0" xfId="0" applyNumberFormat="1" applyFont="1">
      <alignment vertical="center" wrapText="1"/>
    </xf>
    <xf fontId="22" fillId="0" borderId="0" numFmtId="0" xfId="0" applyNumberFormat="1" applyFont="1">
      <alignment vertical="center" wrapText="1"/>
    </xf>
    <xf fontId="34" fillId="35" borderId="0" numFmtId="0" xfId="0" applyNumberFormat="1" applyFont="1" applyFill="1">
      <alignment vertical="center" wrapText="1"/>
    </xf>
    <xf fontId="32" fillId="0" borderId="0" numFmtId="0" xfId="0" applyNumberFormat="1" applyFont="1">
      <alignment horizontal="center" vertical="center" wrapText="1"/>
    </xf>
    <xf fontId="0" fillId="0" borderId="0" numFmtId="0" xfId="0" applyNumberFormat="1" applyFont="1">
      <alignment vertical="center" wrapText="1"/>
    </xf>
    <xf fontId="32" fillId="0" borderId="0" numFmtId="0" xfId="0" applyNumberFormat="1" applyFont="1">
      <alignment horizontal="left" vertical="center" wrapText="1"/>
    </xf>
    <xf fontId="0" fillId="0" borderId="12" numFmtId="0" xfId="0" applyNumberFormat="1" applyFont="1" applyBorder="1">
      <alignment horizontal="center" vertical="center" wrapText="1"/>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7" fillId="0" borderId="0" numFmtId="0" xfId="0" applyNumberFormat="1" applyFont="1">
      <alignment vertical="center" wrapText="1"/>
    </xf>
    <xf fontId="0" fillId="0" borderId="0" numFmtId="0" xfId="0" applyNumberFormat="1" applyFont="1">
      <alignment vertical="center"/>
    </xf>
    <xf fontId="48" fillId="0" borderId="0" numFmtId="49" xfId="0" applyNumberFormat="1" applyFont="1">
      <alignment vertical="top"/>
    </xf>
    <xf fontId="74" fillId="0" borderId="0" numFmtId="0" xfId="0" applyNumberFormat="1" applyFont="1">
      <alignment vertical="center" wrapText="1"/>
    </xf>
    <xf fontId="50" fillId="37" borderId="14" numFmtId="49" xfId="0" applyNumberFormat="1" applyFont="1" applyFill="1" applyBorder="1">
      <alignment horizontal="right" vertical="center" wrapText="1"/>
    </xf>
    <xf fontId="47" fillId="0" borderId="0" numFmtId="49" xfId="0" applyNumberFormat="1" applyFont="1">
      <alignment vertical="top"/>
    </xf>
    <xf fontId="0" fillId="0" borderId="0" numFmtId="49" xfId="0" applyNumberFormat="1" applyFont="1">
      <alignment vertical="top"/>
    </xf>
    <xf fontId="0" fillId="37" borderId="13" numFmtId="49" xfId="0" applyNumberFormat="1" applyFont="1" applyFill="1" applyBorder="1">
      <alignment horizontal="right" vertical="center" wrapText="1"/>
    </xf>
    <xf fontId="0" fillId="0" borderId="12" numFmtId="0" xfId="0" applyNumberFormat="1" applyFont="1" applyBorder="1">
      <alignment horizontal="center"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36" borderId="12" numFmtId="0"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vertical="top" wrapText="1"/>
    </xf>
    <xf fontId="0" fillId="35" borderId="14" numFmtId="0" xfId="0" applyNumberFormat="1" applyFont="1" applyFill="1" applyBorder="1">
      <alignment horizontal="left" indent="1" vertical="center" wrapText="1"/>
    </xf>
    <xf fontId="0" fillId="35" borderId="17" numFmtId="0" xfId="0" applyNumberFormat="1" applyFont="1" applyFill="1" applyBorder="1">
      <alignment horizontal="left" vertical="center" wrapText="1"/>
    </xf>
    <xf fontId="0" fillId="35" borderId="12" numFmtId="0" xfId="0" applyNumberFormat="1" applyFont="1" applyFill="1" applyBorder="1">
      <alignment horizontal="left" vertical="center" wrapText="1"/>
    </xf>
    <xf fontId="0" fillId="35" borderId="12" numFmtId="0" xfId="0" applyNumberFormat="1" applyFont="1" applyFill="1" applyBorder="1">
      <alignment horizontal="left" indent="2" vertical="center" wrapText="1"/>
    </xf>
    <xf fontId="0" fillId="35" borderId="12" numFmtId="0" xfId="0" applyNumberFormat="1" applyFont="1" applyFill="1" applyBorder="1">
      <alignment horizontal="center" vertical="center"/>
    </xf>
    <xf fontId="0" fillId="39" borderId="12" numFmtId="49" xfId="0" applyNumberFormat="1" applyFont="1" applyFill="1" applyBorder="1">
      <alignment horizontal="left" vertical="center" wrapText="1"/>
      <protection locked="0"/>
    </xf>
    <xf fontId="0" fillId="35" borderId="12" numFmtId="0" xfId="0" applyNumberFormat="1" applyFont="1" applyFill="1" applyBorder="1">
      <alignment horizontal="left" indent="1" vertical="center" wrapText="1"/>
    </xf>
    <xf fontId="0" fillId="0" borderId="12" numFmtId="0" xfId="0" applyNumberFormat="1" applyFont="1" applyBorder="1">
      <alignment horizontal="center" vertical="center" wrapText="1"/>
    </xf>
    <xf fontId="0" fillId="35" borderId="12" numFmtId="0" xfId="0" applyNumberFormat="1" applyFont="1" applyFill="1" applyBorder="1">
      <alignment vertical="center" wrapText="1"/>
    </xf>
    <xf fontId="0" fillId="35" borderId="12" numFmtId="49" xfId="0" applyNumberFormat="1" applyFont="1" applyFill="1" applyBorder="1">
      <alignment horizontal="center" vertical="center"/>
    </xf>
    <xf fontId="0" fillId="35" borderId="12" numFmtId="0" xfId="0" applyNumberFormat="1" applyFont="1" applyFill="1" applyBorder="1">
      <alignment horizontal="center" vertical="center" wrapText="1"/>
    </xf>
    <xf fontId="22" fillId="0" borderId="0" numFmtId="0" xfId="0" applyNumberFormat="1" applyFont="1">
      <alignment vertical="center" wrapText="1"/>
    </xf>
    <xf fontId="36" fillId="35" borderId="0" numFmtId="49" xfId="0" applyNumberFormat="1" applyFont="1" applyFill="1">
      <alignment horizontal="center"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37" fillId="0" borderId="0" numFmtId="0" xfId="0" applyNumberFormat="1" applyFont="1">
      <alignment horizontal="center" vertical="center" wrapText="1"/>
    </xf>
    <xf fontId="42" fillId="0" borderId="0" numFmtId="0" xfId="0" applyNumberFormat="1" applyFont="1">
      <alignment vertical="center" wrapText="1"/>
    </xf>
    <xf fontId="46" fillId="0" borderId="0" numFmtId="0" xfId="0" applyNumberFormat="1" applyFont="1">
      <alignment horizontal="center" vertical="center" wrapText="1"/>
    </xf>
    <xf fontId="45" fillId="0" borderId="0" numFmtId="0" xfId="0" applyNumberFormat="1" applyFont="1">
      <alignment vertical="center" wrapText="1"/>
    </xf>
    <xf fontId="0" fillId="35" borderId="0" numFmtId="0" xfId="0" applyNumberFormat="1" applyFont="1" applyFill="1"/>
    <xf fontId="0" fillId="35" borderId="0" numFmtId="0" xfId="0" applyNumberFormat="1" applyFont="1" applyFill="1">
      <alignment horizontal="center"/>
    </xf>
    <xf fontId="22" fillId="35" borderId="0" numFmtId="0" xfId="0" applyNumberFormat="1" applyFont="1" applyFill="1">
      <alignment vertical="center" wrapText="1"/>
    </xf>
    <xf fontId="75" fillId="35" borderId="0" numFmtId="0" xfId="0" applyNumberFormat="1" applyFont="1" applyFill="1">
      <alignment horizontal="center"/>
    </xf>
    <xf fontId="75" fillId="35" borderId="0" numFmtId="0" xfId="0" applyNumberFormat="1" applyFont="1" applyFill="1"/>
    <xf fontId="76" fillId="35" borderId="0" numFmtId="0" xfId="0" applyNumberFormat="1" applyFont="1" applyFill="1"/>
    <xf fontId="77" fillId="35" borderId="0" numFmtId="0" xfId="0" applyNumberFormat="1" applyFont="1" applyFill="1">
      <alignment horizontal="right" vertical="center"/>
    </xf>
    <xf fontId="77" fillId="35" borderId="0" numFmtId="0" xfId="0" applyNumberFormat="1" applyFont="1" applyFill="1">
      <alignment horizontal="right" vertical="top"/>
    </xf>
    <xf fontId="22" fillId="35" borderId="0" numFmtId="0" xfId="0" applyNumberFormat="1" applyFont="1" applyFill="1">
      <alignment horizontal="center" vertical="center" wrapText="1"/>
    </xf>
    <xf fontId="36" fillId="35" borderId="0" numFmtId="0" xfId="0" applyNumberFormat="1" applyFont="1" applyFill="1">
      <alignment horizontal="center" vertical="center"/>
    </xf>
    <xf fontId="22" fillId="0" borderId="12" numFmtId="0" xfId="0" applyNumberFormat="1" applyFont="1" applyBorder="1">
      <alignment horizontal="center" vertical="center" wrapText="1"/>
    </xf>
    <xf fontId="45" fillId="0" borderId="0" numFmtId="0" xfId="0" applyNumberFormat="1" applyFont="1">
      <alignment vertical="top" wrapText="1"/>
    </xf>
    <xf fontId="22" fillId="37" borderId="14" numFmtId="0" xfId="0" applyNumberFormat="1" applyFont="1" applyFill="1" applyBorder="1">
      <alignment horizont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78" fillId="35" borderId="0" numFmtId="0" xfId="0" applyNumberFormat="1" applyFont="1" applyFill="1">
      <alignment vertical="center"/>
    </xf>
    <xf fontId="78" fillId="35" borderId="0" numFmtId="0" xfId="0" applyNumberFormat="1" applyFont="1" applyFill="1">
      <alignment vertical="center" wrapText="1"/>
    </xf>
    <xf fontId="22" fillId="35" borderId="12" numFmtId="49"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vertical="center" wrapText="1"/>
    </xf>
    <xf fontId="65" fillId="35" borderId="0" numFmtId="0" xfId="0" applyNumberFormat="1" applyFont="1" applyFill="1"/>
    <xf fontId="52" fillId="35" borderId="0" numFmtId="0" xfId="0" applyNumberFormat="1" applyFont="1" applyFill="1"/>
    <xf fontId="61" fillId="35" borderId="0" numFmtId="0" xfId="0" applyNumberFormat="1" applyFont="1" applyFill="1"/>
    <xf fontId="61" fillId="35" borderId="0" numFmtId="0" xfId="0" applyNumberFormat="1" applyFont="1" applyFill="1">
      <alignment horizontal="center"/>
    </xf>
    <xf fontId="58" fillId="0" borderId="0" numFmtId="0" xfId="0" applyNumberFormat="1" applyFont="1">
      <alignment vertical="center" wrapText="1"/>
    </xf>
    <xf fontId="60"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60" fillId="0" borderId="0" numFmtId="4" xfId="0" applyNumberFormat="1" applyFont="1">
      <alignment horizontal="right" vertical="center" wrapText="1"/>
    </xf>
    <xf fontId="60" fillId="0" borderId="0" numFmtId="0" xfId="0" applyNumberFormat="1" applyFont="1">
      <alignment horizontal="left" indent="1" vertical="center" wrapText="1"/>
    </xf>
    <xf fontId="79" fillId="35" borderId="0" numFmtId="0" xfId="0" applyNumberFormat="1" applyFont="1" applyFill="1">
      <alignment horizontal="center" vertical="center" wrapText="1"/>
    </xf>
    <xf fontId="36" fillId="35" borderId="0" numFmtId="0" xfId="0" applyNumberFormat="1" applyFont="1" applyFill="1">
      <alignment horizontal="center" vertical="center" wrapText="1"/>
    </xf>
    <xf fontId="64" fillId="0" borderId="0" numFmtId="0" xfId="0" applyNumberFormat="1" applyFont="1">
      <alignment vertical="center" wrapText="1"/>
    </xf>
    <xf fontId="48" fillId="0" borderId="0" numFmtId="0" xfId="0" applyNumberFormat="1" applyFont="1">
      <alignment vertical="center" wrapText="1"/>
    </xf>
    <xf fontId="22" fillId="40" borderId="12" numFmtId="49" xfId="0" applyNumberFormat="1" applyFont="1" applyFill="1" applyBorder="1">
      <alignment horizontal="left" vertical="center" wrapText="1"/>
    </xf>
    <xf fontId="64" fillId="0" borderId="0" numFmtId="0" xfId="0" applyNumberFormat="1" applyFont="1">
      <alignment horizontal="center" vertical="center" wrapText="1"/>
    </xf>
    <xf fontId="22" fillId="35" borderId="24" numFmtId="0" xfId="0" applyNumberFormat="1" applyFont="1" applyFill="1" applyBorder="1">
      <alignment vertical="center" wrapText="1"/>
    </xf>
    <xf fontId="36" fillId="35" borderId="15" numFmtId="49" xfId="0" applyNumberFormat="1" applyFont="1" applyFill="1" applyBorder="1">
      <alignment horizontal="center" vertical="center" wrapText="1"/>
    </xf>
    <xf fontId="48" fillId="0" borderId="0" numFmtId="0" xfId="0" applyNumberFormat="1" applyFont="1">
      <alignment horizontal="center" vertical="center" wrapText="1"/>
    </xf>
    <xf fontId="79" fillId="0" borderId="0" numFmtId="0" xfId="0" applyNumberFormat="1" applyFont="1">
      <alignment horizontal="center" vertical="center" wrapText="1"/>
    </xf>
    <xf fontId="72" fillId="0" borderId="0" numFmtId="0" xfId="0" applyNumberFormat="1" applyFont="1">
      <alignment vertical="center" wrapText="1"/>
    </xf>
    <xf fontId="72" fillId="0" borderId="12" numFmtId="49" xfId="0" applyNumberFormat="1" applyFont="1" applyBorder="1">
      <alignment horizontal="lef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48" fillId="0" borderId="0" numFmtId="0" xfId="0" applyNumberFormat="1" applyFont="1">
      <alignment vertical="center"/>
    </xf>
    <xf fontId="48" fillId="35" borderId="0" numFmtId="0" xfId="0" applyNumberFormat="1" applyFont="1" applyFill="1"/>
    <xf fontId="48" fillId="35" borderId="0" numFmtId="0" xfId="0" applyNumberFormat="1" applyFont="1" applyFill="1">
      <alignment vertical="center" wrapText="1"/>
    </xf>
    <xf fontId="48" fillId="0" borderId="0" numFmtId="0" xfId="0" applyNumberFormat="1" applyFont="1">
      <alignment vertical="center" wrapText="1"/>
    </xf>
    <xf fontId="22" fillId="0" borderId="0" numFmtId="49" xfId="0" applyNumberFormat="1" applyFont="1">
      <alignment vertical="top"/>
    </xf>
    <xf fontId="22" fillId="0" borderId="0" numFmtId="0" xfId="0" applyNumberFormat="1" applyFont="1">
      <alignment vertical="center" wrapText="1"/>
    </xf>
    <xf fontId="37" fillId="35" borderId="0" numFmtId="0" xfId="0" applyNumberFormat="1" applyFont="1" applyFill="1">
      <alignment horizontal="center" vertical="center" wrapText="1"/>
    </xf>
    <xf fontId="42" fillId="0" borderId="0" numFmtId="0" xfId="0" applyNumberFormat="1" applyFont="1">
      <alignment vertical="center" wrapText="1"/>
    </xf>
    <xf fontId="22" fillId="0" borderId="12" numFmtId="49" xfId="0" applyNumberFormat="1" applyFont="1" applyBorder="1">
      <alignment horizontal="left" vertical="center" wrapText="1"/>
    </xf>
    <xf fontId="22" fillId="0" borderId="0" numFmtId="0" xfId="0" applyNumberFormat="1" applyFont="1">
      <alignment vertical="center" wrapText="1"/>
    </xf>
    <xf fontId="48" fillId="0" borderId="0" numFmtId="49" xfId="0" applyNumberFormat="1" applyFont="1">
      <alignment vertical="center" wrapText="1"/>
    </xf>
    <xf fontId="48" fillId="0" borderId="0" numFmtId="0" xfId="0" applyNumberFormat="1" applyFont="1">
      <alignment vertical="center" wrapText="1"/>
    </xf>
    <xf fontId="22" fillId="0" borderId="12" numFmtId="0" xfId="0" applyNumberFormat="1" applyFont="1" applyBorder="1">
      <alignment horizontal="center" vertical="center"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48" fillId="0" borderId="0" numFmtId="0" xfId="0" applyNumberFormat="1" applyFont="1">
      <alignment vertical="center" wrapText="1"/>
    </xf>
    <xf fontId="53" fillId="0" borderId="12" numFmtId="49" xfId="0" applyNumberFormat="1" applyFont="1" applyBorder="1">
      <alignment horizontal="left" vertical="center" wrapText="1"/>
    </xf>
    <xf fontId="22" fillId="40" borderId="12" numFmtId="14"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8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0" fillId="35" borderId="14" numFmtId="0" xfId="0" applyNumberFormat="1" applyFont="1" applyFill="1" applyBorder="1">
      <alignment horizontal="left" vertical="center" wrapText="1"/>
    </xf>
    <xf fontId="50" fillId="37" borderId="15" numFmtId="49" xfId="0" applyNumberFormat="1" applyFont="1" applyFill="1" applyBorder="1">
      <alignment horizontal="center" vertical="center"/>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22" fillId="0" borderId="0" numFmtId="0" xfId="0" applyNumberFormat="1" applyFont="1">
      <alignment vertical="center" wrapText="1"/>
    </xf>
    <xf fontId="47" fillId="0" borderId="0" numFmtId="0" xfId="0" applyNumberFormat="1" applyFont="1">
      <alignment horizontal="center" vertical="center" wrapText="1"/>
    </xf>
    <xf fontId="83" fillId="0" borderId="0" numFmtId="0" xfId="0" applyNumberFormat="1" applyFont="1">
      <alignment vertical="center" wrapText="1"/>
    </xf>
    <xf fontId="47" fillId="0" borderId="0" numFmtId="49" xfId="0" applyNumberFormat="1" applyFont="1">
      <alignment horizontal="center" vertical="center" wrapText="1"/>
    </xf>
    <xf fontId="47" fillId="0" borderId="0" numFmtId="0" xfId="0" applyNumberFormat="1" applyFont="1">
      <alignment vertical="center" wrapText="1"/>
    </xf>
    <xf fontId="22" fillId="0" borderId="0" numFmtId="49" xfId="0" applyNumberFormat="1" applyFont="1">
      <alignment horizontal="center" vertical="top" wrapText="1"/>
    </xf>
    <xf fontId="22" fillId="0" borderId="12" numFmtId="49" xfId="0" applyNumberFormat="1" applyFont="1" applyBorder="1">
      <alignment horizontal="center" vertical="center" wrapText="1"/>
    </xf>
    <xf fontId="22" fillId="39" borderId="12" numFmtId="49" xfId="0" applyNumberFormat="1" applyFont="1" applyFill="1" applyBorder="1">
      <alignment vertical="center" wrapText="1"/>
      <protection locked="0"/>
    </xf>
    <xf fontId="22" fillId="36" borderId="12" numFmtId="4" xfId="0" applyNumberFormat="1" applyFont="1" applyFill="1" applyBorder="1">
      <alignment horizontal="right" vertical="center" wrapText="1"/>
      <protection locked="0"/>
    </xf>
    <xf fontId="22" fillId="0" borderId="13" numFmtId="0" xfId="0" applyNumberFormat="1" applyFont="1" applyBorder="1">
      <alignment vertical="top" wrapText="1"/>
    </xf>
    <xf fontId="84" fillId="0" borderId="0" numFmtId="0" xfId="0" applyNumberFormat="1" applyFont="1">
      <alignment vertical="center" wrapText="1"/>
    </xf>
    <xf fontId="54" fillId="0" borderId="0" numFmtId="0" xfId="0" applyNumberFormat="1" applyFont="1">
      <alignment vertical="center" wrapText="1"/>
    </xf>
    <xf fontId="22" fillId="36" borderId="12" numFmtId="503" xfId="0" applyNumberFormat="1" applyFont="1" applyFill="1" applyBorder="1">
      <alignment horizontal="right" vertical="center" wrapText="1"/>
      <protection locked="0"/>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48" fillId="0" borderId="0" numFmtId="49" xfId="0" applyNumberFormat="1" applyFont="1">
      <alignment horizontal="center"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0" xfId="0" applyNumberFormat="1" applyFont="1" applyFill="1" applyBorder="1">
      <alignment horizontal="left" vertical="center" wrapText="1"/>
      <protection locked="0"/>
    </xf>
    <xf fontId="46" fillId="0" borderId="0" numFmtId="0" xfId="0" applyNumberFormat="1" applyFont="1">
      <alignment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22" fillId="37" borderId="14" numFmtId="49" xfId="0" applyNumberFormat="1" applyFont="1" applyFill="1" applyBorder="1">
      <alignment vertical="center" wrapText="1"/>
    </xf>
    <xf fontId="40" fillId="37" borderId="15" numFmtId="49" xfId="0" applyNumberFormat="1" applyFont="1" applyFill="1" applyBorder="1">
      <alignment horizontal="left" indent="2"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0" numFmtId="14" xfId="0" applyNumberFormat="1" applyFont="1">
      <alignment horizontal="center" vertical="center" wrapText="1"/>
    </xf>
    <xf fontId="50" fillId="0" borderId="0" numFmtId="49" xfId="0" applyNumberFormat="1" applyFont="1">
      <alignment horizontal="center" vertical="center"/>
    </xf>
    <xf fontId="22" fillId="0" borderId="12" numFmtId="0" xfId="0" applyNumberFormat="1" applyFont="1" applyBorder="1">
      <alignment horizontal="left" indent="2" vertical="center" wrapText="1"/>
    </xf>
    <xf fontId="22" fillId="39" borderId="12" numFmtId="503" xfId="0" applyNumberFormat="1" applyFont="1" applyFill="1" applyBorder="1">
      <alignment horizontal="right" vertical="center" wrapText="1"/>
      <protection locked="0"/>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0" fillId="37" borderId="15" numFmtId="49" xfId="0" applyNumberFormat="1" applyFont="1" applyFill="1" applyBorder="1">
      <alignment horizontal="left" indent="1" vertical="center"/>
    </xf>
    <xf fontId="22" fillId="0" borderId="0" numFmtId="0" xfId="0" applyNumberFormat="1" applyFont="1">
      <alignment horizontal="left" vertical="center" wrapText="1"/>
    </xf>
    <xf fontId="22" fillId="0" borderId="0" numFmtId="0" xfId="0" applyNumberFormat="1" applyFont="1">
      <alignment vertical="center"/>
    </xf>
    <xf fontId="0" fillId="0" borderId="0" numFmtId="0" xfId="0" applyNumberFormat="1" applyFont="1">
      <alignment vertical="center"/>
    </xf>
    <xf fontId="47" fillId="0" borderId="0" numFmtId="0" xfId="0" applyNumberFormat="1" applyFont="1">
      <alignment vertical="center"/>
    </xf>
    <xf fontId="22" fillId="0" borderId="0" numFmtId="0" xfId="0" applyNumberFormat="1" applyFont="1">
      <alignment vertical="center"/>
    </xf>
    <xf fontId="86"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vertical="center" wrapText="1"/>
    </xf>
    <xf fontId="41" fillId="0" borderId="0" numFmtId="0" xfId="0" applyNumberFormat="1" applyFont="1">
      <alignment vertical="center"/>
    </xf>
    <xf fontId="86" fillId="0" borderId="0" numFmtId="0" xfId="0" applyNumberFormat="1" applyFont="1">
      <alignment vertical="center"/>
    </xf>
    <xf fontId="31" fillId="0" borderId="0" numFmtId="0" xfId="0" applyNumberFormat="1" applyFont="1">
      <alignment vertical="center"/>
    </xf>
    <xf fontId="22" fillId="0" borderId="0" numFmtId="0" xfId="0" applyNumberFormat="1" applyFont="1">
      <alignment horizontal="center" vertical="center" wrapText="1"/>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3" numFmtId="0" xfId="0" applyNumberFormat="1" applyFont="1" applyFill="1" applyBorder="1">
      <alignment vertical="center"/>
    </xf>
    <xf fontId="22" fillId="0" borderId="17"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0" numFmtId="0" xfId="0" applyNumberFormat="1" applyFont="1">
      <alignment vertical="center"/>
    </xf>
    <xf fontId="74" fillId="0" borderId="0" numFmtId="0" xfId="0" applyNumberFormat="1" applyFont="1">
      <alignment vertical="center"/>
    </xf>
    <xf fontId="0" fillId="0" borderId="0" numFmtId="0" xfId="0" applyNumberFormat="1" applyFont="1">
      <alignment vertical="center"/>
    </xf>
    <xf fontId="40" fillId="37" borderId="13"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32" fillId="0" borderId="0" numFmtId="49" xfId="0" applyNumberFormat="1" applyFont="1">
      <alignment horizontal="center" vertical="center" wrapText="1"/>
    </xf>
    <xf fontId="48"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center" vertical="center" wrapText="1"/>
    </xf>
    <xf fontId="50"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63" fillId="0" borderId="0" numFmtId="49" xfId="0" applyNumberFormat="1" applyFont="1">
      <alignment horizontal="center" vertical="center" wrapText="1"/>
    </xf>
    <xf fontId="63"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7"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0" fillId="0" borderId="1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40" fillId="0" borderId="12" numFmtId="0" xfId="0" applyNumberFormat="1" applyFont="1" applyBorder="1">
      <alignment horizontal="left" indent="1"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22" fillId="0" borderId="0" numFmtId="0" xfId="0" applyNumberFormat="1" applyFont="1">
      <alignment vertical="top" wrapText="1"/>
    </xf>
    <xf fontId="22" fillId="0" borderId="0" numFmtId="0" xfId="0" applyNumberFormat="1" applyFont="1">
      <alignment horizontal="left" vertical="top" wrapText="1"/>
    </xf>
    <xf fontId="36" fillId="0" borderId="0" numFmtId="0" xfId="0" applyNumberFormat="1" applyFont="1">
      <alignment horizontal="center"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53" fillId="36" borderId="14"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45" fillId="0" borderId="0" numFmtId="0" xfId="0" applyNumberFormat="1" applyFont="1">
      <alignment vertical="top"/>
    </xf>
    <xf fontId="22" fillId="0" borderId="31" numFmtId="49"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22" fillId="0" borderId="32" numFmtId="49" xfId="0" applyNumberFormat="1" applyFont="1" applyBorder="1">
      <alignment horizontal="center" vertical="center" wrapText="1"/>
    </xf>
    <xf fontId="22" fillId="39" borderId="12" numFmtId="49" xfId="0" applyNumberFormat="1" applyFont="1" applyFill="1" applyBorder="1">
      <alignment horizontal="left" indent="1" vertical="center" wrapText="1"/>
      <protection locked="0"/>
    </xf>
    <xf fontId="22" fillId="0" borderId="31" numFmtId="0" xfId="0" applyNumberFormat="1" applyFont="1" applyBorder="1">
      <alignment horizontal="left" indent="2" vertical="center" wrapText="1"/>
    </xf>
    <xf fontId="47" fillId="0" borderId="0" numFmtId="0" xfId="0" applyNumberFormat="1" applyFont="1">
      <alignment horizontal="center" vertical="center" wrapText="1"/>
    </xf>
    <xf fontId="22" fillId="0" borderId="0" numFmtId="49" xfId="0" applyNumberFormat="1" applyFont="1">
      <alignment horizontal="left" vertical="center" wrapText="1"/>
    </xf>
    <xf fontId="83"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horizontal="left"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3" numFmtId="0" xfId="0" applyNumberFormat="1" applyFont="1" applyBorder="1">
      <alignment vertical="center" wrapText="1"/>
    </xf>
    <xf fontId="22" fillId="36" borderId="14" numFmtId="4" xfId="0" applyNumberFormat="1" applyFont="1" applyFill="1" applyBorder="1">
      <alignment horizontal="right" vertical="center" wrapText="1"/>
      <protection locked="0"/>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36" fillId="0" borderId="0" numFmtId="0" xfId="0" applyNumberFormat="1" applyFont="1">
      <alignment horizontal="center" vertical="center" wrapText="1"/>
    </xf>
    <xf fontId="22" fillId="0" borderId="14" numFmtId="0" xfId="0" applyNumberFormat="1" applyFont="1" applyBorder="1">
      <alignment horizontal="center" vertical="center" wrapText="1"/>
    </xf>
    <xf fontId="22" fillId="39" borderId="14" numFmtId="3" xfId="0" applyNumberFormat="1" applyFont="1" applyFill="1" applyBorder="1">
      <alignment vertical="center" wrapText="1"/>
      <protection locked="0"/>
    </xf>
    <xf fontId="22" fillId="36" borderId="14" numFmtId="49" xfId="0" applyNumberFormat="1" applyFont="1" applyFill="1" applyBorder="1">
      <alignment horizontal="left" vertical="center" wrapText="1"/>
      <protection locked="0"/>
    </xf>
    <xf fontId="22" fillId="34" borderId="14" numFmtId="4" xfId="0" applyNumberFormat="1" applyFont="1" applyFill="1" applyBorder="1">
      <alignment horizontal="right" vertical="center" wrapText="1"/>
    </xf>
    <xf fontId="22" fillId="0" borderId="0" numFmtId="0" xfId="0" applyNumberFormat="1" applyFont="1">
      <alignment horizontal="left" vertical="center" wrapText="1"/>
    </xf>
    <xf fontId="0" fillId="0" borderId="14" numFmtId="0" xfId="0" applyNumberFormat="1" applyFont="1" applyBorder="1">
      <alignment horizontal="center" vertical="center"/>
    </xf>
    <xf fontId="0" fillId="0" borderId="12" numFmtId="49" xfId="0" applyNumberFormat="1" applyFont="1" applyBorder="1">
      <alignment horizontal="left" indent="1" vertical="center" wrapText="1"/>
    </xf>
    <xf fontId="22" fillId="0" borderId="13" numFmtId="0" xfId="0" applyNumberFormat="1" applyFont="1" applyBorder="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37" borderId="27" numFmtId="0" xfId="0" applyNumberFormat="1" applyFont="1" applyFill="1" applyBorder="1">
      <alignment vertical="center" wrapText="1"/>
    </xf>
    <xf fontId="22" fillId="39" borderId="14" numFmtId="49" xfId="0" applyNumberFormat="1" applyFont="1" applyFill="1" applyBorder="1">
      <alignment horizontal="left" vertical="center" wrapText="1"/>
      <protection locked="0"/>
    </xf>
    <xf fontId="0" fillId="36" borderId="12" numFmtId="49" xfId="0" applyNumberFormat="1" applyFont="1" applyFill="1" applyBorder="1">
      <alignment horizontal="left" vertical="center" wrapText="1"/>
      <protection locked="0"/>
    </xf>
    <xf fontId="46" fillId="0" borderId="0" numFmtId="0" xfId="0" applyNumberFormat="1" applyFont="1">
      <alignment horizontal="left" indent="1"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22" fillId="0" borderId="12" numFmtId="0" xfId="0" applyNumberFormat="1" applyFont="1" applyBorder="1">
      <alignment horizontal="center" vertical="center" wrapText="1"/>
    </xf>
    <xf fontId="47" fillId="0" borderId="0" numFmtId="49" xfId="0" applyNumberFormat="1" applyFont="1">
      <alignment horizontal="center" vertical="center" wrapText="1"/>
    </xf>
    <xf fontId="22" fillId="0" borderId="12" numFmtId="0" xfId="0" applyNumberFormat="1" applyFont="1" applyBorder="1">
      <alignment horizontal="center" vertical="center" wrapText="1"/>
    </xf>
    <xf fontId="47" fillId="0" borderId="0" numFmtId="0" xfId="0" applyNumberFormat="1" applyFont="1">
      <alignment horizontal="center" vertical="top"/>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22" fillId="0" borderId="12" numFmtId="0" xfId="0" applyNumberFormat="1" applyFont="1" applyBorder="1">
      <alignment horizontal="left" vertical="center" wrapText="1"/>
    </xf>
    <xf fontId="22" fillId="40" borderId="12" numFmtId="49" xfId="0" applyNumberFormat="1" applyFont="1" applyFill="1" applyBorder="1">
      <alignment horizontal="left" indent="1" vertical="center" wrapText="1"/>
    </xf>
    <xf fontId="22" fillId="0" borderId="14" numFmtId="0" xfId="0" applyNumberFormat="1" applyFont="1" applyBorder="1">
      <alignment vertical="center" wrapText="1"/>
    </xf>
    <xf fontId="22" fillId="0" borderId="0" numFmtId="0" xfId="0" applyNumberFormat="1" applyFont="1">
      <alignment horizontal="right" vertical="center"/>
    </xf>
    <xf fontId="53" fillId="37" borderId="13" numFmtId="49" xfId="0" applyNumberFormat="1" applyFont="1" applyFill="1" applyBorder="1">
      <alignment horizontal="left" vertical="center" wrapText="1"/>
    </xf>
    <xf fontId="89" fillId="0" borderId="0" numFmtId="0" xfId="0" applyNumberFormat="1" applyFont="1">
      <alignment vertical="center"/>
    </xf>
    <xf fontId="90" fillId="0" borderId="0" numFmtId="0" xfId="0" applyNumberFormat="1" applyFont="1">
      <alignment vertical="center"/>
    </xf>
    <xf fontId="48" fillId="0" borderId="22" numFmtId="49" xfId="0" applyNumberFormat="1" applyFont="1" applyBorder="1">
      <alignment vertical="top"/>
    </xf>
    <xf fontId="48" fillId="0" borderId="22" numFmtId="49" xfId="0" applyNumberFormat="1" applyFont="1" applyBorder="1">
      <alignment vertical="top"/>
    </xf>
    <xf fontId="48" fillId="0" borderId="22" numFmtId="0" xfId="0" applyNumberFormat="1" applyFont="1" applyBorder="1">
      <alignment vertical="center" wrapText="1"/>
    </xf>
    <xf fontId="22" fillId="0" borderId="13" numFmtId="0" xfId="0" applyNumberFormat="1" applyFont="1" applyBorder="1">
      <alignment horizontal="left" indent="1" vertical="center" wrapText="1"/>
    </xf>
    <xf fontId="71" fillId="0" borderId="22" numFmtId="0" xfId="0" applyNumberFormat="1" applyFont="1" applyBorder="1">
      <alignment vertical="center" wrapText="1"/>
    </xf>
    <xf fontId="22" fillId="0" borderId="31" numFmtId="4" xfId="0" applyNumberFormat="1" applyFont="1" applyBorder="1">
      <alignment horizontal="center" vertical="center" wrapText="1"/>
    </xf>
    <xf fontId="22" fillId="0" borderId="33" numFmtId="0" xfId="0" applyNumberFormat="1" applyFont="1" applyBorder="1">
      <alignment horizontal="left" vertical="center" wrapText="1"/>
    </xf>
    <xf fontId="22" fillId="0" borderId="33" numFmtId="0" xfId="0" applyNumberFormat="1" applyFont="1" applyBorder="1">
      <alignment horizontal="left" indent="1"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0" borderId="34" numFmtId="49"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39" borderId="34" numFmtId="4" xfId="0" applyNumberFormat="1" applyFont="1" applyFill="1" applyBorder="1">
      <alignment horizontal="right" vertical="center" wrapText="1"/>
      <protection locked="0"/>
    </xf>
    <xf fontId="47" fillId="0" borderId="0" numFmtId="0" xfId="0" applyNumberFormat="1" applyFont="1">
      <alignment horizontal="left" vertical="center" wrapText="1"/>
    </xf>
    <xf fontId="48" fillId="0" borderId="0" numFmtId="0" xfId="0" applyNumberFormat="1" applyFont="1">
      <alignment horizontal="left" vertical="center" wrapText="1"/>
    </xf>
    <xf fontId="54" fillId="0" borderId="0" numFmtId="0" xfId="0" applyNumberFormat="1" applyFont="1">
      <alignment horizontal="left" vertical="center" wrapText="1"/>
    </xf>
    <xf fontId="32" fillId="0" borderId="0" numFmtId="0" xfId="0" applyNumberFormat="1" applyFont="1">
      <alignment horizontal="left" vertical="center" wrapText="1"/>
    </xf>
    <xf fontId="22" fillId="0" borderId="0" numFmtId="49" xfId="0" applyNumberFormat="1" applyFont="1">
      <alignment horizontal="center" vertical="center" wrapText="1"/>
    </xf>
    <xf fontId="84" fillId="0" borderId="0" numFmtId="0" xfId="0" applyNumberFormat="1" applyFont="1">
      <alignment vertical="center" wrapText="1"/>
    </xf>
    <xf fontId="48"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0" borderId="35"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22" fillId="0" borderId="33" numFmtId="49" xfId="0" applyNumberFormat="1" applyFont="1" applyBorder="1">
      <alignment horizontal="center" vertical="center" wrapText="1"/>
    </xf>
    <xf fontId="22" fillId="0" borderId="35" numFmtId="0" xfId="0" applyNumberFormat="1" applyFont="1" applyBorder="1">
      <alignment horizontal="left" vertical="center" wrapText="1"/>
    </xf>
    <xf fontId="22" fillId="0" borderId="20" numFmtId="0" xfId="0" applyNumberFormat="1" applyFont="1" applyBorder="1">
      <alignment vertical="center" wrapText="1"/>
    </xf>
    <xf fontId="37" fillId="0" borderId="0" numFmtId="0" xfId="0" applyNumberFormat="1" applyFont="1">
      <alignment horizontal="center"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34" borderId="12" numFmtId="503" xfId="0" applyNumberFormat="1" applyFont="1" applyFill="1" applyBorder="1">
      <alignment horizontal="right" vertical="center" wrapText="1"/>
    </xf>
    <xf fontId="0" fillId="0" borderId="0" numFmtId="0" xfId="0" applyNumberFormat="1" applyFont="1">
      <alignment vertical="center"/>
    </xf>
    <xf fontId="22" fillId="36" borderId="12" numFmtId="4" xfId="0" applyNumberFormat="1" applyFont="1" applyFill="1" applyBorder="1">
      <alignment horizontal="right" vertical="center" wrapText="1"/>
      <protection locked="0"/>
    </xf>
    <xf fontId="73" fillId="35" borderId="0" numFmtId="0" xfId="0" applyNumberFormat="1" applyFont="1" applyFill="1">
      <alignment horizontal="right" vertical="center"/>
    </xf>
    <xf fontId="0" fillId="0" borderId="12" numFmtId="49" xfId="0" applyNumberFormat="1" applyFont="1" applyBorder="1">
      <alignment vertical="top"/>
    </xf>
    <xf fontId="22" fillId="0" borderId="14" numFmtId="0" xfId="0" applyNumberFormat="1" applyFont="1" applyBorder="1">
      <alignment horizontal="center" vertical="center" wrapText="1"/>
    </xf>
    <xf fontId="0" fillId="16" borderId="12" numFmtId="49" xfId="0" applyNumberFormat="1" applyFont="1" applyFill="1" applyBorder="1">
      <alignment vertical="top"/>
    </xf>
    <xf fontId="0" fillId="16" borderId="17" numFmtId="49" xfId="0" applyNumberFormat="1" applyFont="1" applyFill="1" applyBorder="1">
      <alignment vertical="top"/>
    </xf>
    <xf fontId="0" fillId="43" borderId="17" numFmtId="49" xfId="0" applyNumberFormat="1" applyFont="1" applyFill="1" applyBorder="1">
      <alignment vertical="top"/>
    </xf>
    <xf fontId="22" fillId="0" borderId="0" numFmtId="0" xfId="0" applyNumberFormat="1" applyFont="1">
      <alignment vertical="center" wrapText="1"/>
    </xf>
    <xf fontId="32"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49" xfId="0" applyNumberFormat="1" applyFont="1">
      <alignment vertical="center" wrapText="1"/>
    </xf>
    <xf fontId="22" fillId="0" borderId="0" numFmtId="0" xfId="0" applyNumberFormat="1" applyFont="1">
      <alignment horizontal="center" vertical="center" wrapText="1"/>
    </xf>
    <xf fontId="0" fillId="0" borderId="14" numFmtId="49" xfId="0" applyNumberFormat="1" applyFont="1" applyBorder="1">
      <alignment vertical="top"/>
    </xf>
    <xf fontId="0" fillId="0" borderId="14" numFmtId="49" xfId="0" applyNumberFormat="1" applyFont="1" applyBorder="1">
      <alignment horizontal="center" vertical="top"/>
    </xf>
    <xf fontId="0" fillId="0" borderId="15" numFmtId="49" xfId="0" applyNumberFormat="1" applyFont="1" applyBorder="1">
      <alignment horizontal="center" vertical="top"/>
    </xf>
    <xf fontId="0" fillId="5" borderId="12" numFmtId="49" xfId="0" applyNumberFormat="1" applyFont="1" applyFill="1" applyBorder="1">
      <alignment vertical="top"/>
    </xf>
    <xf fontId="0" fillId="44" borderId="12" numFmtId="49" xfId="0" applyNumberFormat="1" applyFont="1" applyFill="1" applyBorder="1">
      <alignment vertical="top"/>
    </xf>
    <xf fontId="0" fillId="3" borderId="12" numFmtId="49" xfId="0" applyNumberFormat="1" applyFont="1" applyFill="1" applyBorder="1">
      <alignment vertical="top"/>
    </xf>
    <xf fontId="0" fillId="0" borderId="0" numFmtId="49" xfId="0" applyNumberFormat="1" applyFont="1">
      <alignment vertical="top"/>
    </xf>
    <xf fontId="22" fillId="0" borderId="0" numFmtId="0" xfId="0" applyNumberFormat="1" applyFont="1">
      <alignment horizontal="center" vertical="center" wrapText="1"/>
    </xf>
    <xf fontId="50" fillId="35" borderId="0" numFmtId="0" xfId="0" applyNumberFormat="1" applyFont="1" applyFill="1">
      <alignment vertical="center" wrapText="1"/>
    </xf>
    <xf fontId="53" fillId="0" borderId="0" numFmtId="0" xfId="0" applyNumberFormat="1" applyFont="1">
      <alignment horizontal="left" indent="1" vertical="center"/>
    </xf>
    <xf fontId="0" fillId="35" borderId="0" numFmtId="0" xfId="0" applyNumberFormat="1" applyFont="1" applyFill="1">
      <alignment horizontal="right" indent="1" vertical="center" wrapText="1"/>
    </xf>
    <xf fontId="0" fillId="35" borderId="0" numFmtId="0" xfId="0" applyNumberFormat="1" applyFont="1" applyFill="1">
      <alignment horizontal="left" indent="1" vertical="center" wrapText="1"/>
    </xf>
    <xf fontId="22" fillId="35" borderId="0" numFmtId="14" xfId="0" applyNumberFormat="1" applyFont="1" applyFill="1">
      <alignment horizontal="center" vertical="center" wrapText="1"/>
    </xf>
    <xf fontId="22" fillId="0" borderId="14" numFmtId="501" xfId="0" applyNumberFormat="1" applyFont="1" applyBorder="1">
      <alignment horizontal="center" vertical="center" wrapText="1"/>
    </xf>
    <xf fontId="36" fillId="0" borderId="15" numFmtId="49" xfId="0" applyNumberFormat="1" applyFont="1" applyBorder="1">
      <alignment horizontal="center" vertical="center" wrapText="1"/>
    </xf>
    <xf fontId="22" fillId="0" borderId="0" numFmtId="49" xfId="0" applyNumberFormat="1" applyFont="1">
      <alignment horizontal="center" vertical="center" wrapText="1"/>
    </xf>
    <xf fontId="22" fillId="0" borderId="23" numFmtId="0" xfId="0" applyNumberFormat="1" applyFont="1" applyBorder="1">
      <alignment horizontal="center" vertical="center" wrapText="1"/>
    </xf>
    <xf fontId="0" fillId="45" borderId="12" numFmtId="49" xfId="0" applyNumberFormat="1" applyFont="1" applyFill="1" applyBorder="1">
      <alignment vertical="top"/>
    </xf>
    <xf fontId="37" fillId="0" borderId="0" numFmtId="0" xfId="0" applyNumberFormat="1" applyFont="1">
      <alignment horizontal="center" vertical="center" wrapText="1"/>
    </xf>
    <xf fontId="91" fillId="0" borderId="0" numFmtId="0" xfId="0" applyNumberFormat="1" applyFont="1">
      <alignment horizontal="left" vertical="center" wrapText="1"/>
    </xf>
    <xf fontId="91" fillId="0" borderId="0" numFmtId="0" xfId="0" applyNumberFormat="1" applyFont="1">
      <alignment horizontal="left" vertical="center" wrapText="1"/>
    </xf>
    <xf fontId="91" fillId="35" borderId="0" numFmtId="14" xfId="0" applyNumberFormat="1" applyFont="1" applyFill="1">
      <alignment horizontal="left" vertical="center" wrapText="1"/>
    </xf>
    <xf fontId="92" fillId="0" borderId="0" numFmtId="14" xfId="0" applyNumberFormat="1" applyFont="1">
      <alignment horizontal="center" vertical="center" wrapText="1"/>
    </xf>
    <xf fontId="91" fillId="0" borderId="0" numFmtId="0" xfId="0" applyNumberFormat="1" applyFont="1">
      <alignment horizontal="left" vertical="center" wrapText="1"/>
    </xf>
    <xf fontId="93" fillId="0" borderId="12" numFmtId="14" xfId="0" applyNumberFormat="1" applyFont="1" applyBorder="1">
      <alignment horizontal="left" vertical="center" wrapText="1"/>
    </xf>
    <xf fontId="48" fillId="0" borderId="0" numFmtId="0" xfId="0" applyNumberFormat="1" applyFont="1">
      <alignment vertical="center"/>
    </xf>
    <xf fontId="22" fillId="37" borderId="19" numFmtId="49" xfId="0" applyNumberFormat="1" applyFont="1" applyFill="1" applyBorder="1">
      <alignment horizontal="center" vertical="center" wrapText="1"/>
    </xf>
    <xf fontId="22" fillId="34" borderId="23" numFmtId="49" xfId="0" applyNumberFormat="1" applyFont="1" applyFill="1" applyBorder="1">
      <alignment horizontal="center" vertical="center" wrapText="1"/>
    </xf>
    <xf fontId="47" fillId="0" borderId="12" numFmtId="49" xfId="0" applyNumberFormat="1" applyFont="1" applyBorder="1">
      <alignment horizontal="left" vertical="center" wrapText="1"/>
    </xf>
    <xf fontId="22" fillId="40" borderId="23" numFmtId="14" xfId="0" applyNumberFormat="1" applyFont="1" applyFill="1" applyBorder="1">
      <alignment horizontal="left" indent="1" vertical="center" wrapText="1"/>
    </xf>
    <xf fontId="22" fillId="37" borderId="14" numFmtId="49" xfId="0" applyNumberFormat="1" applyFont="1" applyFill="1" applyBorder="1">
      <alignment horizontal="right" vertical="center" wrapText="1"/>
    </xf>
    <xf fontId="48" fillId="0" borderId="23" numFmtId="0" xfId="0" applyNumberFormat="1" applyFont="1" applyBorder="1">
      <alignment horizontal="center" vertical="center" wrapText="1"/>
    </xf>
    <xf fontId="22" fillId="0" borderId="13" numFmtId="49" xfId="0" applyNumberFormat="1" applyFont="1" applyBorder="1">
      <alignment horizontal="center" vertical="top"/>
    </xf>
    <xf fontId="22" fillId="0" borderId="12" numFmtId="49" xfId="0" applyNumberFormat="1" applyFont="1" applyBorder="1">
      <alignment horizontal="center" vertical="top"/>
    </xf>
    <xf fontId="22" fillId="0" borderId="23" numFmtId="0" xfId="0" applyNumberFormat="1" applyFont="1" applyBorder="1">
      <alignment horizontal="center" vertical="center" wrapText="1"/>
    </xf>
    <xf fontId="22" fillId="0" borderId="14" numFmtId="49" xfId="0" applyNumberFormat="1" applyFont="1" applyBorder="1">
      <alignment horizontal="center" vertical="top"/>
    </xf>
    <xf fontId="36" fillId="0" borderId="24" numFmtId="0" xfId="0" applyNumberFormat="1" applyFont="1" applyBorder="1">
      <alignment vertical="top" wrapText="1"/>
    </xf>
    <xf fontId="36" fillId="0" borderId="0" numFmtId="0" xfId="0" applyNumberFormat="1" applyFont="1">
      <alignment vertical="top" wrapText="1"/>
    </xf>
    <xf fontId="48" fillId="0" borderId="12" numFmtId="0" xfId="0" applyNumberFormat="1" applyFont="1" applyBorder="1">
      <alignment horizontal="center" vertical="center" wrapText="1"/>
    </xf>
    <xf fontId="47" fillId="0" borderId="23" numFmtId="0" xfId="0" applyNumberFormat="1" applyFont="1" applyBorder="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47" fillId="0" borderId="22" numFmtId="0" xfId="0" applyNumberFormat="1" applyFont="1" applyBorder="1">
      <alignment vertical="center"/>
    </xf>
    <xf fontId="22" fillId="0" borderId="13"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36" borderId="14" numFmtId="3" xfId="0" applyNumberFormat="1" applyFont="1" applyFill="1" applyBorder="1">
      <alignment horizontal="right" vertical="center" wrapText="1"/>
      <protection locked="0"/>
    </xf>
    <xf fontId="53" fillId="36" borderId="12" numFmtId="49" xfId="0" applyNumberFormat="1" applyFont="1" applyFill="1" applyBorder="1">
      <alignment horizontal="left" vertical="center" wrapText="1"/>
      <protection locked="0"/>
    </xf>
    <xf fontId="53" fillId="0" borderId="0" numFmtId="0" xfId="0" applyNumberFormat="1" applyFont="1">
      <alignment vertical="center" wrapText="1"/>
    </xf>
    <xf fontId="22" fillId="0" borderId="13" numFmtId="0" xfId="0" applyNumberFormat="1" applyFont="1" applyBorder="1">
      <alignment horizontal="center" vertical="center" wrapText="1"/>
    </xf>
    <xf fontId="22" fillId="0" borderId="12" numFmtId="0" xfId="0" applyNumberFormat="1" applyFont="1" applyBorder="1">
      <alignment horizontal="center"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20"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22" fillId="0" borderId="0" numFmtId="0" xfId="0" applyNumberFormat="1" applyFont="1">
      <alignment horizontal="left" indent="1" vertical="center" wrapText="1"/>
    </xf>
    <xf fontId="81" fillId="0" borderId="17" numFmtId="0" xfId="0" applyNumberFormat="1" applyFont="1" applyBorder="1">
      <alignment horizontal="center" vertical="center" wrapText="1"/>
    </xf>
    <xf fontId="47" fillId="0" borderId="0" numFmtId="49" xfId="0" applyNumberFormat="1" applyFont="1">
      <alignment vertical="top"/>
    </xf>
    <xf fontId="94" fillId="0" borderId="0" numFmtId="0" xfId="0" applyNumberFormat="1" applyFont="1">
      <alignment vertical="center" wrapText="1"/>
    </xf>
    <xf fontId="0" fillId="0" borderId="0" numFmtId="0" xfId="0" applyNumberFormat="1" applyFont="1">
      <alignment vertical="top"/>
    </xf>
    <xf fontId="0" fillId="0" borderId="12" numFmtId="49" xfId="0" applyNumberFormat="1" applyFont="1" applyBorder="1">
      <alignment vertical="top"/>
    </xf>
    <xf fontId="22" fillId="0" borderId="0" numFmtId="49" xfId="0" applyNumberFormat="1" applyFont="1">
      <alignment vertical="top"/>
    </xf>
    <xf fontId="22" fillId="0" borderId="12" numFmtId="0" xfId="0" applyNumberFormat="1" applyFont="1" applyBorder="1">
      <alignment horizontal="left" vertical="top" wrapText="1"/>
    </xf>
    <xf fontId="95" fillId="0" borderId="0" numFmtId="49" xfId="0" applyNumberFormat="1" applyFont="1">
      <alignment horizontal="center" vertical="top" wrapText="1"/>
    </xf>
    <xf fontId="95" fillId="0" borderId="0" numFmtId="49" xfId="0" applyNumberFormat="1" applyFont="1">
      <alignment vertical="top" wrapText="1"/>
    </xf>
    <xf fontId="91" fillId="41" borderId="12" numFmtId="49" xfId="0" applyNumberFormat="1" applyFont="1" applyFill="1" applyBorder="1">
      <alignment horizontal="center" vertical="top" wrapText="1"/>
    </xf>
    <xf fontId="95" fillId="0" borderId="0" numFmtId="49" xfId="0" applyNumberFormat="1" applyFont="1">
      <alignment horizontal="left" vertical="top" wrapText="1"/>
    </xf>
    <xf fontId="95" fillId="0" borderId="12" numFmtId="49" xfId="0" applyNumberFormat="1" applyFont="1" applyBorder="1">
      <alignment horizontal="left" vertical="top" wrapText="1"/>
    </xf>
    <xf fontId="95" fillId="0" borderId="12" numFmtId="0" xfId="0" applyNumberFormat="1" applyFont="1" applyBorder="1">
      <alignment horizontal="left" vertical="top" wrapText="1"/>
    </xf>
    <xf fontId="95" fillId="41" borderId="12" numFmtId="0" xfId="0" applyNumberFormat="1" applyFont="1" applyFill="1" applyBorder="1">
      <alignment horizontal="right" vertical="center" wrapText="1"/>
    </xf>
    <xf fontId="95" fillId="0" borderId="12" numFmtId="49" xfId="0" applyNumberFormat="1" applyFont="1" applyBorder="1">
      <alignment vertical="top" wrapText="1"/>
    </xf>
    <xf fontId="95" fillId="0" borderId="17" numFmtId="0" xfId="0" applyNumberFormat="1" applyFont="1" applyBorder="1">
      <alignment horizontal="left" vertical="top" wrapText="1"/>
    </xf>
    <xf fontId="95" fillId="0" borderId="13" numFmtId="0" xfId="0" applyNumberFormat="1" applyFont="1" applyBorder="1">
      <alignment horizontal="left" vertical="top" wrapText="1"/>
    </xf>
    <xf fontId="95" fillId="0" borderId="12" numFmtId="0" xfId="0" applyNumberFormat="1" applyFont="1" applyBorder="1">
      <alignment vertical="top" wrapText="1"/>
    </xf>
    <xf fontId="91" fillId="41" borderId="12" numFmtId="0" xfId="0" applyNumberFormat="1" applyFont="1" applyFill="1" applyBorder="1">
      <alignment horizontal="center" vertical="top" wrapText="1"/>
    </xf>
    <xf fontId="95" fillId="0" borderId="0" numFmtId="0" xfId="0" applyNumberFormat="1" applyFont="1">
      <alignment vertical="top" wrapText="1"/>
    </xf>
    <xf fontId="90" fillId="0" borderId="0" numFmtId="0" xfId="0" applyNumberFormat="1" applyFont="1">
      <alignment vertical="center" wrapText="1"/>
    </xf>
    <xf fontId="46" fillId="0" borderId="0" numFmtId="0" xfId="0" applyNumberFormat="1" applyFont="1">
      <alignment horizontal="left" indent="3" vertical="center" wrapText="1"/>
    </xf>
    <xf fontId="0" fillId="0" borderId="13" numFmtId="3" xfId="0" applyNumberFormat="1" applyFont="1" applyBorder="1">
      <alignment horizontal="right" vertical="center" wrapText="1"/>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73" fillId="37" borderId="13" numFmtId="49" xfId="0" applyNumberFormat="1" applyFont="1" applyFill="1" applyBorder="1">
      <alignment vertical="center"/>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9" borderId="12" numFmtId="49" xfId="0" applyNumberFormat="1" applyFont="1" applyFill="1" applyBorder="1" quotePrefix="1">
      <alignment horizontal="left" vertical="center" wrapText="1"/>
      <protection locked="0"/>
    </xf>
    <xf fontId="22" fillId="40" borderId="23" numFmtId="14" xfId="0" applyNumberFormat="1" applyFont="1" applyFill="1" applyBorder="1">
      <alignment horizontal="left" vertical="center" wrapText="1"/>
    </xf>
    <xf fontId="48" fillId="35" borderId="23" numFmtId="0" xfId="0" applyNumberFormat="1" applyFont="1" applyFill="1" applyBorder="1">
      <alignment horizontal="center" vertical="center" wrapText="1"/>
    </xf>
    <xf fontId="37" fillId="35" borderId="24" numFmtId="0" xfId="0" applyNumberFormat="1" applyFont="1" applyFill="1" applyBorder="1">
      <alignment vertical="top" wrapText="1"/>
    </xf>
    <xf fontId="37" fillId="35" borderId="0" numFmtId="0" xfId="0" applyNumberFormat="1" applyFont="1" applyFill="1">
      <alignment vertical="top" wrapText="1"/>
    </xf>
    <xf fontId="22" fillId="40" borderId="29" numFmtId="14" xfId="0" applyNumberFormat="1" applyFont="1" applyFill="1" applyBorder="1">
      <alignment horizontal="left" vertical="center" wrapText="1"/>
    </xf>
    <xf fontId="48" fillId="35" borderId="12" numFmtId="0" xfId="0" applyNumberFormat="1" applyFont="1" applyFill="1" applyBorder="1">
      <alignment horizontal="center" vertical="center" wrapText="1"/>
    </xf>
    <xf fontId="40" fillId="37" borderId="15" numFmtId="0" xfId="0" applyNumberFormat="1" applyFont="1" applyFill="1" applyBorder="1">
      <alignment vertical="center"/>
    </xf>
    <xf fontId="49" fillId="0" borderId="0" numFmtId="0" xfId="0" applyNumberFormat="1" applyFont="1">
      <alignment vertical="center"/>
    </xf>
    <xf fontId="48" fillId="0" borderId="0" numFmtId="0" xfId="0" applyNumberFormat="1" applyFont="1">
      <alignment vertical="center" wrapText="1"/>
    </xf>
    <xf fontId="47" fillId="0" borderId="0" numFmtId="49" xfId="0" applyNumberFormat="1" applyFont="1">
      <alignment vertical="center" wrapText="1"/>
    </xf>
    <xf fontId="47" fillId="0" borderId="0" numFmtId="49" xfId="0" applyNumberFormat="1" applyFont="1">
      <alignment vertical="top"/>
    </xf>
    <xf fontId="88" fillId="0" borderId="0" numFmtId="0" xfId="0" applyNumberFormat="1" applyFont="1">
      <alignment vertical="center" wrapText="1"/>
    </xf>
    <xf fontId="96" fillId="0" borderId="0" numFmtId="0" xfId="0" applyNumberFormat="1" applyFont="1">
      <alignment vertical="center" wrapText="1"/>
    </xf>
    <xf fontId="47" fillId="0" borderId="0" numFmtId="0" xfId="0" applyNumberFormat="1" applyFont="1">
      <alignment vertical="center" wrapText="1"/>
    </xf>
    <xf fontId="88" fillId="0" borderId="0" numFmtId="0" xfId="0" applyNumberFormat="1" applyFont="1">
      <alignment horizontal="center" vertical="center" wrapText="1"/>
    </xf>
    <xf fontId="47" fillId="0" borderId="0" numFmtId="0" xfId="0" applyNumberFormat="1" applyFont="1">
      <alignment vertical="center" wrapText="1"/>
    </xf>
    <xf fontId="22" fillId="35" borderId="0" numFmtId="14" xfId="0" applyNumberFormat="1" applyFont="1" applyFill="1">
      <alignment horizontal="left" vertical="center" wrapText="1"/>
    </xf>
    <xf fontId="0" fillId="5" borderId="14" numFmtId="49" xfId="0" applyNumberFormat="1" applyFont="1" applyFill="1" applyBorder="1">
      <alignment vertical="top"/>
    </xf>
    <xf fontId="0" fillId="0" borderId="12" numFmtId="49" xfId="0" applyNumberFormat="1" applyFont="1" applyBorder="1">
      <alignment horizontal="left" vertical="center" wrapText="1"/>
    </xf>
    <xf fontId="22" fillId="0" borderId="0" numFmtId="49" xfId="0" applyNumberFormat="1" applyFont="1">
      <alignment vertical="center" wrapText="1"/>
    </xf>
    <xf fontId="0" fillId="0" borderId="12" numFmtId="0" xfId="0" applyNumberFormat="1" applyFont="1" applyBorder="1">
      <alignment horizontal="left" indent="1" vertical="center" wrapText="1"/>
    </xf>
    <xf fontId="0"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97" fillId="35" borderId="0" numFmtId="0" xfId="0" applyNumberFormat="1" applyFont="1" applyFill="1">
      <alignment horizontal="right" vertical="center"/>
    </xf>
    <xf fontId="95" fillId="0" borderId="13" numFmtId="49" xfId="0" applyNumberFormat="1" applyFont="1" applyBorder="1">
      <alignment horizontal="left" vertical="top" wrapText="1"/>
    </xf>
    <xf fontId="95" fillId="0" borderId="14" numFmtId="49" xfId="0" applyNumberFormat="1" applyFont="1" applyBorder="1">
      <alignment horizontal="left" vertical="top" wrapText="1"/>
    </xf>
    <xf fontId="95" fillId="0" borderId="17" numFmtId="0" xfId="0" applyNumberFormat="1" applyFont="1" applyBorder="1">
      <alignment vertical="top" wrapText="1"/>
    </xf>
    <xf fontId="95" fillId="0" borderId="36" numFmtId="0" xfId="0" applyNumberFormat="1" applyFont="1" applyBorder="1">
      <alignment horizontal="left" vertical="top" wrapText="1"/>
    </xf>
    <xf fontId="95" fillId="0" borderId="30" numFmtId="49" xfId="0" applyNumberFormat="1" applyFont="1" applyBorder="1">
      <alignment horizontal="left" vertical="top"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22" fillId="0" borderId="12" numFmtId="0" xfId="0" applyNumberFormat="1" applyFont="1" applyBorder="1">
      <alignment horizontal="left" vertical="center" wrapText="1"/>
    </xf>
    <xf fontId="95" fillId="0" borderId="12" numFmtId="49" xfId="0" applyNumberFormat="1" applyFont="1" applyBorder="1">
      <alignment horizontal="center" vertical="top" wrapText="1"/>
    </xf>
    <xf fontId="95" fillId="41" borderId="12" numFmtId="0" xfId="0" applyNumberFormat="1" applyFont="1" applyFill="1" applyBorder="1">
      <alignment horizontal="center" vertical="center" wrapText="1"/>
    </xf>
    <xf fontId="95" fillId="0" borderId="37" numFmtId="49" xfId="0" applyNumberFormat="1" applyFont="1" applyBorder="1">
      <alignment horizontal="center" vertical="top" wrapText="1"/>
    </xf>
    <xf fontId="95" fillId="0" borderId="17" numFmtId="49" xfId="0" applyNumberFormat="1" applyFont="1" applyBorder="1">
      <alignment horizontal="center" vertical="top" wrapText="1"/>
    </xf>
    <xf fontId="40" fillId="37" borderId="14" numFmtId="49" xfId="0" applyNumberFormat="1" applyFont="1" applyFill="1" applyBorder="1">
      <alignment horizontal="left" indent="1" vertical="center"/>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98" fillId="0" borderId="0" numFmtId="49" xfId="0" applyNumberFormat="1" applyFont="1">
      <alignment horizontal="center" vertical="center" wrapText="1"/>
    </xf>
    <xf fontId="22" fillId="0" borderId="0" numFmtId="0" xfId="0" applyNumberFormat="1" applyFont="1">
      <alignment vertical="center" wrapText="1"/>
    </xf>
    <xf fontId="22" fillId="0" borderId="0" numFmtId="49" xfId="0" applyNumberFormat="1" applyFont="1">
      <alignment vertical="top"/>
    </xf>
    <xf fontId="22" fillId="35" borderId="0" numFmtId="0" xfId="0" applyNumberFormat="1" applyFont="1" applyFill="1">
      <alignment vertical="center" wrapText="1"/>
    </xf>
    <xf fontId="22" fillId="0" borderId="38" numFmtId="0" xfId="0" applyNumberFormat="1" applyFont="1" applyBorder="1">
      <alignment vertical="center" wrapText="1"/>
    </xf>
    <xf fontId="47" fillId="0" borderId="0" numFmtId="0" xfId="0" applyNumberFormat="1" applyFont="1">
      <alignment vertical="center" wrapText="1"/>
    </xf>
    <xf fontId="22" fillId="0" borderId="0" numFmtId="49" xfId="0" applyNumberFormat="1" applyFont="1">
      <alignment vertical="top"/>
    </xf>
    <xf fontId="22" fillId="35" borderId="0" numFmtId="0" xfId="0" applyNumberFormat="1" applyFont="1" applyFill="1">
      <alignment vertical="center" wrapText="1"/>
    </xf>
    <xf fontId="22" fillId="0" borderId="0" numFmtId="49" xfId="0" applyNumberFormat="1" applyFont="1">
      <alignment vertical="top"/>
    </xf>
    <xf fontId="22" fillId="0" borderId="0" numFmtId="0" xfId="0" applyNumberFormat="1" applyFont="1">
      <alignment vertical="center"/>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37" borderId="29" numFmtId="0" xfId="0" applyNumberFormat="1" applyFont="1" applyFill="1" applyBorder="1">
      <alignment vertical="center" wrapText="1"/>
    </xf>
    <xf fontId="22" fillId="0" borderId="0" numFmtId="0" xfId="0" applyNumberFormat="1" applyFont="1">
      <alignment vertical="center" wrapText="1"/>
    </xf>
    <xf fontId="22" fillId="35" borderId="39" numFmtId="0" xfId="0" applyNumberFormat="1" applyFont="1" applyFill="1" applyBorder="1">
      <alignment vertical="center" wrapText="1"/>
    </xf>
    <xf fontId="50" fillId="35" borderId="39" numFmtId="0" xfId="0" applyNumberFormat="1" applyFont="1" applyFill="1" applyBorder="1">
      <alignment horizontal="center" wrapText="1"/>
    </xf>
    <xf fontId="73" fillId="0" borderId="39" numFmtId="49" xfId="0" applyNumberFormat="1" applyFont="1" applyBorder="1">
      <alignment vertical="top"/>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wrapText="1"/>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0" xfId="0" applyNumberFormat="1" applyFont="1">
      <alignment horizontal="center" vertical="center" wrapText="1"/>
    </xf>
    <xf fontId="99" fillId="0" borderId="0" numFmtId="49" xfId="0" applyNumberFormat="1" applyFont="1">
      <alignment vertical="center" wrapText="1"/>
    </xf>
    <xf fontId="45" fillId="35" borderId="0" numFmtId="49" xfId="0" applyNumberFormat="1" applyFont="1" applyFill="1">
      <alignment vertical="center" wrapText="1"/>
    </xf>
    <xf fontId="45" fillId="0" borderId="0" numFmtId="49" xfId="0" applyNumberFormat="1" applyFont="1">
      <alignment vertical="top"/>
    </xf>
    <xf fontId="45" fillId="35" borderId="0" numFmtId="49" xfId="0" applyNumberFormat="1" applyFont="1" applyFill="1">
      <alignment vertical="center"/>
    </xf>
    <xf fontId="99"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35" borderId="0" numFmtId="49" xfId="0" applyNumberFormat="1" applyFont="1" applyFill="1">
      <alignment horizontal="center" vertical="center" wrapText="1"/>
    </xf>
    <xf fontId="48" fillId="0" borderId="13" numFmtId="49" xfId="0" applyNumberFormat="1" applyFont="1" applyBorder="1">
      <alignment horizontal="left" indent="1" vertical="center"/>
    </xf>
    <xf fontId="22" fillId="0" borderId="24" numFmtId="0" xfId="0" applyNumberFormat="1" applyFont="1" applyBorder="1">
      <alignment vertical="top" wrapText="1"/>
    </xf>
    <xf fontId="22" fillId="0" borderId="14"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center"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indent="1" vertical="center" wrapText="1"/>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91" fillId="0" borderId="12" numFmtId="49" xfId="0" applyNumberFormat="1" applyFont="1" applyBorder="1">
      <alignment horizontal="center" vertical="center" wrapText="1"/>
    </xf>
    <xf fontId="91" fillId="0" borderId="12" numFmtId="0" xfId="0" applyNumberFormat="1" applyFont="1" applyBorder="1">
      <alignment horizontal="center" vertical="center"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22" numFmtId="49" xfId="0" applyNumberFormat="1" applyFont="1" applyBorder="1">
      <alignment horizontal="center" vertical="top" wrapText="1"/>
    </xf>
    <xf fontId="95" fillId="0" borderId="36" numFmtId="49" xfId="0" applyNumberFormat="1" applyFont="1" applyBorder="1">
      <alignment horizontal="left" vertical="top" wrapText="1"/>
    </xf>
    <xf fontId="91" fillId="0" borderId="12" numFmtId="0" xfId="0" applyNumberFormat="1" applyFont="1" applyBorder="1">
      <alignment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1" fillId="0" borderId="12" numFmtId="49" xfId="0" applyNumberFormat="1" applyFont="1" applyBorder="1">
      <alignment horizontal="left" vertical="top" wrapText="1"/>
    </xf>
    <xf fontId="22" fillId="39" borderId="17" numFmtId="503" xfId="0" applyNumberFormat="1" applyFont="1" applyFill="1" applyBorder="1">
      <alignment horizontal="right" vertical="center" wrapText="1"/>
      <protection locked="0"/>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72" fillId="0" borderId="0" numFmtId="0" xfId="0" applyNumberFormat="1" applyFont="1">
      <alignment horizontal="center" vertical="center" wrapText="1"/>
    </xf>
    <xf fontId="22" fillId="39" borderId="13" numFmtId="4" xfId="0" applyNumberFormat="1" applyFont="1" applyFill="1" applyBorder="1">
      <alignment horizontal="right" vertical="center" wrapText="1"/>
      <protection locked="0"/>
    </xf>
    <xf fontId="22" fillId="39" borderId="13" numFmtId="503" xfId="0" applyNumberFormat="1" applyFont="1" applyFill="1" applyBorder="1">
      <alignment horizontal="right" vertical="center" wrapText="1"/>
      <protection locked="0"/>
    </xf>
    <xf fontId="22" fillId="34" borderId="13" numFmtId="503" xfId="0" applyNumberFormat="1" applyFont="1" applyFill="1" applyBorder="1">
      <alignment horizontal="right" vertical="center" wrapText="1"/>
    </xf>
    <xf fontId="22" fillId="39" borderId="29" numFmtId="4" xfId="0" applyNumberFormat="1" applyFont="1" applyFill="1" applyBorder="1">
      <alignment horizontal="right" vertical="center" wrapText="1"/>
      <protection locked="0"/>
    </xf>
    <xf fontId="91" fillId="41" borderId="12" numFmtId="49" xfId="0" applyNumberFormat="1" applyFont="1" applyFill="1" applyBorder="1">
      <alignment horizontal="center" vertical="top"/>
    </xf>
    <xf fontId="95" fillId="0" borderId="0" numFmtId="49" xfId="0" applyNumberFormat="1" applyFont="1">
      <alignment vertical="top"/>
    </xf>
    <xf fontId="91" fillId="0" borderId="12" numFmtId="49" xfId="0" applyNumberFormat="1" applyFont="1" applyBorder="1">
      <alignment horizontal="center" vertical="top" wrapText="1"/>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1" fillId="0" borderId="0" numFmtId="49" xfId="0" applyNumberFormat="1" applyFont="1">
      <alignment horizontal="center" vertical="center" wrapText="1"/>
    </xf>
    <xf fontId="91" fillId="0" borderId="0" numFmtId="49" xfId="0" applyNumberFormat="1" applyFont="1">
      <alignment horizontal="left" vertical="center" wrapText="1"/>
    </xf>
    <xf fontId="91" fillId="46" borderId="0" numFmtId="49" xfId="0" applyNumberFormat="1" applyFont="1" applyFill="1">
      <alignment horizontal="center" vertical="center" wrapText="1"/>
    </xf>
    <xf fontId="91" fillId="0" borderId="0" numFmtId="0" xfId="0" applyNumberFormat="1" applyFont="1">
      <alignmen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48" fillId="0" borderId="23" numFmtId="0" xfId="0" applyNumberFormat="1" applyFont="1" applyBorder="1">
      <alignment horizontal="left" indent="1" vertical="center" wrapText="1"/>
    </xf>
    <xf fontId="48" fillId="0" borderId="17" numFmtId="0" xfId="0" applyNumberFormat="1" applyFont="1" applyBorder="1">
      <alignment horizontal="left" indent="1" vertical="center" wrapText="1"/>
    </xf>
    <xf fontId="95" fillId="41" borderId="12" numFmtId="49" xfId="0" applyNumberFormat="1" applyFont="1" applyFill="1" applyBorder="1">
      <alignment horizontal="center" vertical="top" wrapText="1"/>
    </xf>
    <xf fontId="95" fillId="41" borderId="12" numFmtId="49" xfId="0" applyNumberFormat="1" applyFont="1" applyFill="1" applyBorder="1">
      <alignment horizontal="left" vertical="top" wrapText="1"/>
    </xf>
    <xf fontId="95" fillId="41" borderId="0" numFmtId="49" xfId="0" applyNumberFormat="1" applyFont="1" applyFill="1">
      <alignment horizontal="left" vertical="top" wrapText="1"/>
    </xf>
    <xf fontId="91" fillId="0" borderId="14" numFmtId="0" xfId="0" applyNumberFormat="1" applyFont="1" applyBorder="1">
      <alignment horizontal="center" vertical="center" wrapText="1"/>
    </xf>
    <xf fontId="22" fillId="0" borderId="23" numFmtId="0" xfId="0" applyNumberFormat="1" applyFont="1" applyBorder="1">
      <alignment vertical="top" wrapText="1"/>
    </xf>
    <xf fontId="22" fillId="0" borderId="23" numFmtId="0" xfId="0" applyNumberFormat="1" applyFont="1" applyBorder="1">
      <alignment vertical="top" wrapText="1"/>
    </xf>
    <xf fontId="91" fillId="0" borderId="14" numFmtId="0" xfId="0" applyNumberFormat="1" applyFont="1" applyBorder="1">
      <alignment horizontal="center" vertical="center"/>
    </xf>
    <xf fontId="48" fillId="35" borderId="12" numFmtId="49" xfId="0" applyNumberFormat="1" applyFont="1" applyFill="1" applyBorder="1">
      <alignment horizontal="center" vertical="center"/>
    </xf>
    <xf fontId="48" fillId="35" borderId="12" numFmtId="0" xfId="0" applyNumberFormat="1" applyFont="1" applyFill="1" applyBorder="1">
      <alignment horizontal="left" indent="1" vertical="center" wrapText="1"/>
    </xf>
    <xf fontId="48" fillId="35" borderId="12" numFmtId="0" xfId="0" applyNumberFormat="1" applyFont="1" applyFill="1" applyBorder="1">
      <alignment vertical="center" wrapText="1"/>
    </xf>
    <xf fontId="48" fillId="0" borderId="12" numFmtId="49" xfId="0" applyNumberFormat="1" applyFont="1" applyBorder="1">
      <alignment horizontal="center" vertical="center"/>
    </xf>
    <xf fontId="48" fillId="0" borderId="12" numFmtId="0" xfId="0" applyNumberFormat="1" applyFont="1" applyBorder="1">
      <alignment horizontal="left" indent="1"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22" fillId="0" borderId="23" numFmtId="2" xfId="0" applyNumberFormat="1" applyFont="1" applyBorder="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22" fillId="0" borderId="23" numFmtId="0" xfId="0" applyNumberFormat="1" applyFont="1" applyBorder="1">
      <alignment horizontal="left"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53" fillId="0" borderId="14" numFmtId="49" xfId="0" applyNumberFormat="1" applyFont="1" applyBorder="1">
      <alignment horizontal="left" vertical="center" wrapText="1"/>
    </xf>
    <xf fontId="53" fillId="0" borderId="15" numFmtId="49" xfId="0" applyNumberFormat="1" applyFont="1" applyBorder="1">
      <alignment horizontal="left" vertical="center"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2" numFmtId="4" xfId="0" applyNumberFormat="1" applyFont="1" applyBorder="1">
      <alignment horizontal="center" vertical="center" wrapText="1"/>
    </xf>
    <xf fontId="53" fillId="0" borderId="37" numFmtId="49" xfId="0" applyNumberFormat="1" applyFont="1" applyBorder="1">
      <alignment horizontal="left" vertical="center" wrapText="1"/>
    </xf>
    <xf fontId="53" fillId="0" borderId="30" numFmtId="49" xfId="0" applyNumberFormat="1" applyFont="1" applyBorder="1">
      <alignment horizontal="left" vertical="center" wrapText="1"/>
    </xf>
    <xf fontId="22" fillId="0" borderId="36" numFmtId="0" xfId="0" applyNumberFormat="1" applyFont="1" applyBorder="1">
      <alignment vertical="center" wrapText="1"/>
    </xf>
    <xf fontId="22" fillId="0" borderId="32" numFmtId="0" xfId="0" applyNumberFormat="1" applyFont="1" applyBorder="1">
      <alignment horizontal="left"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0" numFmtId="0" xfId="0" applyNumberFormat="1" applyFont="1">
      <alignment vertical="top"/>
    </xf>
    <xf fontId="22" fillId="0" borderId="40" numFmtId="4"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12" numFmtId="0" xfId="0" applyNumberFormat="1" applyFont="1" applyBorder="1">
      <alignment horizontal="left" vertical="center" wrapText="1"/>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2" numFmtId="0" xfId="0" applyNumberFormat="1" applyFont="1" applyBorder="1">
      <alignment horizontal="left" indent="1" vertical="center"/>
    </xf>
    <xf fontId="40" fillId="0" borderId="19" numFmtId="49" xfId="0" applyNumberFormat="1" applyFont="1" applyBorder="1">
      <alignment horizontal="right" vertical="center"/>
    </xf>
    <xf fontId="22" fillId="40" borderId="12" numFmtId="0" xfId="0" applyNumberFormat="1" applyFont="1" applyFill="1" applyBorder="1">
      <alignment horizontal="left" indent="1"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61" fillId="35" borderId="0" numFmtId="0" xfId="0" applyNumberFormat="1" applyFont="1" applyFill="1">
      <alignment horizontal="left" indent="1" vertical="center" wrapText="1"/>
    </xf>
    <xf fontId="22" fillId="0" borderId="0" numFmtId="0" xfId="0" applyNumberFormat="1" applyFont="1">
      <alignment horizontal="left" indent="1" vertical="center" wrapText="1"/>
    </xf>
    <xf fontId="53" fillId="36" borderId="13" numFmtId="49" xfId="0" applyNumberFormat="1" applyFont="1" applyFill="1" applyBorder="1">
      <alignment horizontal="left" vertical="center" wrapText="1"/>
      <protection locked="0"/>
    </xf>
    <xf fontId="22" fillId="0" borderId="0" numFmtId="49" xfId="0" applyNumberFormat="1" applyFont="1">
      <alignment horizontal="center" vertical="center" wrapText="1"/>
    </xf>
    <xf fontId="22" fillId="0" borderId="19" numFmtId="0" xfId="0" applyNumberFormat="1" applyFont="1" applyBorder="1">
      <alignment vertical="center" wrapText="1"/>
    </xf>
    <xf fontId="22" fillId="0" borderId="27" numFmtId="0" xfId="0" applyNumberFormat="1" applyFont="1" applyBorder="1">
      <alignment vertical="center" wrapText="1"/>
    </xf>
    <xf fontId="22" fillId="37" borderId="41" numFmtId="49" xfId="0" applyNumberFormat="1" applyFont="1" applyFill="1" applyBorder="1">
      <alignment horizontal="center"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0" xfId="0" applyNumberFormat="1" applyFont="1">
      <alignment vertical="center" wrapText="1"/>
    </xf>
    <xf fontId="94" fillId="0" borderId="0" numFmtId="49" xfId="0" applyNumberFormat="1" applyFont="1">
      <alignment vertical="center" wrapText="1"/>
    </xf>
    <xf fontId="0" fillId="0" borderId="0" numFmtId="49" xfId="0" applyNumberFormat="1" applyFont="1">
      <alignment vertical="center" wrapText="1"/>
    </xf>
    <xf fontId="32" fillId="47" borderId="0" numFmtId="49" xfId="0" applyNumberFormat="1" applyFont="1" applyFill="1">
      <alignment horizontal="center" vertical="center"/>
    </xf>
    <xf fontId="0" fillId="48" borderId="0" numFmtId="0" xfId="0" applyNumberFormat="1" applyFont="1" applyFill="1">
      <alignment horizontal="left" vertical="center"/>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44" numFmtId="49" xfId="0" applyNumberFormat="1" applyFont="1" applyBorder="1">
      <alignment vertical="center"/>
    </xf>
    <xf fontId="22" fillId="0" borderId="45"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22" fillId="0" borderId="12" numFmtId="49" xfId="0" applyNumberFormat="1" applyFont="1" applyBorder="1">
      <alignment vertical="top"/>
    </xf>
    <xf fontId="0" fillId="0" borderId="0" numFmtId="49" xfId="0" applyNumberFormat="1" applyFont="1">
      <alignment vertical="top"/>
    </xf>
    <xf fontId="22" fillId="0" borderId="0" numFmtId="0" xfId="0" applyNumberFormat="1" applyFont="1">
      <alignment vertical="center"/>
    </xf>
    <xf fontId="22" fillId="0" borderId="14" numFmtId="49" xfId="0" applyNumberFormat="1" applyFont="1" applyBorder="1">
      <alignment vertical="top"/>
    </xf>
    <xf fontId="0" fillId="0" borderId="0" numFmtId="0" xfId="0" applyNumberFormat="1" applyFont="1">
      <alignment vertical="center"/>
    </xf>
    <xf fontId="22" fillId="0" borderId="0" numFmtId="0" xfId="0" applyNumberFormat="1" applyFont="1">
      <alignment vertical="top"/>
    </xf>
    <xf fontId="22" fillId="0" borderId="12" numFmtId="49" xfId="0" applyNumberFormat="1" applyFont="1" applyBorder="1">
      <alignment vertical="top"/>
    </xf>
    <xf fontId="0" fillId="0" borderId="14" numFmtId="49" xfId="0" applyNumberFormat="1" applyFont="1" applyBorder="1">
      <alignmen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0" numFmtId="49" xfId="0" applyNumberFormat="1" applyFont="1">
      <alignment vertical="top"/>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22" fillId="41" borderId="23" numFmtId="49" xfId="0" applyNumberFormat="1" applyFont="1" applyFill="1" applyBorder="1">
      <alignment vertical="top"/>
    </xf>
    <xf fontId="22" fillId="41" borderId="12" numFmtId="49" xfId="0" applyNumberFormat="1" applyFont="1" applyFill="1" applyBorder="1">
      <alignment vertical="top"/>
    </xf>
    <xf fontId="0" fillId="0" borderId="32" numFmtId="0" xfId="0" applyNumberFormat="1" applyFont="1" applyBorder="1">
      <alignment horizontal="center" vertical="center"/>
    </xf>
    <xf fontId="0" fillId="0" borderId="0" numFmtId="49" xfId="0" applyNumberFormat="1" applyFont="1">
      <alignment vertical="center"/>
    </xf>
    <xf fontId="32" fillId="47" borderId="14" numFmtId="49" xfId="0" applyNumberFormat="1" applyFont="1" applyFill="1" applyBorder="1">
      <alignment horizontal="right" vertical="center"/>
    </xf>
    <xf fontId="22" fillId="0" borderId="0" numFmtId="49" xfId="0" applyNumberFormat="1" applyFont="1">
      <alignment vertical="center"/>
    </xf>
    <xf fontId="0" fillId="48" borderId="0" numFmtId="0" xfId="0" applyNumberFormat="1" applyFont="1" applyFill="1">
      <alignment horizontal="right" vertical="center"/>
    </xf>
    <xf fontId="103" fillId="0" borderId="47" numFmtId="0" xfId="0" applyNumberFormat="1" applyFont="1" applyBorder="1">
      <alignment horizontal="left" indent="1" vertical="center"/>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22" fillId="35" borderId="0" numFmtId="0" xfId="0" applyNumberFormat="1" applyFont="1" applyFill="1">
      <alignment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47" fillId="0" borderId="0" numFmtId="0" xfId="0" applyNumberFormat="1" applyFont="1">
      <alignment vertical="center" wrapText="1"/>
    </xf>
    <xf fontId="98" fillId="0" borderId="0" numFmtId="49" xfId="0" applyNumberFormat="1" applyFont="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50" fillId="35" borderId="39" numFmtId="0" xfId="0" applyNumberFormat="1" applyFont="1" applyFill="1" applyBorder="1">
      <alignment horizontal="center" wrapText="1"/>
    </xf>
    <xf fontId="73" fillId="0" borderId="39" numFmtId="49" xfId="0" applyNumberFormat="1" applyFont="1" applyBorder="1">
      <alignment vertical="top"/>
    </xf>
    <xf fontId="0" fillId="0" borderId="12" numFmtId="0" xfId="0" applyNumberFormat="1" applyFont="1" applyBorder="1">
      <alignment horizontal="center" vertical="center" wrapText="1"/>
    </xf>
    <xf fontId="22" fillId="0" borderId="0" numFmtId="0" xfId="0" applyNumberFormat="1" applyFont="1">
      <alignment horizontal="left" indent="3" vertical="center" wrapText="1"/>
    </xf>
    <xf fontId="22" fillId="0" borderId="0" numFmtId="0" xfId="0" applyNumberFormat="1" applyFont="1">
      <alignment horizontal="left" indent="3"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47" fillId="0" borderId="0" numFmtId="0" xfId="0" applyNumberFormat="1" applyFont="1">
      <alignment vertical="center" wrapText="1"/>
    </xf>
    <xf fontId="22" fillId="0" borderId="12" numFmtId="0" xfId="0" applyNumberFormat="1" applyFont="1" applyBorder="1">
      <alignment horizontal="center" vertical="center" wrapText="1"/>
    </xf>
    <xf fontId="22" fillId="0" borderId="0" numFmtId="0" xfId="0" applyNumberFormat="1" applyFont="1">
      <alignment vertical="center" wrapText="1"/>
    </xf>
    <xf fontId="22" fillId="35" borderId="39" numFmtId="0" xfId="0" applyNumberFormat="1" applyFont="1" applyFill="1" applyBorder="1">
      <alignment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47"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35" borderId="39" numFmtId="0" xfId="0" applyNumberFormat="1" applyFont="1" applyFill="1" applyBorder="1">
      <alignment vertical="center" wrapText="1"/>
    </xf>
    <xf fontId="22" fillId="39" borderId="12" numFmtId="0" xfId="0" applyNumberFormat="1" applyFont="1" applyFill="1" applyBorder="1">
      <alignment horizontal="left" indent="1" vertical="center" wrapText="1"/>
      <protection locked="0"/>
    </xf>
    <xf fontId="47" fillId="47" borderId="0" numFmtId="49"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wrapText="1"/>
    </xf>
    <xf fontId="32" fillId="0" borderId="0" numFmtId="0" xfId="0" applyNumberFormat="1" applyFont="1">
      <alignment vertical="center" wrapText="1"/>
    </xf>
    <xf fontId="22" fillId="0" borderId="0" numFmtId="49" xfId="0" applyNumberFormat="1" applyFont="1">
      <alignment vertical="top"/>
    </xf>
    <xf fontId="104" fillId="0" borderId="16" numFmtId="49" xfId="0" applyNumberFormat="1" applyFont="1" applyBorder="1">
      <alignment vertical="top"/>
    </xf>
    <xf fontId="0" fillId="0" borderId="0" numFmtId="0" xfId="0" applyNumberFormat="1" applyFont="1">
      <alignment vertical="top"/>
    </xf>
    <xf fontId="47" fillId="0" borderId="0" numFmtId="0" xfId="0" applyNumberFormat="1" applyFont="1">
      <alignment vertical="center" wrapText="1"/>
    </xf>
    <xf fontId="53" fillId="39" borderId="12" numFmtId="49" xfId="0" applyNumberFormat="1" applyFont="1" applyFill="1" applyBorder="1">
      <alignment horizontal="left" vertical="center" wrapText="1"/>
      <protection locked="0"/>
    </xf>
    <xf fontId="22" fillId="0" borderId="14" numFmtId="0" xfId="0" applyNumberFormat="1" applyFont="1" applyBorder="1">
      <alignment horizontal="left" vertical="center"/>
    </xf>
    <xf fontId="0" fillId="0" borderId="14" numFmtId="0" xfId="0" applyNumberFormat="1" applyFont="1" applyBorder="1">
      <alignment horizontal="left" vertical="center"/>
    </xf>
    <xf fontId="53" fillId="39" borderId="12" numFmtId="49" xfId="0" applyNumberFormat="1" applyFont="1" applyFill="1" applyBorder="1">
      <alignment horizontal="left" vertical="center" wrapText="1"/>
      <protection locked="0"/>
    </xf>
    <xf fontId="22" fillId="35" borderId="26" numFmtId="0" xfId="0" applyNumberFormat="1" applyFont="1" applyFill="1" applyBorder="1">
      <alignment horizontal="right" indent="1" vertical="center" wrapText="1"/>
    </xf>
    <xf fontId="47" fillId="0" borderId="0" numFmtId="49" xfId="0" applyNumberFormat="1" applyFont="1">
      <alignment horizontal="center" vertical="center" wrapText="1"/>
    </xf>
    <xf fontId="48" fillId="0" borderId="0" numFmtId="49" xfId="0" applyNumberFormat="1" applyFont="1">
      <alignment horizontal="center" vertical="center" wrapText="1"/>
    </xf>
    <xf fontId="40" fillId="37" borderId="15" numFmtId="49" xfId="0" applyNumberFormat="1" applyFont="1" applyFill="1" applyBorder="1">
      <alignment horizontal="left" indent="1" vertical="center"/>
    </xf>
    <xf fontId="22" fillId="39" borderId="31" numFmtId="4" xfId="0" applyNumberFormat="1" applyFont="1" applyFill="1" applyBorder="1">
      <alignment horizontal="right" vertical="center" wrapText="1"/>
      <protection locked="0"/>
    </xf>
    <xf fontId="22" fillId="35" borderId="0" numFmtId="0" xfId="0" applyNumberFormat="1" applyFont="1" applyFill="1">
      <alignment vertical="center" wrapText="1"/>
    </xf>
    <xf fontId="22" fillId="0" borderId="0" numFmtId="0" xfId="0" applyNumberFormat="1" applyFont="1">
      <alignment vertical="center"/>
    </xf>
    <xf fontId="22" fillId="0" borderId="0" numFmtId="0" xfId="0" applyNumberFormat="1" applyFont="1">
      <alignment vertical="center" wrapText="1"/>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45" fillId="40" borderId="12" numFmtId="0" xfId="0" applyNumberFormat="1" applyFont="1" applyFill="1" applyBorder="1">
      <alignment horizontal="left" indent="1" vertical="center" wrapText="1"/>
    </xf>
    <xf fontId="45" fillId="37" borderId="15" numFmtId="49" xfId="0" applyNumberFormat="1" applyFont="1" applyFill="1" applyBorder="1">
      <alignment vertical="top" wrapText="1"/>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22" fillId="35" borderId="39" numFmtId="0" xfId="0" applyNumberFormat="1" applyFont="1" applyFill="1" applyBorder="1">
      <alignment vertical="center" wrapText="1"/>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40" borderId="12" numFmtId="0" xfId="0" applyNumberFormat="1" applyFont="1" applyFill="1" applyBorder="1">
      <alignment horizontal="left" indent="1" vertical="center" wrapText="1"/>
    </xf>
    <xf fontId="0" fillId="37" borderId="50" numFmtId="0" xfId="0" applyNumberFormat="1" applyFont="1" applyFill="1" applyBorder="1">
      <alignment horizontal="left" vertical="center"/>
    </xf>
    <xf fontId="22" fillId="35" borderId="12" numFmtId="0" xfId="0" applyNumberFormat="1" applyFont="1" applyFill="1" applyBorder="1">
      <alignment horizontal="center" vertical="center" wrapText="1"/>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48" borderId="0" numFmtId="0" xfId="0" applyNumberFormat="1" applyFont="1" applyFill="1">
      <alignment horizontal="left" vertical="center"/>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35" borderId="12" numFmtId="0" xfId="0" applyNumberFormat="1" applyFont="1" applyFill="1" applyBorder="1">
      <alignment horizontal="left" vertical="center" wrapText="1"/>
    </xf>
    <xf fontId="0" fillId="0" borderId="12" numFmtId="49" xfId="0" applyNumberFormat="1" applyFont="1" applyBorder="1">
      <alignment horizontal="center" vertical="center" wrapText="1"/>
    </xf>
    <xf fontId="0" fillId="0" borderId="12" numFmtId="49" xfId="0" applyNumberFormat="1" applyFont="1" applyBorder="1">
      <alignment horizontal="center" vertical="center"/>
    </xf>
    <xf fontId="22" fillId="35" borderId="19" numFmtId="0" xfId="0" applyNumberFormat="1" applyFont="1" applyFill="1" applyBorder="1">
      <alignment vertical="center" wrapText="1"/>
    </xf>
    <xf fontId="48" fillId="0" borderId="0" numFmtId="49" xfId="0" applyNumberFormat="1" applyFont="1">
      <alignment vertical="top"/>
    </xf>
    <xf fontId="48" fillId="0" borderId="39" numFmtId="0" xfId="0" applyNumberFormat="1" applyFont="1" applyBorder="1">
      <alignment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0" fillId="34" borderId="12" numFmtId="49" xfId="0" applyNumberFormat="1" applyFont="1" applyFill="1" applyBorder="1">
      <alignment horizontal="center" vertical="center"/>
    </xf>
    <xf fontId="22" fillId="0" borderId="22" numFmtId="49" xfId="0" applyNumberFormat="1" applyFont="1" applyBorder="1">
      <alignment vertical="top"/>
    </xf>
    <xf fontId="22" fillId="0" borderId="22" numFmtId="0" xfId="0" applyNumberFormat="1" applyFont="1" applyBorder="1">
      <alignment vertical="center" wrapText="1"/>
    </xf>
    <xf fontId="0" fillId="36" borderId="12" numFmtId="4" xfId="0" applyNumberFormat="1" applyFont="1" applyFill="1" applyBorder="1">
      <alignment horizontal="right" vertical="center" wrapText="1"/>
      <protection locked="0"/>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22" fillId="0" borderId="38" numFmtId="0" xfId="0" applyNumberFormat="1" applyFont="1" applyBorder="1">
      <alignment vertical="center"/>
    </xf>
    <xf fontId="40" fillId="37" borderId="15" numFmtId="49" xfId="0" applyNumberFormat="1" applyFont="1" applyFill="1" applyBorder="1">
      <alignment horizontal="left" indent="1" vertical="center"/>
    </xf>
    <xf fontId="22" fillId="39" borderId="17" numFmtId="49" xfId="0" applyNumberFormat="1" applyFont="1" applyFill="1" applyBorder="1">
      <alignment horizontal="left" indent="1" vertical="center" wrapText="1"/>
      <protection locked="0"/>
    </xf>
    <xf fontId="46" fillId="0" borderId="0" numFmtId="0" xfId="0" applyNumberFormat="1" applyFont="1">
      <alignment vertical="center" wrapText="1"/>
    </xf>
    <xf fontId="22" fillId="35" borderId="27" numFmtId="0" xfId="0" applyNumberFormat="1" applyFont="1" applyFill="1" applyBorder="1">
      <alignment vertical="center" wrapText="1"/>
    </xf>
    <xf fontId="48" fillId="35" borderId="19" numFmtId="0" xfId="0" applyNumberFormat="1" applyFont="1" applyFill="1" applyBorder="1">
      <alignment horizontal="center"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22" fillId="0" borderId="0" numFmtId="0" xfId="0" applyNumberFormat="1" applyFont="1">
      <alignment horizontal="left" vertical="center" wrapText="1"/>
    </xf>
    <xf fontId="48" fillId="0" borderId="0" numFmtId="0" xfId="0" applyNumberFormat="1" applyFont="1">
      <alignment vertical="center"/>
    </xf>
    <xf fontId="22" fillId="0" borderId="0" numFmtId="0" xfId="0" applyNumberFormat="1" applyFont="1">
      <alignment horizontal="left" indent="1" vertical="center" wrapText="1"/>
    </xf>
    <xf fontId="22" fillId="0" borderId="0" numFmtId="0" xfId="0" applyNumberFormat="1" applyFont="1">
      <alignment horizontal="right" vertical="top" wrapText="1"/>
    </xf>
    <xf fontId="107" fillId="35" borderId="0" numFmtId="0" xfId="0" applyNumberFormat="1" applyFont="1" applyFill="1">
      <alignment vertical="center" wrapText="1"/>
    </xf>
    <xf fontId="80" fillId="35" borderId="19" numFmtId="49"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6" borderId="12" numFmtId="502" xfId="0" applyNumberFormat="1" applyFont="1" applyFill="1" applyBorder="1">
      <alignment horizontal="right" vertical="center" wrapText="1"/>
      <protection locked="0"/>
    </xf>
    <xf fontId="45" fillId="0" borderId="12" numFmtId="0" xfId="0" applyNumberFormat="1" applyFont="1" applyBorder="1">
      <alignment vertical="top" wrapText="1"/>
    </xf>
    <xf fontId="22" fillId="0" borderId="0" numFmtId="0" xfId="0" applyNumberFormat="1" applyFont="1">
      <alignment vertical="center"/>
    </xf>
    <xf fontId="108" fillId="0" borderId="0" numFmtId="0" xfId="0" applyNumberFormat="1" applyFont="1">
      <alignment vertical="center"/>
    </xf>
    <xf fontId="108" fillId="0" borderId="0" numFmtId="0" xfId="0" applyNumberFormat="1" applyFont="1">
      <alignment vertical="center"/>
    </xf>
    <xf fontId="22" fillId="0" borderId="0" numFmtId="0" xfId="0" applyNumberFormat="1" applyFont="1">
      <alignment vertical="center"/>
    </xf>
    <xf fontId="22" fillId="0" borderId="0" numFmtId="0" xfId="0" applyNumberFormat="1" applyFont="1">
      <alignment vertical="center"/>
    </xf>
    <xf fontId="108" fillId="0" borderId="0" numFmtId="0" xfId="0" applyNumberFormat="1" applyFont="1">
      <alignment vertical="center"/>
    </xf>
    <xf fontId="22" fillId="0" borderId="0" numFmtId="0" xfId="0" applyNumberFormat="1" applyFont="1">
      <alignment vertical="center"/>
    </xf>
    <xf fontId="22" fillId="0" borderId="0" numFmtId="0" xfId="0" applyNumberFormat="1" applyFont="1">
      <alignment vertical="center"/>
    </xf>
    <xf fontId="22" fillId="0" borderId="0" numFmtId="0" xfId="0" applyNumberFormat="1" applyFont="1">
      <alignment horizontal="left" indent="1"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109" fillId="37" borderId="15" numFmtId="49" xfId="0" applyNumberFormat="1" applyFont="1" applyFill="1" applyBorder="1">
      <alignment horizontal="left" vertical="center"/>
    </xf>
    <xf fontId="22" fillId="35" borderId="0" numFmtId="0" xfId="0" applyNumberFormat="1" applyFont="1" applyFill="1">
      <alignment horizontal="left" vertical="center" wrapText="1"/>
    </xf>
    <xf fontId="0" fillId="0" borderId="0" numFmtId="0" xfId="0" applyNumberFormat="1" applyFont="1">
      <alignment horizontal="left" vertical="center"/>
    </xf>
    <xf fontId="80" fillId="35" borderId="19" numFmtId="49" xfId="0" applyNumberFormat="1" applyFont="1" applyFill="1" applyBorder="1">
      <alignment horizontal="left" vertical="center" wrapText="1"/>
    </xf>
    <xf fontId="73" fillId="37" borderId="14" numFmtId="49" xfId="0" applyNumberFormat="1" applyFont="1" applyFill="1" applyBorder="1">
      <alignment horizontal="left" vertical="center"/>
    </xf>
    <xf fontId="101" fillId="37" borderId="14" numFmtId="49" xfId="0" applyNumberFormat="1" applyFont="1" applyFill="1" applyBorder="1">
      <alignment horizontal="left" vertical="center"/>
    </xf>
    <xf fontId="67" fillId="37" borderId="14" numFmtId="49" xfId="0" applyNumberFormat="1" applyFont="1" applyFill="1" applyBorder="1">
      <alignment horizontal="left" vertical="top"/>
    </xf>
    <xf fontId="0" fillId="48" borderId="0" numFmtId="0" xfId="0" applyNumberFormat="1" applyFont="1" applyFill="1">
      <alignment horizontal="right" vertical="center"/>
    </xf>
    <xf fontId="48" fillId="0" borderId="12" numFmtId="0" xfId="0" applyNumberFormat="1" applyFont="1" applyBorder="1">
      <alignment horizontal="center" vertical="center"/>
    </xf>
    <xf fontId="0" fillId="0" borderId="0" numFmtId="0" xfId="0" applyNumberFormat="1" applyFont="1">
      <alignment vertical="center"/>
    </xf>
    <xf fontId="22" fillId="0" borderId="12" numFmtId="0" xfId="0" applyNumberFormat="1" applyFont="1" applyBorder="1">
      <alignment horizontal="center" vertical="center" wrapText="1"/>
    </xf>
    <xf fontId="0" fillId="0" borderId="0" numFmtId="0" xfId="0" applyNumberFormat="1" applyFont="1">
      <alignment horizontal="left" vertical="top" wrapText="1"/>
    </xf>
    <xf fontId="22" fillId="0" borderId="0" numFmtId="49" xfId="0" applyNumberFormat="1" applyFont="1">
      <alignment vertical="center" wrapText="1"/>
    </xf>
    <xf fontId="22" fillId="0" borderId="0" numFmtId="0" xfId="0" applyNumberFormat="1" applyFont="1">
      <alignment horizontal="right" vertical="center" wrapText="1"/>
    </xf>
    <xf fontId="22" fillId="0" borderId="0" numFmtId="0" xfId="0" applyNumberFormat="1" applyFont="1">
      <alignment horizontal="left" vertical="top" wrapText="1"/>
    </xf>
    <xf fontId="80" fillId="35" borderId="19" numFmtId="0" xfId="0" applyNumberFormat="1" applyFont="1" applyFill="1" applyBorder="1">
      <alignment horizontal="center"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2" numFmtId="49" xfId="0" applyNumberFormat="1" applyFont="1" applyBorder="1">
      <alignment horizontal="left" vertical="center" wrapText="1"/>
    </xf>
    <xf fontId="54" fillId="48" borderId="0" numFmtId="0" xfId="0" applyNumberFormat="1" applyFont="1" applyFill="1">
      <alignment horizontal="left" vertical="center"/>
    </xf>
    <xf fontId="22" fillId="0" borderId="20"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0" borderId="0" numFmtId="49" xfId="0" applyNumberFormat="1" applyFont="1">
      <alignmen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5" fillId="0" borderId="17" numFmtId="0" xfId="0" applyNumberFormat="1" applyFont="1" applyBorder="1">
      <alignment vertical="top" wrapText="1"/>
    </xf>
    <xf fontId="0" fillId="0" borderId="0" numFmtId="0" xfId="0" applyNumberFormat="1" applyFont="1">
      <alignment vertical="center"/>
    </xf>
    <xf fontId="22" fillId="35" borderId="12" numFmtId="0" xfId="0" applyNumberFormat="1" applyFont="1" applyFill="1" applyBorder="1">
      <alignment horizontal="left" vertical="center" wrapText="1"/>
    </xf>
    <xf fontId="22" fillId="0" borderId="0" numFmtId="0" xfId="0" applyNumberFormat="1" applyFont="1">
      <alignment horizontal="center" vertical="center"/>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0" fillId="0" borderId="12" numFmtId="0" xfId="0" applyNumberFormat="1" applyFont="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left" indent="1" vertical="center"/>
    </xf>
    <xf fontId="0" fillId="0" borderId="0" numFmtId="0" xfId="0" applyNumberFormat="1" applyFont="1">
      <alignment vertical="center"/>
    </xf>
    <xf fontId="22" fillId="0" borderId="0" numFmtId="0" xfId="0" applyNumberFormat="1" applyFont="1">
      <alignment horizontal="center" vertical="center" wrapText="1"/>
    </xf>
    <xf fontId="22" fillId="0" borderId="0" numFmtId="49" xfId="0" applyNumberFormat="1" applyFont="1">
      <alignment vertical="center" wrapText="1"/>
    </xf>
    <xf fontId="47" fillId="0" borderId="0" numFmtId="0" xfId="0" applyNumberFormat="1" applyFont="1">
      <alignment horizontal="center" vertical="center" wrapText="1"/>
    </xf>
    <xf fontId="22" fillId="35" borderId="12" numFmtId="0" xfId="0" applyNumberFormat="1" applyFont="1" applyFill="1" applyBorder="1">
      <alignment horizontal="center" vertical="center" wrapText="1"/>
    </xf>
    <xf fontId="48" fillId="0" borderId="0" numFmtId="0" xfId="0" applyNumberFormat="1" applyFont="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left" vertical="top" wrapText="1"/>
    </xf>
    <xf fontId="0" fillId="0" borderId="13"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48" fillId="0" borderId="0" numFmtId="0" xfId="0" applyNumberFormat="1" applyFont="1">
      <alignment horizontal="center" vertical="center"/>
    </xf>
    <xf fontId="22" fillId="0" borderId="0" numFmtId="0" xfId="0" applyNumberFormat="1" applyFont="1">
      <alignment horizontal="right" vertical="center" wrapText="1"/>
    </xf>
    <xf fontId="80" fillId="35" borderId="0" numFmtId="0" xfId="0" applyNumberFormat="1" applyFont="1" applyFill="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left" indent="1" vertical="center"/>
    </xf>
    <xf fontId="107" fillId="0" borderId="0" numFmtId="49" xfId="0" applyNumberFormat="1" applyFont="1">
      <alignment vertical="top"/>
    </xf>
    <xf fontId="22" fillId="0" borderId="12" numFmtId="49" xfId="0" applyNumberFormat="1" applyFont="1" applyBorder="1">
      <alignment vertical="center" wrapText="1"/>
    </xf>
    <xf fontId="48" fillId="0" borderId="0" numFmtId="0" xfId="0" applyNumberFormat="1" applyFont="1">
      <alignment horizontal="center" vertical="center"/>
    </xf>
    <xf fontId="22" fillId="40" borderId="12" numFmtId="0" xfId="0" applyNumberFormat="1" applyFont="1" applyFill="1" applyBorder="1">
      <alignment horizontal="left" indent="6" vertical="center" wrapText="1"/>
    </xf>
    <xf fontId="22" fillId="0" borderId="17" numFmtId="4" xfId="0" applyNumberFormat="1" applyFont="1" applyBorder="1">
      <alignment horizontal="right" vertical="center" wrapText="1"/>
    </xf>
    <xf fontId="22" fillId="0" borderId="23" numFmtId="4" xfId="0" applyNumberFormat="1" applyFont="1" applyBorder="1">
      <alignment horizontal="right" vertical="center" wrapText="1"/>
    </xf>
    <xf fontId="0" fillId="0" borderId="0" numFmtId="0" xfId="0" applyNumberFormat="1" applyFont="1">
      <alignment vertical="center"/>
    </xf>
    <xf fontId="22" fillId="0" borderId="0" numFmtId="49" xfId="0" applyNumberFormat="1" applyFont="1">
      <alignment vertical="center" wrapText="1"/>
    </xf>
    <xf fontId="22" fillId="0" borderId="17"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center"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2" numFmtId="49" xfId="0" applyNumberFormat="1" applyFont="1" applyBorder="1">
      <alignment horizontal="left" vertical="center" wrapText="1"/>
    </xf>
    <xf fontId="47" fillId="0" borderId="12" numFmtId="4" xfId="0" applyNumberFormat="1" applyFont="1" applyBorder="1">
      <alignment horizontal="right" vertical="center" wrapText="1"/>
    </xf>
    <xf fontId="47" fillId="0" borderId="12" numFmtId="502" xfId="0" applyNumberFormat="1" applyFont="1" applyBorder="1">
      <alignment horizontal="right" vertical="center" wrapText="1"/>
    </xf>
    <xf fontId="47" fillId="0" borderId="0" numFmtId="49" xfId="0" applyNumberFormat="1" applyFont="1">
      <alignment vertical="center" wrapText="1"/>
    </xf>
    <xf fontId="47" fillId="0" borderId="0" numFmtId="0" xfId="0" applyNumberFormat="1" applyFont="1">
      <alignment horizontal="left" indent="1" vertical="center"/>
    </xf>
    <xf fontId="47" fillId="0" borderId="0" numFmtId="0" xfId="0" applyNumberFormat="1" applyFont="1">
      <alignment horizontal="center" vertical="center"/>
    </xf>
    <xf fontId="47" fillId="0" borderId="0" numFmtId="0" xfId="0" applyNumberFormat="1" applyFont="1">
      <alignment horizontal="left" vertical="center" wrapText="1"/>
    </xf>
    <xf fontId="47" fillId="0" borderId="0" numFmtId="0" xfId="0" applyNumberFormat="1" applyFont="1">
      <alignment vertical="center" wrapText="1"/>
    </xf>
    <xf fontId="47" fillId="0" borderId="12" numFmtId="49" xfId="0" applyNumberFormat="1" applyFont="1" applyBorder="1">
      <alignment vertical="center" wrapText="1"/>
    </xf>
    <xf fontId="47" fillId="0" borderId="0" numFmtId="0" xfId="0" applyNumberFormat="1" applyFont="1">
      <alignment vertical="center"/>
    </xf>
    <xf fontId="47" fillId="0" borderId="0" numFmtId="0" xfId="0" applyNumberFormat="1" applyFont="1">
      <alignment horizontal="center" vertical="center"/>
    </xf>
    <xf fontId="47" fillId="0" borderId="0" numFmtId="0" xfId="0" applyNumberFormat="1" applyFont="1">
      <alignment vertical="center"/>
    </xf>
    <xf fontId="69" fillId="0" borderId="0" numFmtId="0" xfId="0" applyNumberFormat="1" applyFont="1">
      <alignment vertical="center" wrapText="1"/>
    </xf>
    <xf fontId="0" fillId="0" borderId="15" numFmtId="0" xfId="0" applyNumberFormat="1" applyFont="1" applyBorder="1">
      <alignment vertical="center"/>
    </xf>
    <xf fontId="48" fillId="0" borderId="12" numFmtId="0" xfId="0" applyNumberFormat="1" applyFont="1" applyBorder="1">
      <alignment horizontal="center" vertical="center" wrapText="1"/>
    </xf>
    <xf fontId="72" fillId="0" borderId="0" numFmtId="0" xfId="0" applyNumberFormat="1" applyFont="1">
      <alignment horizontal="left" indent="1" vertical="center"/>
    </xf>
    <xf fontId="72" fillId="0" borderId="0" numFmtId="0" xfId="0" applyNumberFormat="1" applyFont="1">
      <alignment horizontal="left" indent="1" vertical="center"/>
    </xf>
    <xf fontId="48" fillId="0" borderId="12" numFmtId="0" xfId="0" applyNumberFormat="1" applyFont="1" applyBorder="1">
      <alignment vertical="center" wrapText="1"/>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49" xfId="0" applyNumberFormat="1" applyFont="1">
      <alignment horizontal="left" vertical="center"/>
    </xf>
    <xf fontId="22" fillId="0" borderId="0" numFmtId="0" xfId="0" applyNumberFormat="1" applyFont="1">
      <alignment horizontal="center" vertical="center"/>
    </xf>
    <xf fontId="72" fillId="0" borderId="0" numFmtId="0" xfId="0" applyNumberFormat="1" applyFont="1">
      <alignment horizontal="center" vertical="center"/>
    </xf>
    <xf fontId="22" fillId="0" borderId="13" numFmtId="4" xfId="0" applyNumberFormat="1" applyFont="1" applyBorder="1">
      <alignment horizontal="righ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22" fillId="0" borderId="36" numFmtId="4" xfId="0" applyNumberFormat="1" applyFont="1" applyBorder="1">
      <alignment horizontal="right" vertical="center" wrapText="1"/>
    </xf>
    <xf fontId="22" fillId="36" borderId="12" numFmtId="0" xfId="0" applyNumberFormat="1" applyFont="1" applyFill="1" applyBorder="1">
      <alignment horizontal="left" indent="7" vertical="center" wrapText="1"/>
      <protection locked="0"/>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48" fillId="37" borderId="13" numFmtId="4" xfId="0" applyNumberFormat="1" applyFont="1" applyFill="1" applyBorder="1">
      <alignment horizontal="center" vertical="center" wrapText="1"/>
    </xf>
    <xf fontId="22" fillId="37" borderId="13" numFmtId="502" xfId="0" applyNumberFormat="1" applyFont="1" applyFill="1" applyBorder="1">
      <alignment horizontal="right" vertical="center" wrapText="1"/>
    </xf>
    <xf fontId="22" fillId="40" borderId="12" numFmtId="0" xfId="0" applyNumberFormat="1" applyFont="1" applyFill="1" applyBorder="1">
      <alignment horizontal="left" indent="1" vertical="center" wrapText="1"/>
    </xf>
    <xf fontId="48" fillId="0" borderId="12" numFmtId="0" xfId="0" applyNumberFormat="1" applyFont="1" applyBorder="1">
      <alignment horizontal="left" indent="5" vertical="center" wrapText="1"/>
    </xf>
    <xf fontId="72" fillId="0" borderId="24" numFmtId="49" xfId="0" applyNumberFormat="1" applyFont="1" applyBorder="1">
      <alignment vertical="top"/>
    </xf>
    <xf fontId="48" fillId="0" borderId="24" numFmtId="49" xfId="0" applyNumberFormat="1" applyFont="1" applyBorder="1">
      <alignment vertical="top"/>
    </xf>
    <xf fontId="22" fillId="0" borderId="12"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502" xfId="0" applyNumberFormat="1" applyFont="1" applyBorder="1">
      <alignment horizontal="right" vertical="center" wrapText="1"/>
    </xf>
    <xf fontId="22" fillId="36" borderId="14" numFmtId="502" xfId="0" applyNumberFormat="1" applyFont="1" applyFill="1" applyBorder="1">
      <alignment horizontal="right" vertical="center" wrapText="1"/>
      <protection locked="0"/>
    </xf>
    <xf fontId="48" fillId="0" borderId="14" numFmtId="4" xfId="0" applyNumberFormat="1" applyFont="1" applyBorder="1">
      <alignment horizontal="center" vertical="center" wrapText="1"/>
    </xf>
    <xf fontId="22" fillId="36" borderId="13" numFmtId="4" xfId="0" applyNumberFormat="1" applyFont="1" applyFill="1" applyBorder="1">
      <alignment horizontal="right" vertical="center" wrapText="1"/>
      <protection locked="0"/>
    </xf>
    <xf fontId="22" fillId="37" borderId="27" numFmtId="49" xfId="0" applyNumberFormat="1" applyFont="1" applyFill="1" applyBorder="1">
      <alignment horizontal="center" vertical="center" wrapText="1"/>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56" fillId="0" borderId="0" numFmtId="0" xfId="0" applyNumberFormat="1" applyFont="1">
      <alignment vertical="center" wrapText="1"/>
    </xf>
    <xf fontId="48" fillId="0" borderId="0" numFmtId="0" xfId="0" applyNumberFormat="1" applyFont="1">
      <alignment vertical="center"/>
    </xf>
    <xf fontId="49" fillId="0" borderId="0" numFmtId="0" xfId="0" applyNumberFormat="1" applyFont="1">
      <alignment vertical="center"/>
    </xf>
    <xf fontId="4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22"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35" borderId="12" numFmtId="0" xfId="0" applyNumberFormat="1" applyFont="1" applyFill="1" applyBorder="1">
      <alignment horizontal="left" vertical="center" wrapText="1"/>
    </xf>
    <xf fontId="48" fillId="0" borderId="0" numFmtId="0" xfId="0" applyNumberFormat="1" applyFont="1">
      <alignment horizontal="center" vertical="center"/>
    </xf>
    <xf fontId="22" fillId="0" borderId="0" numFmtId="49" xfId="0" applyNumberFormat="1" applyFont="1">
      <alignment horizontal="center" vertical="top"/>
    </xf>
    <xf fontId="32" fillId="0" borderId="0" numFmtId="49" xfId="0" applyNumberFormat="1" applyFont="1">
      <alignment horizontal="center" vertical="center"/>
    </xf>
    <xf fontId="0" fillId="0" borderId="0" numFmtId="0" xfId="0" applyNumberFormat="1" applyFont="1">
      <alignment horizontal="left" vertical="center"/>
    </xf>
    <xf fontId="54" fillId="0" borderId="0" numFmtId="0" xfId="0" applyNumberFormat="1" applyFont="1">
      <alignment horizontal="left" vertical="center"/>
    </xf>
    <xf fontId="0" fillId="0" borderId="0" numFmtId="49" xfId="0" applyNumberFormat="1" applyFont="1">
      <alignment vertical="center"/>
    </xf>
    <xf fontId="0" fillId="0" borderId="0" numFmtId="0" xfId="0" applyNumberFormat="1" applyFont="1">
      <alignment horizontal="right" vertical="top"/>
    </xf>
    <xf fontId="40" fillId="37" borderId="29" numFmtId="0" xfId="0" applyNumberFormat="1" applyFont="1" applyFill="1" applyBorder="1">
      <alignment horizontal="left" vertical="center"/>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0" fillId="0" borderId="0" numFmtId="0" xfId="0" applyNumberFormat="1" applyFont="1">
      <alignment vertical="center"/>
    </xf>
    <xf fontId="110" fillId="0" borderId="0" numFmtId="0" xfId="0" applyNumberFormat="1" applyFont="1">
      <alignment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vertical="center" wrapText="1"/>
    </xf>
    <xf fontId="47" fillId="0" borderId="0" numFmtId="0" xfId="0" applyNumberFormat="1" applyFont="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48" fillId="0" borderId="0" numFmtId="0" xfId="0" applyNumberFormat="1" applyFont="1">
      <alignment horizontal="center" vertical="center" wrapText="1"/>
    </xf>
    <xf fontId="80" fillId="35" borderId="19" numFmtId="0" xfId="0" applyNumberFormat="1" applyFont="1" applyFill="1" applyBorder="1">
      <alignment horizontal="center" vertical="center" wrapText="1"/>
    </xf>
    <xf fontId="22" fillId="0" borderId="17" numFmtId="0" xfId="0" applyNumberFormat="1" applyFont="1" applyBorder="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35" borderId="12" numFmtId="0" xfId="0" applyNumberFormat="1" applyFont="1" applyFill="1" applyBorder="1">
      <alignment horizontal="left" vertical="center" wrapText="1"/>
    </xf>
    <xf fontId="48" fillId="0" borderId="0" numFmtId="0" xfId="0" applyNumberFormat="1" applyFont="1">
      <alignment horizontal="center" vertical="center"/>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8"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vertical="center"/>
    </xf>
    <xf fontId="22" fillId="0" borderId="0" numFmtId="0" xfId="0" applyNumberFormat="1" applyFont="1">
      <alignment horizontal="center" vertical="center" wrapText="1"/>
    </xf>
    <xf fontId="22" fillId="40" borderId="12" numFmtId="49" xfId="0" applyNumberFormat="1" applyFont="1" applyFill="1" applyBorder="1">
      <alignment horizontal="center"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vertical="center" wrapText="1"/>
    </xf>
    <xf fontId="22" fillId="35" borderId="12" numFmtId="49" xfId="0" applyNumberFormat="1" applyFont="1" applyFill="1" applyBorder="1">
      <alignment horizontal="center" vertical="center" wrapText="1"/>
    </xf>
    <xf fontId="48" fillId="35" borderId="0" numFmtId="0" xfId="0" applyNumberFormat="1" applyFont="1" applyFill="1">
      <alignment horizontal="center" vertical="center" wrapText="1"/>
    </xf>
    <xf fontId="0" fillId="35" borderId="1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48" fillId="0" borderId="0" numFmtId="0" xfId="0" applyNumberFormat="1" applyFont="1">
      <alignment horizontal="center" vertical="center" wrapText="1"/>
    </xf>
    <xf fontId="80" fillId="35" borderId="19" numFmtId="0" xfId="0" applyNumberFormat="1" applyFont="1" applyFill="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center" vertical="center" wrapText="1"/>
    </xf>
    <xf fontId="48" fillId="0" borderId="12" numFmtId="49" xfId="0" applyNumberFormat="1" applyFont="1" applyBorder="1">
      <alignment horizontal="center" vertical="center" wrapText="1"/>
    </xf>
    <xf fontId="22" fillId="35" borderId="12"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40" borderId="12" numFmtId="49" xfId="0" applyNumberFormat="1" applyFont="1" applyFill="1" applyBorder="1">
      <alignment horizontal="left" vertical="center" wrapText="1"/>
    </xf>
    <xf fontId="22" fillId="39" borderId="12" numFmtId="49" xfId="0" applyNumberFormat="1" applyFont="1" applyFill="1" applyBorder="1">
      <alignment horizontal="left" indent="1" vertical="center" wrapText="1"/>
      <protection locked="0"/>
    </xf>
    <xf fontId="22" fillId="35" borderId="12" numFmtId="0" xfId="0" applyNumberFormat="1" applyFont="1" applyFill="1" applyBorder="1">
      <alignment horizontal="left" vertical="center" wrapText="1"/>
    </xf>
    <xf fontId="48" fillId="0" borderId="0" numFmtId="0" xfId="0" applyNumberFormat="1" applyFont="1">
      <alignment horizontal="center" vertical="center"/>
    </xf>
    <xf fontId="37" fillId="0" borderId="0" numFmtId="0" xfId="0" applyNumberFormat="1" applyFont="1">
      <alignment horizontal="center" vertical="center" wrapText="1"/>
    </xf>
    <xf fontId="22" fillId="37" borderId="15" numFmtId="502" xfId="0" applyNumberFormat="1" applyFont="1" applyFill="1" applyBorder="1">
      <alignment horizontal="righ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0" fillId="37" borderId="27" numFmtId="49" xfId="0" applyNumberFormat="1" applyFont="1" applyFill="1" applyBorder="1">
      <alignment horizontal="left" vertical="center"/>
    </xf>
    <xf fontId="111" fillId="0" borderId="0" numFmtId="0"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0" numFmtId="0" xfId="0" applyNumberFormat="1" applyFont="1">
      <alignment horizontal="left" indent="1" vertical="center" wrapText="1"/>
    </xf>
    <xf fontId="22" fillId="37" borderId="14" numFmtId="49" xfId="0" applyNumberFormat="1" applyFont="1" applyFill="1" applyBorder="1">
      <alignment horizontal="center" vertical="center" wrapText="1"/>
    </xf>
    <xf fontId="48" fillId="0" borderId="24" numFmtId="0" xfId="0" applyNumberFormat="1" applyFont="1" applyBorder="1">
      <alignment horizontal="left" indent="1" vertical="center" wrapText="1"/>
    </xf>
    <xf fontId="47" fillId="0" borderId="0" numFmtId="0" xfId="0" applyNumberFormat="1" applyFont="1">
      <alignment horizontal="left" vertical="center"/>
    </xf>
    <xf fontId="47" fillId="0" borderId="0" numFmtId="49" xfId="0" applyNumberFormat="1" applyFont="1">
      <alignment horizontal="left" vertical="center"/>
    </xf>
    <xf fontId="47" fillId="0" borderId="0" numFmtId="0" xfId="0" applyNumberFormat="1" applyFont="1">
      <alignment horizontal="left" vertical="center"/>
    </xf>
    <xf fontId="69" fillId="0" borderId="0" numFmtId="0" xfId="0" applyNumberFormat="1" applyFont="1">
      <alignment horizontal="left" vertical="center"/>
    </xf>
    <xf fontId="48" fillId="0" borderId="0" numFmtId="0" xfId="0" applyNumberFormat="1" applyFont="1">
      <alignment horizontal="left" vertical="center"/>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22" fillId="0" borderId="19" numFmtId="49" xfId="0" applyNumberFormat="1" applyFont="1" applyBorder="1">
      <alignment horizontal="left" vertical="center" wrapText="1"/>
    </xf>
    <xf fontId="37" fillId="0" borderId="0" numFmtId="0" xfId="0" applyNumberFormat="1" applyFont="1">
      <alignment horizontal="center" vertical="center" wrapText="1"/>
    </xf>
    <xf fontId="37" fillId="35" borderId="0" numFmtId="0" xfId="0" applyNumberFormat="1" applyFont="1" applyFill="1">
      <alignment horizontal="center" vertical="center" wrapText="1"/>
    </xf>
    <xf fontId="47" fillId="0" borderId="0" numFmtId="49" xfId="0" applyNumberFormat="1" applyFont="1">
      <alignment horizontal="left" vertical="center"/>
    </xf>
    <xf fontId="47" fillId="0" borderId="0" numFmtId="49" xfId="0" applyNumberFormat="1" applyFont="1">
      <alignment horizontal="left" vertical="center"/>
    </xf>
    <xf fontId="47" fillId="0" borderId="0" numFmtId="49" xfId="0" applyNumberFormat="1" applyFont="1">
      <alignment horizontal="left" vertical="top"/>
    </xf>
    <xf fontId="22" fillId="35" borderId="12" numFmtId="49" xfId="0" applyNumberFormat="1" applyFont="1" applyFill="1" applyBorder="1">
      <alignment horizontal="center" vertical="center"/>
    </xf>
    <xf fontId="22" fillId="0" borderId="12" numFmtId="0" xfId="0" applyNumberFormat="1" applyFont="1" applyBorder="1">
      <alignment horizontal="center" vertical="center" wrapText="1"/>
    </xf>
    <xf fontId="22" fillId="35" borderId="12" numFmtId="0" xfId="0" applyNumberFormat="1" applyFont="1" applyFill="1" applyBorder="1">
      <alignment horizontal="left" indent="1" vertical="center" wrapText="1"/>
    </xf>
    <xf fontId="22" fillId="0" borderId="12" numFmtId="49" xfId="0" applyNumberFormat="1" applyFont="1" applyBorder="1">
      <alignment horizontal="center" vertical="center"/>
    </xf>
    <xf fontId="22" fillId="0" borderId="12" numFmtId="0" xfId="0" applyNumberFormat="1" applyFont="1" applyBorder="1">
      <alignment horizontal="left" indent="1" vertical="center" wrapText="1"/>
    </xf>
    <xf fontId="22" fillId="0" borderId="12" numFmtId="0" xfId="0" applyNumberFormat="1" applyFont="1" applyBorder="1">
      <alignment vertical="center" wrapText="1"/>
    </xf>
    <xf fontId="22" fillId="39" borderId="12" numFmtId="49" xfId="0" applyNumberFormat="1" applyFont="1" applyFill="1" applyBorder="1">
      <alignment horizontal="left" vertical="center" wrapText="1"/>
      <protection locked="0"/>
    </xf>
    <xf fontId="22" fillId="35" borderId="12" numFmtId="0" xfId="0" applyNumberFormat="1" applyFont="1" applyFill="1" applyBorder="1">
      <alignment horizontal="left" vertical="center" wrapText="1"/>
    </xf>
    <xf fontId="48" fillId="35" borderId="12" numFmtId="0" xfId="0" applyNumberFormat="1" applyFont="1" applyFill="1" applyBorder="1">
      <alignment horizontal="center" vertical="center"/>
    </xf>
    <xf fontId="72" fillId="35" borderId="0" numFmtId="0" xfId="0" applyNumberFormat="1" applyFont="1" applyFill="1">
      <alignment vertical="center" wrapText="1"/>
    </xf>
    <xf fontId="67" fillId="35" borderId="0" numFmtId="0" xfId="0" applyNumberFormat="1" applyFont="1" applyFill="1"/>
    <xf fontId="22" fillId="36" borderId="12" numFmtId="49" xfId="0" applyNumberFormat="1" applyFont="1" applyFill="1" applyBorder="1">
      <alignment horizontal="left" vertical="center" wrapText="1"/>
      <protection locked="0"/>
    </xf>
    <xf fontId="84" fillId="35" borderId="0" numFmtId="0" xfId="0" applyNumberFormat="1" applyFont="1" applyFill="1"/>
    <xf fontId="68" fillId="35" borderId="0" numFmtId="0" xfId="0" applyNumberFormat="1" applyFont="1" applyFill="1"/>
    <xf fontId="22" fillId="39" borderId="23" numFmtId="14" xfId="0" applyNumberFormat="1" applyFont="1" applyFill="1" applyBorder="1">
      <alignment horizontal="left" indent="1" vertical="center" wrapText="1"/>
      <protection locked="0"/>
    </xf>
    <xf fontId="112" fillId="0" borderId="0" numFmtId="0" xfId="0" applyNumberFormat="1" applyFont="1">
      <alignment vertical="center"/>
    </xf>
    <xf fontId="112" fillId="0" borderId="0" numFmtId="0" xfId="0" applyNumberFormat="1" applyFont="1">
      <alignment vertical="center" wrapText="1"/>
    </xf>
    <xf fontId="22" fillId="0" borderId="23" numFmtId="501" xfId="0" applyNumberFormat="1" applyFont="1" applyBorder="1">
      <alignment horizontal="center" vertical="center" wrapText="1"/>
    </xf>
    <xf fontId="22" fillId="39" borderId="12" numFmtId="14" xfId="0" applyNumberFormat="1" applyFont="1" applyFill="1" applyBorder="1">
      <alignment horizontal="left" indent="1" vertical="center" wrapText="1"/>
      <protection locked="0"/>
    </xf>
    <xf fontId="22" fillId="34" borderId="23" numFmtId="0" xfId="0" applyNumberFormat="1" applyFont="1" applyFill="1" applyBorder="1">
      <alignment horizontal="left" indent="1" vertical="center" wrapText="1"/>
    </xf>
    <xf fontId="22" fillId="0" borderId="17" numFmtId="501" xfId="0" applyNumberFormat="1" applyFont="1" applyBorder="1">
      <alignment horizontal="center" vertical="center" wrapText="1"/>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53" fillId="37" borderId="27" numFmtId="49" xfId="0" applyNumberFormat="1" applyFont="1" applyFill="1" applyBorder="1">
      <alignment horizontal="left"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xf>
    <xf fontId="42" fillId="0" borderId="0" numFmtId="0" xfId="0" applyNumberFormat="1" applyFont="1">
      <alignment horizontal="center" vertical="center" wrapText="1"/>
    </xf>
    <xf fontId="22" fillId="40" borderId="12" numFmtId="14" xfId="0" applyNumberFormat="1" applyFont="1" applyFill="1" applyBorder="1">
      <alignment horizontal="left" vertical="center" wrapText="1"/>
    </xf>
    <xf fontId="22" fillId="0" borderId="37" numFmtId="501"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0" borderId="15"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48" fillId="0" borderId="0" numFmtId="49" xfId="0" applyNumberFormat="1" applyFont="1">
      <alignment horizontal="center" vertical="center"/>
    </xf>
    <xf fontId="67" fillId="0" borderId="0" numFmtId="49" xfId="0" applyNumberFormat="1" applyFont="1">
      <alignment vertical="top"/>
    </xf>
    <xf fontId="42" fillId="0" borderId="0" numFmtId="0" xfId="0" applyNumberFormat="1" applyFont="1">
      <alignment vertical="center"/>
    </xf>
    <xf fontId="22" fillId="0" borderId="36"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49" xfId="0" applyNumberFormat="1" applyFont="1" applyBorder="1">
      <alignment horizontal="left" vertical="center" wrapText="1"/>
    </xf>
    <xf fontId="22" fillId="0" borderId="36" numFmtId="49" xfId="0" applyNumberFormat="1" applyFont="1" applyBorder="1">
      <alignment horizontal="center" vertical="center" wrapText="1"/>
    </xf>
    <xf fontId="22" fillId="0" borderId="17" numFmtId="49" xfId="0" applyNumberFormat="1" applyFont="1" applyBorder="1">
      <alignment horizontal="center" vertical="center" wrapText="1"/>
    </xf>
    <xf fontId="22" fillId="0" borderId="36" numFmtId="0" xfId="0" applyNumberFormat="1" applyFont="1" applyBorder="1">
      <alignment horizontal="left" vertical="center" wrapText="1"/>
    </xf>
    <xf fontId="22" fillId="0" borderId="36" numFmtId="49" xfId="0" applyNumberFormat="1" applyFont="1" applyBorder="1">
      <alignment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0" borderId="36" numFmtId="0" xfId="0" applyNumberFormat="1" applyFont="1" applyBorder="1">
      <alignment horizontal="left" vertical="center"/>
    </xf>
    <xf fontId="40" fillId="37" borderId="37" numFmtId="0" xfId="0" applyNumberFormat="1" applyFont="1" applyFill="1" applyBorder="1">
      <alignment horizontal="left" vertical="center"/>
    </xf>
    <xf fontId="67" fillId="37" borderId="14" numFmtId="49" xfId="0" applyNumberFormat="1" applyFont="1" applyFill="1" applyBorder="1">
      <alignment vertical="top"/>
    </xf>
    <xf fontId="67" fillId="37" borderId="15" numFmtId="49" xfId="0" applyNumberFormat="1" applyFont="1" applyFill="1" applyBorder="1">
      <alignment vertical="top"/>
    </xf>
    <xf fontId="22" fillId="40" borderId="17" numFmtId="49" xfId="0" applyNumberFormat="1" applyFont="1" applyFill="1" applyBorder="1">
      <alignment vertical="center" wrapText="1"/>
    </xf>
    <xf fontId="22" fillId="0" borderId="37" numFmtId="0" xfId="0" applyNumberFormat="1" applyFont="1" applyBorder="1">
      <alignment horizontal="center" vertical="center" wrapText="1"/>
    </xf>
    <xf fontId="0" fillId="0" borderId="0" numFmtId="49" xfId="0" applyNumberFormat="1" applyFont="1">
      <alignment vertical="top"/>
    </xf>
    <xf fontId="47" fillId="0" borderId="0" numFmtId="49" xfId="0" applyNumberFormat="1" applyFont="1">
      <alignment horizontal="center" vertical="center"/>
    </xf>
    <xf fontId="113" fillId="0" borderId="0" numFmtId="0" xfId="0" applyNumberFormat="1" applyFont="1">
      <alignment vertical="center" wrapText="1"/>
    </xf>
    <xf fontId="114" fillId="0" borderId="0" numFmtId="0" xfId="0" applyNumberFormat="1" applyFont="1">
      <alignment vertical="center" wrapText="1"/>
    </xf>
    <xf fontId="22" fillId="0" borderId="17" numFmtId="0" xfId="0" applyNumberFormat="1" applyFont="1" applyBorder="1">
      <alignment horizontal="center" vertical="center" wrapText="1"/>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22" fillId="0" borderId="1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0" numFmtId="0" xfId="0" applyNumberFormat="1" applyFont="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40" fillId="0" borderId="0" numFmtId="0" xfId="0" applyNumberFormat="1" applyFont="1">
      <alignment vertical="center"/>
    </xf>
    <xf fontId="67" fillId="0" borderId="30" numFmtId="49" xfId="0" applyNumberFormat="1" applyFont="1" applyBorder="1">
      <alignment vertical="top"/>
    </xf>
    <xf fontId="22" fillId="0" borderId="37" numFmtId="49" xfId="0" applyNumberFormat="1" applyFont="1" applyBorder="1">
      <alignment vertical="center" wrapText="1"/>
    </xf>
    <xf fontId="22" fillId="0" borderId="22" numFmtId="49" xfId="0" applyNumberFormat="1" applyFont="1" applyBorder="1">
      <alignment vertical="center" wrapText="1"/>
    </xf>
    <xf fontId="40" fillId="0" borderId="22" numFmtId="0" xfId="0" applyNumberFormat="1" applyFont="1" applyBorder="1">
      <alignment horizontal="left" vertical="center"/>
    </xf>
    <xf fontId="67" fillId="0" borderId="27" numFmtId="49" xfId="0" applyNumberFormat="1" applyFont="1" applyBorder="1">
      <alignment vertical="top"/>
    </xf>
    <xf fontId="22" fillId="0" borderId="36" numFmtId="49" xfId="0" applyNumberFormat="1" applyFont="1" applyBorder="1">
      <alignment horizontal="center" vertical="center" wrapText="1"/>
    </xf>
    <xf fontId="40" fillId="37" borderId="37" numFmtId="0" xfId="0" applyNumberFormat="1" applyFont="1" applyFill="1" applyBorder="1">
      <alignment vertical="center"/>
    </xf>
    <xf fontId="0" fillId="0" borderId="12" numFmtId="49" xfId="0" applyNumberFormat="1" applyFont="1" applyBorder="1">
      <alignment horizontal="left" indent="1" vertical="center" wrapText="1"/>
    </xf>
    <xf fontId="0" fillId="0" borderId="0" numFmtId="49" xfId="0" applyNumberFormat="1" applyFont="1">
      <alignment vertical="top"/>
    </xf>
    <xf fontId="22" fillId="0" borderId="0" numFmtId="0" xfId="0" applyNumberFormat="1" applyFont="1">
      <alignment vertical="center" wrapText="1"/>
    </xf>
    <xf fontId="3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horizontal="left" vertical="center" wrapText="1"/>
    </xf>
    <xf fontId="58" fillId="0" borderId="0" numFmtId="0" xfId="0" applyNumberFormat="1" applyFont="1">
      <alignment vertical="center" wrapText="1"/>
    </xf>
    <xf fontId="60" fillId="0" borderId="0" numFmtId="0" xfId="0" applyNumberFormat="1" applyFont="1">
      <alignment vertical="center" wrapText="1"/>
    </xf>
    <xf fontId="88" fillId="0" borderId="0" numFmtId="0" xfId="0" applyNumberFormat="1" applyFont="1">
      <alignment vertical="center" wrapText="1"/>
    </xf>
    <xf fontId="48" fillId="0" borderId="0" numFmtId="0" xfId="0" applyNumberFormat="1" applyFont="1">
      <alignment vertical="center" wrapText="1"/>
    </xf>
    <xf fontId="64" fillId="0" borderId="0" numFmtId="0" xfId="0" applyNumberFormat="1" applyFont="1">
      <alignment vertical="center" wrapText="1"/>
    </xf>
    <xf fontId="22" fillId="0" borderId="12" numFmtId="49"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22" fillId="0" borderId="12" numFmtId="49" xfId="0" applyNumberFormat="1" applyFont="1" applyBorder="1">
      <alignment horizontal="center" vertical="center" wrapText="1"/>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center"/>
    </xf>
    <xf fontId="37" fillId="35" borderId="12" numFmtId="0" xfId="0" applyNumberFormat="1" applyFont="1" applyFill="1" applyBorder="1">
      <alignment horizontal="center" vertical="center" wrapText="1"/>
    </xf>
    <xf fontId="47" fillId="0" borderId="22" numFmtId="0" xfId="0" applyNumberFormat="1" applyFont="1" applyBorder="1">
      <alignment vertical="center"/>
    </xf>
    <xf fontId="47" fillId="0" borderId="22" numFmtId="0" xfId="0" applyNumberFormat="1" applyFont="1" applyBorder="1">
      <alignment vertical="center"/>
    </xf>
    <xf fontId="22" fillId="0" borderId="17" numFmtId="0" xfId="0" applyNumberFormat="1" applyFont="1" applyBorder="1">
      <alignment horizontal="left" indent="1" vertical="center" wrapText="1"/>
    </xf>
    <xf fontId="22" fillId="0" borderId="57" numFmtId="49" xfId="0" applyNumberFormat="1" applyFont="1" applyBorder="1">
      <alignment horizontal="center" vertical="center" wrapText="1"/>
    </xf>
    <xf fontId="22" fillId="0" borderId="28" numFmtId="49" xfId="0" applyNumberFormat="1" applyFont="1" applyBorder="1">
      <alignment horizontal="center" vertical="center" wrapText="1"/>
    </xf>
    <xf fontId="22" fillId="0" borderId="0" numFmtId="0" xfId="0" applyNumberFormat="1" applyFont="1">
      <alignment vertical="center"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wrapText="1"/>
    </xf>
    <xf fontId="48" fillId="0" borderId="0" numFmtId="0" xfId="0" applyNumberFormat="1" applyFont="1">
      <alignment vertical="center" wrapText="1"/>
    </xf>
    <xf fontId="22" fillId="0" borderId="12" numFmtId="0" xfId="0" applyNumberFormat="1" applyFont="1" applyBorder="1">
      <alignment horizontal="center"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54" fillId="0" borderId="0" numFmtId="0" xfId="0" applyNumberFormat="1" applyFont="1">
      <alignment vertical="center"/>
    </xf>
    <xf fontId="72" fillId="0" borderId="0" numFmtId="0" xfId="0" applyNumberFormat="1" applyFont="1">
      <alignment vertical="center" wrapText="1"/>
    </xf>
    <xf fontId="48" fillId="0" borderId="0" numFmtId="0" xfId="0" applyNumberFormat="1" applyFont="1">
      <alignment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0" borderId="12" numFmtId="0" xfId="0" applyNumberFormat="1" applyFont="1" applyBorder="1">
      <alignment horizontal="left" indent="2" vertical="center" wrapText="1"/>
    </xf>
    <xf fontId="48" fillId="0" borderId="17"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2"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2" numFmtId="0" xfId="0" applyNumberFormat="1" applyFont="1" applyBorder="1">
      <alignment horizontal="center" vertical="center" wrapText="1"/>
    </xf>
    <xf fontId="0" fillId="0" borderId="12" numFmtId="49" xfId="0" applyNumberFormat="1" applyFont="1" applyBorder="1">
      <alignment vertical="center" wrapText="1"/>
    </xf>
    <xf fontId="48" fillId="0" borderId="14" numFmtId="0" xfId="0" applyNumberFormat="1" applyFont="1" applyBorder="1">
      <alignment vertical="center" wrapText="1"/>
    </xf>
    <xf fontId="48" fillId="0" borderId="14" numFmtId="0" xfId="0" applyNumberFormat="1" applyFont="1" applyBorder="1">
      <alignment horizontal="left" vertical="top" wrapText="1"/>
    </xf>
    <xf fontId="22" fillId="0" borderId="58" numFmtId="49" xfId="0" applyNumberFormat="1" applyFont="1" applyBorder="1">
      <alignment horizontal="center" vertical="center" wrapText="1"/>
    </xf>
    <xf fontId="22" fillId="0" borderId="17" numFmtId="0" xfId="0" applyNumberFormat="1" applyFont="1" applyBorder="1">
      <alignment horizontal="left" vertical="center" wrapText="1"/>
    </xf>
    <xf fontId="40" fillId="37" borderId="19" numFmtId="49" xfId="0" applyNumberFormat="1" applyFont="1" applyFill="1" applyBorder="1">
      <alignment horizontal="left" indent="2" vertical="center"/>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0" numFmtId="49" xfId="0" applyNumberFormat="1" applyFont="1">
      <alignment vertical="center" wrapText="1"/>
    </xf>
    <xf fontId="0"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0" fillId="0" borderId="12" numFmtId="0" xfId="0" applyNumberFormat="1" applyFont="1" applyBorder="1">
      <alignment horizontal="left" indent="1" vertical="center" wrapText="1"/>
    </xf>
    <xf fontId="0" fillId="35" borderId="12" numFmtId="49" xfId="0" applyNumberFormat="1" applyFont="1" applyFill="1" applyBorder="1">
      <alignment horizontal="center" vertical="center" wrapText="1"/>
    </xf>
    <xf fontId="22" fillId="40" borderId="12" numFmtId="49" xfId="0" applyNumberFormat="1" applyFont="1" applyFill="1" applyBorder="1">
      <alignment horizontal="left" vertical="center" wrapText="1"/>
    </xf>
    <xf fontId="22" fillId="0" borderId="59" numFmtId="49" xfId="0" applyNumberFormat="1" applyFont="1" applyBorder="1">
      <alignment horizontal="center" vertical="center" wrapText="1"/>
    </xf>
    <xf fontId="22" fillId="39" borderId="17" numFmtId="4" xfId="0" applyNumberFormat="1" applyFont="1" applyFill="1" applyBorder="1">
      <alignment horizontal="right" vertical="center" wrapText="1"/>
      <protection locked="0"/>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19" numFmtId="0" xfId="0" applyNumberFormat="1" applyFont="1" applyBorder="1">
      <alignment horizontal="left" vertical="top" wrapText="1"/>
    </xf>
    <xf fontId="22" fillId="0" borderId="0" numFmtId="0" xfId="0" applyNumberFormat="1" applyFont="1">
      <alignment horizontal="right" vertical="top" wrapText="1"/>
    </xf>
    <xf fontId="0" fillId="39" borderId="12" numFmtId="49" xfId="0" applyNumberFormat="1" applyFont="1" applyFill="1" applyBorder="1">
      <alignment horizontal="left" indent="1" vertical="center" wrapText="1"/>
      <protection locked="0"/>
    </xf>
    <xf fontId="47" fillId="0" borderId="0" numFmtId="49" xfId="0" applyNumberFormat="1" applyFont="1">
      <alignment vertical="top"/>
    </xf>
    <xf fontId="22" fillId="40" borderId="12" numFmtId="49"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35" borderId="0" numFmtId="0" xfId="0" applyNumberFormat="1" applyFont="1" applyFill="1"/>
    <xf fontId="22" fillId="0" borderId="0" numFmtId="0" xfId="0" applyNumberFormat="1" applyFont="1">
      <alignment vertical="top" wrapText="1"/>
    </xf>
    <xf fontId="37" fillId="35" borderId="0" numFmtId="0" xfId="0" applyNumberFormat="1" applyFont="1" applyFill="1">
      <alignment horizontal="center" vertical="center" wrapText="1"/>
    </xf>
    <xf fontId="0" fillId="35" borderId="23" numFmtId="0" xfId="0" applyNumberFormat="1" applyFont="1" applyFill="1" applyBorder="1">
      <alignment vertical="center" wrapText="1"/>
    </xf>
    <xf fontId="0" fillId="0" borderId="0" numFmtId="49" xfId="0" applyNumberFormat="1" applyFont="1">
      <alignment vertical="top"/>
    </xf>
    <xf fontId="0" fillId="0" borderId="0" numFmtId="0" xfId="0" applyNumberFormat="1" applyFont="1">
      <alignment vertical="top"/>
    </xf>
    <xf fontId="32" fillId="47" borderId="0" numFmtId="49" xfId="0" applyNumberFormat="1" applyFont="1" applyFill="1">
      <alignment horizontal="center" vertical="center"/>
    </xf>
    <xf fontId="0" fillId="48" borderId="0" numFmtId="0" xfId="0" applyNumberFormat="1" applyFont="1" applyFill="1">
      <alignment horizontal="left" vertical="center"/>
    </xf>
    <xf fontId="0" fillId="0" borderId="0" numFmtId="49" xfId="0" applyNumberFormat="1" applyFont="1">
      <alignment vertical="center"/>
    </xf>
    <xf fontId="0" fillId="48" borderId="0" numFmtId="0" xfId="0" applyNumberFormat="1" applyFont="1" applyFill="1">
      <alignment horizontal="right" vertical="center"/>
    </xf>
    <xf fontId="54" fillId="48" borderId="0" numFmtId="0" xfId="0" applyNumberFormat="1" applyFont="1" applyFill="1">
      <alignment horizontal="left" vertical="center"/>
    </xf>
    <xf fontId="0" fillId="0" borderId="0" numFmtId="0" xfId="0" applyNumberFormat="1" applyFont="1">
      <alignment horizontal="right" vertical="top"/>
    </xf>
    <xf fontId="0" fillId="48" borderId="10" numFmtId="0" xfId="0" applyNumberFormat="1" applyFont="1" applyFill="1" applyBorder="1">
      <alignment horizontal="center"/>
    </xf>
    <xf fontId="0" fillId="0" borderId="10" numFmtId="0" xfId="0" applyNumberFormat="1" applyFont="1" applyBorder="1">
      <alignment horizontal="center"/>
    </xf>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29" fillId="0" borderId="0" numFmtId="0" xfId="0" applyNumberFormat="1" applyFont="1"/>
    <xf fontId="102" fillId="0" borderId="0" numFmtId="0" xfId="0" applyNumberFormat="1" applyFont="1">
      <alignment horizontal="left" vertical="center" wrapText="1"/>
    </xf>
    <xf fontId="117" fillId="0" borderId="0" numFmtId="49" xfId="0" applyNumberFormat="1" applyFont="1">
      <alignment wrapText="1"/>
    </xf>
    <xf fontId="46" fillId="0" borderId="0" numFmtId="0" xfId="0" applyNumberFormat="1" applyFont="1">
      <alignment horizontal="left" vertical="top" wrapText="1"/>
    </xf>
    <xf fontId="22" fillId="0" borderId="0" numFmtId="49" xfId="0" applyNumberFormat="1" applyFont="1">
      <alignment vertical="top" wrapText="1"/>
    </xf>
    <xf fontId="66" fillId="0" borderId="0" numFmtId="0" xfId="0" applyNumberFormat="1" applyFont="1">
      <alignment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0" fillId="53" borderId="60" numFmtId="0" xfId="0" applyNumberFormat="1" applyFont="1" applyFill="1" applyBorder="1">
      <alignment horizontal="center"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120" fillId="0" borderId="0" numFmtId="0" xfId="0" applyNumberFormat="1" applyFont="1"/>
    <xf fontId="120" fillId="0" borderId="38" numFmtId="0" xfId="0" applyNumberFormat="1" applyFont="1" applyBorder="1">
      <alignment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36" fillId="0" borderId="24" numFmtId="0" xfId="0" applyNumberFormat="1" applyFont="1" applyBorder="1">
      <alignment horizontal="center" vertical="center" wrapText="1"/>
    </xf>
    <xf fontId="22" fillId="0" borderId="13" numFmtId="49" xfId="0" applyNumberFormat="1" applyFont="1" applyBorder="1">
      <alignment horizontal="center" vertical="center" wrapText="1"/>
    </xf>
    <xf fontId="121" fillId="0" borderId="0" numFmtId="49" xfId="0" applyNumberFormat="1" applyFont="1">
      <alignment horizontal="center" vertical="center" wrapText="1"/>
    </xf>
    <xf fontId="22" fillId="48" borderId="0" numFmtId="49" xfId="0" applyNumberFormat="1" applyFont="1" applyFill="1">
      <alignment horizontal="center" vertical="center"/>
    </xf>
    <xf fontId="0" fillId="39" borderId="12" numFmtId="504" xfId="0" applyNumberFormat="1" applyFont="1" applyFill="1" applyBorder="1">
      <alignment horizontal="left" indent="1" vertical="center" wrapText="1"/>
      <protection locked="0"/>
    </xf>
    <xf fontId="0" fillId="0" borderId="12" numFmtId="504" xfId="0" applyNumberFormat="1" applyFont="1" applyBorder="1">
      <alignment horizontal="left" indent="1" vertical="center" wrapText="1"/>
    </xf>
    <xf fontId="0" fillId="39" borderId="12" numFmtId="504" xfId="0" applyNumberFormat="1" applyFont="1" applyFill="1" applyBorder="1">
      <alignment horizontal="center" vertical="center" wrapText="1"/>
      <protection locked="0"/>
    </xf>
    <xf fontId="48" fillId="0" borderId="0" numFmtId="504" xfId="0" applyNumberFormat="1" applyFont="1">
      <alignment horizontal="center" vertical="center" wrapText="1"/>
    </xf>
    <xf fontId="48" fillId="0" borderId="12" numFmtId="504" xfId="0" applyNumberFormat="1" applyFont="1" applyBorder="1">
      <alignment horizontal="center" vertical="center" wrapText="1"/>
    </xf>
    <xf fontId="0" fillId="39" borderId="12" numFmtId="504" xfId="0" applyNumberFormat="1" applyFont="1" applyFill="1" applyBorder="1">
      <alignment horizontal="left" vertical="center" wrapText="1"/>
      <protection locked="0"/>
    </xf>
    <xf fontId="0" fillId="36" borderId="12" numFmtId="504" xfId="0" applyNumberFormat="1" applyFont="1" applyFill="1" applyBorder="1">
      <alignment horizontal="left" indent="1" vertical="center" wrapText="1"/>
      <protection locked="0"/>
    </xf>
    <xf fontId="0" fillId="39" borderId="13" numFmtId="504" xfId="0" applyNumberFormat="1" applyFont="1" applyFill="1" applyBorder="1">
      <alignment horizontal="left" vertical="center" wrapText="1"/>
      <protection locked="0"/>
    </xf>
    <xf fontId="22" fillId="0" borderId="0" numFmtId="0" xfId="0" applyNumberFormat="1" applyFont="1">
      <alignment horizontal="left" indent="1" vertical="top"/>
    </xf>
    <xf fontId="22" fillId="34" borderId="30" numFmtId="0" xfId="0" applyNumberFormat="1" applyFont="1" applyFill="1" applyBorder="1">
      <alignment horizontal="center" vertical="top"/>
    </xf>
    <xf fontId="0" fillId="0" borderId="34" numFmtId="0" xfId="0" applyNumberFormat="1" applyFont="1" applyBorder="1">
      <alignment horizontal="center" vertical="center"/>
    </xf>
    <xf fontId="0" fillId="0" borderId="33" numFmtId="0" xfId="0" applyNumberFormat="1" applyFont="1" applyBorder="1">
      <alignment horizontal="center" vertical="center"/>
    </xf>
    <xf fontId="22" fillId="34" borderId="30" numFmtId="0" xfId="0" applyNumberFormat="1" applyFont="1" applyFill="1" applyBorder="1">
      <alignment horizontal="left" vertical="top"/>
    </xf>
    <xf fontId="22" fillId="0" borderId="12" numFmtId="0" xfId="0" applyNumberFormat="1" applyFont="1" applyBorder="1">
      <alignment horizontal="left" vertical="top"/>
    </xf>
    <xf fontId="22" fillId="0" borderId="0" numFmtId="49" xfId="0" applyNumberFormat="1" applyFont="1">
      <alignment horizontal="left" vertical="top"/>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40" fillId="0" borderId="36" numFmtId="0" xfId="0" applyNumberFormat="1" applyFont="1" applyBorder="1">
      <alignment horizontal="left" vertical="center"/>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22" fillId="40" borderId="36" numFmtId="14" xfId="0" applyNumberFormat="1" applyFont="1" applyFill="1" applyBorder="1">
      <alignment horizontal="left" indent="1" vertical="center" wrapText="1"/>
    </xf>
    <xf fontId="22" fillId="40" borderId="0" numFmtId="49" xfId="0" applyNumberFormat="1" applyFont="1" applyFill="1">
      <alignment horizontal="center" vertical="center" wrapText="1"/>
    </xf>
    <xf fontId="22" fillId="0" borderId="12" numFmtId="0" xfId="0" applyNumberFormat="1" applyFont="1" applyBorder="1">
      <alignment horizontal="center" vertical="center" wrapText="1"/>
    </xf>
    <xf fontId="0" fillId="35" borderId="12" numFmtId="0" xfId="0" applyNumberFormat="1" applyFont="1" applyFill="1" applyBorder="1">
      <alignment vertical="top" wrapText="1"/>
    </xf>
    <xf fontId="47" fillId="0" borderId="12" numFmtId="0" xfId="0" applyNumberFormat="1" applyFont="1" applyBorder="1">
      <alignment vertical="top" wrapText="1"/>
    </xf>
    <xf fontId="22" fillId="40" borderId="17" numFmtId="49" xfId="0" applyNumberFormat="1" applyFont="1" applyFill="1" applyBorder="1">
      <alignment vertical="center" wrapText="1"/>
    </xf>
    <xf fontId="22" fillId="40" borderId="36" numFmtId="49" xfId="0" applyNumberFormat="1" applyFont="1" applyFill="1" applyBorder="1">
      <alignment vertical="center" wrapText="1"/>
    </xf>
    <xf fontId="22" fillId="40" borderId="23" numFmtId="49" xfId="0" applyNumberFormat="1" applyFont="1" applyFill="1" applyBorder="1">
      <alignment vertical="center" wrapText="1"/>
    </xf>
    <xf fontId="0" fillId="39" borderId="12" numFmtId="0" xfId="0" applyNumberFormat="1" applyFont="1" applyFill="1" applyBorder="1">
      <alignment horizontal="left" indent="1" vertical="center" wrapText="1"/>
      <protection locked="0"/>
    </xf>
    <xf fontId="0" fillId="0" borderId="13" numFmtId="0" xfId="0" applyNumberFormat="1" applyFont="1" applyBorder="1">
      <alignment horizontal="center"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49" xfId="0" applyNumberFormat="1" applyFont="1">
      <alignment horizontal="left" indent="1" vertical="center"/>
    </xf>
    <xf fontId="0" fillId="39" borderId="14" numFmtId="504" xfId="0" applyNumberFormat="1" applyFont="1" applyFill="1" applyBorder="1">
      <alignment horizontal="left" vertical="center" wrapText="1"/>
      <protection locked="0"/>
    </xf>
    <xf fontId="0" fillId="0" borderId="11" numFmtId="504" xfId="0" applyNumberFormat="1" applyFont="1" applyBorder="1">
      <alignment horizontal="left" indent="1" vertical="center" wrapText="1"/>
    </xf>
    <xf fontId="22" fillId="35" borderId="26" numFmtId="49" xfId="0" applyNumberFormat="1" applyFont="1" applyFill="1" applyBorder="1">
      <alignment horizontal="right" indent="1" vertical="center" wrapText="1"/>
    </xf>
    <xf fontId="47" fillId="0" borderId="0" numFmtId="49" xfId="0" applyNumberFormat="1" applyFont="1">
      <alignment vertical="center" wrapText="1"/>
    </xf>
    <xf fontId="0" fillId="36"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22" fillId="0" borderId="0" numFmtId="49" xfId="0" applyNumberFormat="1" applyFont="1">
      <alignment vertical="top" wrapText="1"/>
    </xf>
    <xf fontId="22" fillId="0" borderId="0" numFmtId="49" xfId="0" applyNumberFormat="1" applyFont="1">
      <alignment vertical="top"/>
    </xf>
    <xf fontId="22" fillId="0" borderId="0" numFmtId="49" xfId="0" applyNumberFormat="1" applyFont="1">
      <alignment vertical="top"/>
    </xf>
    <xf fontId="22" fillId="0" borderId="12" numFmtId="49" xfId="0" applyNumberFormat="1" applyFont="1" applyBorder="1">
      <alignment horizontal="center" vertical="center" wrapText="1"/>
    </xf>
    <xf fontId="22" fillId="0" borderId="19" numFmtId="49" xfId="0" applyNumberFormat="1" applyFont="1" applyBorder="1">
      <alignment horizontal="center" vertical="center" wrapText="1"/>
    </xf>
    <xf fontId="22" fillId="40" borderId="36" numFmtId="0" xfId="0" applyNumberFormat="1" applyFont="1" applyFill="1" applyBorder="1">
      <alignment horizontal="center" vertical="top" wrapText="1"/>
    </xf>
    <xf fontId="22"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40" borderId="36" numFmtId="49" xfId="0" applyNumberFormat="1" applyFont="1" applyFill="1" applyBorder="1">
      <alignment horizontal="center" vertical="center" wrapText="1"/>
    </xf>
    <xf fontId="40" fillId="0" borderId="0" numFmtId="0" xfId="0" applyNumberFormat="1" applyFont="1">
      <alignment horizontal="left" vertical="center"/>
    </xf>
    <xf fontId="22" fillId="0" borderId="19" numFmtId="49" xfId="0" applyNumberFormat="1" applyFont="1" applyBorder="1">
      <alignment horizontal="left" vertical="center" wrapText="1"/>
    </xf>
    <xf fontId="22" fillId="0" borderId="0" numFmtId="49" xfId="0" applyNumberFormat="1" applyFont="1">
      <alignment horizontal="left" vertical="center" wrapText="1"/>
    </xf>
    <xf fontId="22" fillId="35" borderId="0" numFmtId="49" xfId="0" applyNumberFormat="1" applyFont="1" applyFill="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5" fillId="0" borderId="12" numFmtId="0" xfId="0" applyNumberFormat="1" applyFont="1" applyBorder="1">
      <alignment horizontal="center" vertical="center"/>
    </xf>
    <xf fontId="0" fillId="39" borderId="12" numFmtId="49" xfId="0" applyNumberFormat="1" applyFont="1" applyFill="1" applyBorder="1">
      <alignment horizontal="left" vertical="center" wrapText="1"/>
      <protection locked="0"/>
    </xf>
    <xf fontId="47" fillId="0" borderId="0" numFmtId="0" xfId="0" applyNumberFormat="1" applyFont="1">
      <alignment horizontal="center" vertical="top"/>
    </xf>
    <xf fontId="22" fillId="0" borderId="36" numFmtId="49" xfId="0" applyNumberFormat="1" applyFont="1" applyBorder="1">
      <alignment horizontal="center" vertical="top" wrapText="1"/>
    </xf>
    <xf fontId="22" fillId="0" borderId="12" numFmtId="0" xfId="0" applyNumberFormat="1" applyFont="1" applyBorder="1">
      <alignment horizontal="left" vertical="center" wrapText="1"/>
    </xf>
    <xf fontId="36" fillId="0" borderId="12" numFmtId="0" xfId="0" applyNumberFormat="1" applyFont="1" applyBorder="1">
      <alignment horizontal="center" vertical="center" wrapText="1"/>
    </xf>
    <xf fontId="40" fillId="37" borderId="51" numFmtId="49" xfId="0" applyNumberFormat="1" applyFont="1" applyFill="1" applyBorder="1">
      <alignment horizontal="left" indent="1" vertical="center"/>
    </xf>
    <xf fontId="22" fillId="36" borderId="12" numFmtId="49" xfId="0" applyNumberFormat="1" applyFont="1" applyFill="1" applyBorder="1">
      <alignment horizontal="left" vertical="center" wrapText="1"/>
      <protection locked="0"/>
    </xf>
    <xf fontId="48" fillId="0" borderId="12" numFmtId="49" xfId="0" applyNumberFormat="1" applyFont="1" applyBorder="1">
      <alignment horizontal="center" vertical="center" wrapText="1"/>
    </xf>
    <xf fontId="0" fillId="39" borderId="12" numFmtId="504"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22" fillId="0" borderId="12" numFmtId="0" xfId="0" applyNumberFormat="1" applyFont="1" applyBorder="1">
      <alignment horizontal="center" vertical="center" wrapText="1"/>
    </xf>
    <xf fontId="47" fillId="0" borderId="0" numFmtId="0" xfId="0" applyNumberFormat="1" applyFont="1">
      <alignment horizontal="center" vertical="center" wrapText="1"/>
    </xf>
    <xf fontId="0" fillId="0" borderId="12" numFmtId="0" xfId="0" applyNumberFormat="1" applyFont="1" applyBorder="1">
      <alignment horizontal="left" vertical="center" wrapText="1"/>
    </xf>
    <xf fontId="22" fillId="0" borderId="36" numFmtId="0" xfId="0" applyNumberFormat="1" applyFont="1" applyBorder="1">
      <alignment horizontal="center" vertical="center" wrapText="1"/>
    </xf>
    <xf fontId="22" fillId="35" borderId="14" numFmtId="0" xfId="0" applyNumberFormat="1" applyFont="1" applyFill="1" applyBorder="1">
      <alignment horizontal="center" vertical="center" wrapText="1"/>
    </xf>
    <xf fontId="0" fillId="35" borderId="12"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40" borderId="14" numFmtId="49" xfId="0" applyNumberFormat="1" applyFont="1" applyFill="1" applyBorder="1">
      <alignment horizontal="left" vertical="center" wrapText="1"/>
    </xf>
    <xf fontId="22" fillId="0" borderId="23" numFmtId="0" xfId="0" applyNumberFormat="1" applyFont="1" applyBorder="1">
      <alignment horizontal="center" vertical="center" wrapText="1"/>
    </xf>
    <xf fontId="45" fillId="0" borderId="13" numFmtId="0" xfId="0" applyNumberFormat="1" applyFont="1" applyBorder="1">
      <alignment horizontal="center" vertical="center"/>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37" fillId="0" borderId="0" numFmtId="0" xfId="0" applyNumberFormat="1" applyFont="1">
      <alignment horizontal="center" vertical="center" wrapText="1"/>
    </xf>
    <xf fontId="42" fillId="0" borderId="0" numFmtId="0" xfId="0" applyNumberFormat="1" applyFont="1">
      <alignment vertical="center" wrapText="1"/>
    </xf>
    <xf fontId="0" fillId="0" borderId="0" numFmtId="0" xfId="0" applyNumberFormat="1" applyFont="1">
      <alignment vertical="center"/>
    </xf>
    <xf fontId="0" fillId="0" borderId="12" numFmtId="49" xfId="0" applyNumberFormat="1" applyFont="1" applyBorder="1">
      <alignment vertical="top"/>
    </xf>
    <xf fontId="0" fillId="0" borderId="12" numFmtId="49" xfId="0" applyNumberFormat="1" applyFont="1" applyBorder="1">
      <alignment vertical="top"/>
    </xf>
    <xf fontId="22" fillId="0" borderId="0" numFmtId="49" xfId="0" applyNumberFormat="1" applyFont="1">
      <alignment vertical="top"/>
    </xf>
    <xf fontId="37" fillId="35" borderId="0" numFmtId="0" xfId="0" applyNumberFormat="1" applyFont="1" applyFill="1">
      <alignment vertical="top" wrapText="1"/>
    </xf>
    <xf fontId="122" fillId="39" borderId="12" numFmtId="49" xfId="0" applyNumberFormat="1" applyFont="1" applyFill="1" applyBorder="1">
      <alignment horizontal="left" vertical="center" wrapText="1"/>
      <protection locked="0"/>
    </xf>
    <xf fontId="37" fillId="0" borderId="0" numFmtId="49" xfId="0" applyNumberFormat="1" applyFont="1">
      <alignment horizontal="center" vertical="center" wrapText="1"/>
    </xf>
    <xf fontId="37" fillId="0" borderId="24" numFmtId="0" xfId="0" applyNumberFormat="1" applyFont="1" applyBorder="1">
      <alignment horizontal="center" vertical="center" wrapText="1"/>
    </xf>
    <xf fontId="123" fillId="0" borderId="0" numFmtId="49" xfId="0" applyNumberFormat="1" applyFont="1">
      <alignment horizontal="center" vertical="top" wrapText="1"/>
    </xf>
    <xf fontId="0" fillId="34" borderId="36" numFmtId="49" xfId="0" applyNumberFormat="1" applyFont="1" applyFill="1" applyBorder="1">
      <alignment vertical="top"/>
    </xf>
    <xf fontId="0" fillId="0" borderId="36" numFmtId="49" xfId="0" applyNumberFormat="1" applyFont="1" applyBorder="1">
      <alignment vertical="top"/>
    </xf>
    <xf fontId="0" fillId="39" borderId="36" numFmtId="49" xfId="0" applyNumberFormat="1" applyFont="1" applyFill="1" applyBorder="1">
      <alignment vertical="top"/>
      <protection locked="0"/>
    </xf>
    <xf fontId="0" fillId="39" borderId="17" numFmtId="49" xfId="0" applyNumberFormat="1" applyFont="1" applyFill="1" applyBorder="1">
      <alignment vertical="top"/>
      <protection locked="0"/>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0" fillId="0" borderId="0" numFmtId="49" xfId="0" applyNumberFormat="1" applyFont="1">
      <alignment vertical="top"/>
    </xf>
    <xf fontId="0" fillId="0" borderId="19" numFmtId="49" xfId="0" applyNumberFormat="1" applyFont="1" applyBorder="1">
      <alignment vertical="top"/>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0" fillId="0" borderId="0" numFmtId="0" xfId="0" applyNumberFormat="1" applyFont="1">
      <alignment vertical="center"/>
    </xf>
    <xf fontId="37" fillId="0" borderId="0" numFmtId="0" xfId="0" applyNumberFormat="1" applyFont="1">
      <alignment horizontal="center" vertical="center" wrapText="1"/>
    </xf>
    <xf fontId="0" fillId="39"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0" fillId="37" borderId="15" numFmtId="0" xfId="0" applyNumberFormat="1" applyFont="1" applyFill="1" applyBorder="1">
      <alignment vertical="center"/>
    </xf>
    <xf fontId="0" fillId="0" borderId="36" numFmtId="49" xfId="0" applyNumberFormat="1" applyFont="1" applyBorder="1">
      <alignment horizontal="left" vertical="top"/>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0" fillId="0" borderId="0" numFmtId="49" xfId="0" applyNumberFormat="1" applyFont="1">
      <alignment vertical="top"/>
    </xf>
    <xf fontId="0" fillId="36" borderId="36" numFmtId="49" xfId="0" applyNumberFormat="1" applyFont="1" applyFill="1" applyBorder="1">
      <alignment vertical="top"/>
      <protection locked="0"/>
    </xf>
    <xf fontId="0" fillId="0" borderId="19" numFmtId="49" xfId="0" applyNumberFormat="1" applyFont="1" applyBorder="1">
      <alignment horizontal="left" vertical="center" wrapText="1"/>
    </xf>
    <xf fontId="0" fillId="0" borderId="0" numFmtId="0" xfId="0" applyNumberFormat="1" applyFont="1">
      <alignment vertical="center"/>
    </xf>
    <xf fontId="0" fillId="0" borderId="27" numFmtId="0" xfId="0" applyNumberFormat="1" applyFont="1" applyBorder="1">
      <alignment vertical="center"/>
    </xf>
    <xf fontId="37" fillId="0" borderId="36" numFmtId="49" xfId="0" applyNumberFormat="1" applyFont="1" applyBorder="1">
      <alignment vertical="center" wrapText="1"/>
    </xf>
    <xf fontId="37" fillId="0" borderId="36" numFmtId="49" xfId="0" applyNumberFormat="1" applyFont="1" applyBorder="1">
      <alignment horizontal="center" vertical="center" wrapText="1"/>
    </xf>
    <xf fontId="37" fillId="0" borderId="19" numFmtId="49" xfId="0" applyNumberFormat="1" applyFont="1" applyBorder="1">
      <alignment vertical="center" wrapText="1"/>
    </xf>
    <xf fontId="37" fillId="0" borderId="0" numFmtId="49" xfId="0" applyNumberFormat="1" applyFont="1">
      <alignment vertical="center" wrapText="1"/>
    </xf>
    <xf fontId="37" fillId="0" borderId="0" numFmtId="49" xfId="0" applyNumberFormat="1" applyFont="1">
      <alignment horizontal="center" vertical="center" wrapText="1"/>
    </xf>
    <xf fontId="22" fillId="35" borderId="23" numFmtId="0" xfId="0" applyNumberFormat="1" applyFont="1" applyFill="1" applyBorder="1">
      <alignment horizontal="center" vertical="center" wrapText="1"/>
    </xf>
    <xf fontId="22" fillId="0" borderId="36" numFmtId="0" xfId="0" applyNumberFormat="1" applyFont="1" applyBorder="1">
      <alignment horizontal="left" vertical="top" wrapText="1"/>
    </xf>
    <xf fontId="0" fillId="0" borderId="13" numFmtId="0" xfId="0" applyNumberFormat="1" applyFont="1" applyBorder="1">
      <alignment horizontal="center" vertical="center" wrapText="1"/>
    </xf>
    <xf fontId="0" fillId="39" borderId="13" numFmtId="4" xfId="0" applyNumberFormat="1" applyFont="1" applyFill="1" applyBorder="1">
      <alignment horizontal="right" vertical="center" wrapText="1"/>
      <protection locked="0"/>
    </xf>
    <xf fontId="0" fillId="0" borderId="13" numFmtId="0" xfId="0" applyNumberFormat="1" applyFont="1" applyBorder="1">
      <alignment horizontal="center" vertical="center" wrapText="1"/>
    </xf>
    <xf fontId="22" fillId="40" borderId="12" numFmtId="0" xfId="0" applyNumberFormat="1" applyFont="1" applyFill="1" applyBorder="1">
      <alignment horizontal="left" vertical="center" wrapText="1"/>
    </xf>
    <xf fontId="0" fillId="35" borderId="17" numFmtId="49" xfId="0" applyNumberFormat="1" applyFont="1" applyFill="1" applyBorder="1">
      <alignment horizontal="center" vertical="center" wrapText="1"/>
    </xf>
    <xf fontId="0" fillId="0" borderId="23" numFmtId="0"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12" numFmtId="49" xfId="0" applyNumberFormat="1" applyFont="1" applyBorder="1">
      <alignment horizontal="center" vertical="center" wrapText="1"/>
    </xf>
    <xf fontId="45" fillId="54" borderId="0" numFmtId="49" xfId="0" applyNumberFormat="1" applyFont="1" applyFill="1">
      <alignment vertical="center" wrapText="1"/>
    </xf>
    <xf fontId="47" fillId="0" borderId="0" numFmtId="0" xfId="0" applyNumberFormat="1" applyFont="1">
      <alignment vertical="top" wrapText="1"/>
    </xf>
    <xf fontId="32" fillId="0" borderId="0" numFmtId="49" xfId="0" applyNumberFormat="1" applyFont="1">
      <alignment horizontal="center" vertical="top" wrapText="1"/>
    </xf>
    <xf fontId="22" fillId="0" borderId="0" numFmtId="49" xfId="0" applyNumberFormat="1" applyFont="1">
      <alignment horizontal="center" vertical="top" wrapText="1"/>
    </xf>
    <xf fontId="22" fillId="35" borderId="0" numFmtId="49" xfId="0" applyNumberFormat="1" applyFont="1" applyFill="1">
      <alignment horizontal="center" vertical="top" wrapText="1"/>
    </xf>
    <xf fontId="0" fillId="0" borderId="36"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4" borderId="12" numFmtId="49" xfId="0" applyNumberFormat="1" applyFont="1" applyFill="1" applyBorder="1">
      <alignment horizontal="center" vertical="center" wrapText="1"/>
    </xf>
    <xf fontId="0" fillId="0" borderId="12" numFmtId="0" xfId="0" applyNumberFormat="1" applyFont="1" applyBorder="1">
      <alignment horizontal="left" vertical="top" wrapText="1"/>
    </xf>
    <xf fontId="22" fillId="40" borderId="12" numFmtId="14" xfId="0" applyNumberFormat="1" applyFont="1" applyFill="1" applyBorder="1">
      <alignment horizontal="left" indent="1" vertical="center" wrapText="1"/>
    </xf>
    <xf fontId="124" fillId="0" borderId="12" numFmtId="49" xfId="0" applyNumberFormat="1" applyFont="1" applyBorder="1">
      <alignment horizontal="left" indent="1" vertical="center" wrapText="1"/>
    </xf>
    <xf fontId="22" fillId="0" borderId="14"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23" numFmtId="0" xfId="0" applyNumberFormat="1" applyFont="1" applyBorder="1">
      <alignment horizontal="left" indent="1"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23" numFmtId="501" xfId="0" applyNumberFormat="1" applyFont="1" applyBorder="1">
      <alignment horizontal="center" vertical="center" wrapText="1"/>
    </xf>
    <xf fontId="22" fillId="0" borderId="0" numFmtId="0" xfId="0" applyNumberFormat="1" applyFont="1">
      <alignment horizontal="right" vertical="center" wrapText="1"/>
    </xf>
    <xf fontId="22" fillId="35" borderId="12" numFmtId="0" xfId="0" applyNumberFormat="1" applyFont="1" applyFill="1" applyBorder="1">
      <alignment vertical="top" wrapText="1"/>
    </xf>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0" fillId="37" borderId="29" numFmtId="49" xfId="0" applyNumberFormat="1" applyFont="1" applyFill="1" applyBorder="1">
      <alignment horizontal="right" vertical="center" wrapText="1"/>
    </xf>
    <xf fontId="22" fillId="0" borderId="0" numFmtId="0" xfId="0" applyNumberFormat="1" applyFont="1">
      <alignment horizontal="left" vertical="center" wrapText="1"/>
    </xf>
    <xf fontId="0" fillId="48" borderId="0" numFmtId="0" xfId="0" applyNumberFormat="1" applyFont="1" applyFill="1">
      <alignment horizontal="right" vertical="top" wrapText="1"/>
    </xf>
    <xf fontId="22" fillId="0" borderId="0" numFmtId="0" xfId="0" applyNumberFormat="1" applyFont="1">
      <alignment horizontal="left" vertical="top" wrapText="1"/>
    </xf>
    <xf fontId="22" fillId="0" borderId="23" numFmtId="14" xfId="0" applyNumberFormat="1" applyFont="1" applyBorder="1">
      <alignment horizontal="left" indent="1" vertical="center" wrapText="1"/>
    </xf>
    <xf fontId="22" fillId="0" borderId="12" numFmtId="0" xfId="0" applyNumberFormat="1" applyFont="1" applyBorder="1">
      <alignment horizontal="center" vertical="center" wrapText="1"/>
    </xf>
    <xf fontId="22" fillId="0" borderId="23"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34" borderId="12" numFmtId="0" xfId="0" applyNumberFormat="1" applyFont="1" applyFill="1" applyBorder="1">
      <alignment horizontal="left" vertical="center" wrapText="1"/>
    </xf>
    <xf fontId="22" fillId="0" borderId="12" numFmtId="501" xfId="0" applyNumberFormat="1" applyFont="1" applyBorder="1">
      <alignment horizontal="center" vertical="center" wrapText="1"/>
    </xf>
    <xf fontId="22" fillId="0" borderId="14" numFmtId="0" xfId="0" applyNumberFormat="1" applyFont="1" applyBorder="1">
      <alignment horizontal="center" vertical="center" wrapText="1"/>
    </xf>
    <xf fontId="48" fillId="0" borderId="0" numFmtId="0" xfId="0" applyNumberFormat="1" applyFont="1">
      <alignment horizontal="center" vertical="center" wrapText="1"/>
    </xf>
    <xf fontId="22" fillId="39" borderId="12" numFmtId="49" xfId="0" applyNumberFormat="1" applyFont="1" applyFill="1" applyBorder="1">
      <alignment horizontal="left" vertical="center" wrapText="1"/>
      <protection locked="0"/>
    </xf>
    <xf fontId="22" fillId="35" borderId="36" numFmtId="0" xfId="0" applyNumberFormat="1" applyFont="1" applyFill="1" applyBorder="1">
      <alignment vertical="center" wrapText="1"/>
    </xf>
    <xf fontId="45" fillId="0" borderId="19" numFmtId="501" xfId="0" applyNumberFormat="1" applyFont="1" applyBorder="1">
      <alignment horizontal="center" vertical="center" wrapText="1"/>
    </xf>
    <xf fontId="45" fillId="0" borderId="20" numFmtId="501" xfId="0" applyNumberFormat="1" applyFont="1" applyBorder="1">
      <alignment horizontal="center" vertical="center" wrapText="1"/>
    </xf>
    <xf fontId="22" fillId="39" borderId="12" numFmtId="505" xfId="0" applyNumberFormat="1" applyFont="1" applyFill="1" applyBorder="1">
      <alignment horizontal="left" indent="1" vertical="center" wrapText="1"/>
      <protection locked="0"/>
    </xf>
    <xf fontId="0" fillId="39" borderId="15" numFmtId="504" xfId="0" applyNumberFormat="1" applyFont="1" applyFill="1" applyBorder="1">
      <alignment horizontal="left" indent="1" vertical="center" wrapText="1"/>
      <protection locked="0"/>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53" fillId="37" borderId="29" numFmtId="49" xfId="0" applyNumberFormat="1" applyFont="1" applyFill="1" applyBorder="1">
      <alignment horizontal="left" vertical="center" wrapText="1"/>
    </xf>
    <xf fontId="22" fillId="39" borderId="12" numFmtId="0" xfId="0" applyNumberFormat="1" applyFont="1" applyFill="1" applyBorder="1">
      <alignment horizontal="left" indent="1" vertical="top" wrapText="1"/>
      <protection locked="0"/>
    </xf>
    <xf fontId="22" fillId="0" borderId="15" numFmtId="0" xfId="0" applyNumberFormat="1" applyFont="1" applyBorder="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0" numFmtId="0" xfId="61" applyNumberFormat="1" applyFont="1">
      <alignment horizontal="center" vertical="center" wrapText="1"/>
    </xf>
    <xf fontId="36" fillId="0" borderId="12" numFmtId="0" xfId="61" applyNumberFormat="1" applyFont="1" applyBorder="1">
      <alignment horizontal="center" vertical="center" wrapText="1"/>
    </xf>
    <xf fontId="22" fillId="0" borderId="12" numFmtId="0" xfId="0" applyNumberFormat="1" applyFont="1" applyBorder="1">
      <alignment horizontal="left" vertical="top"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12" numFmtId="0" xfId="0" applyNumberFormat="1" applyFont="1" applyBorder="1">
      <alignment horizontal="center" vertical="center" wrapText="1"/>
    </xf>
    <xf fontId="22" fillId="0" borderId="0" numFmtId="0" xfId="0" applyNumberFormat="1" applyFont="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35" borderId="12" numFmtId="0" xfId="0" applyNumberFormat="1" applyFont="1" applyFill="1" applyBorder="1">
      <alignment horizontal="center" vertical="center" wrapText="1"/>
    </xf>
    <xf fontId="47" fillId="0" borderId="0" numFmtId="0" xfId="0" applyNumberFormat="1" applyFont="1">
      <alignment horizontal="center" vertical="center" wrapText="1"/>
    </xf>
    <xf fontId="22" fillId="34" borderId="15" numFmtId="0" xfId="0" applyNumberFormat="1" applyFont="1" applyFill="1" applyBorder="1">
      <alignment horizontal="left" vertical="center" wrapText="1"/>
    </xf>
    <xf fontId="22" fillId="0" borderId="0" numFmtId="0" xfId="0" applyNumberFormat="1" applyFont="1">
      <alignment horizontal="left" vertical="top" wrapText="1"/>
    </xf>
    <xf fontId="48" fillId="0" borderId="0" numFmtId="0" xfId="0" applyNumberFormat="1" applyFont="1">
      <alignment horizontal="center" vertical="center" wrapText="1"/>
    </xf>
    <xf fontId="0" fillId="39" borderId="12" numFmtId="504" xfId="0" applyNumberFormat="1" applyFont="1" applyFill="1" applyBorder="1">
      <alignment horizontal="center" vertical="center" wrapText="1"/>
      <protection locked="0"/>
    </xf>
    <xf fontId="80" fillId="35" borderId="19" numFmtId="0" xfId="0" applyNumberFormat="1" applyFont="1" applyFill="1" applyBorder="1">
      <alignment horizontal="center" vertical="center" wrapText="1"/>
    </xf>
    <xf fontId="37" fillId="0" borderId="27"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35" borderId="23" numFmtId="0" xfId="0" applyNumberFormat="1" applyFont="1" applyFill="1" applyBorder="1">
      <alignment horizontal="center" vertical="center" wrapText="1"/>
    </xf>
    <xf fontId="48" fillId="0" borderId="15" numFmtId="0" xfId="0" applyNumberFormat="1" applyFont="1" applyBorder="1">
      <alignment horizontal="left" vertical="center" wrapText="1"/>
    </xf>
    <xf fontId="22" fillId="39" borderId="17" numFmtId="49" xfId="0" applyNumberFormat="1" applyFont="1" applyFill="1" applyBorder="1">
      <alignment horizontal="left" indent="6" vertical="center" wrapText="1"/>
      <protection locked="0"/>
    </xf>
    <xf fontId="22" fillId="35" borderId="17" numFmtId="0" xfId="0" applyNumberFormat="1" applyFont="1" applyFill="1" applyBorder="1">
      <alignment horizontal="left" vertical="center" wrapText="1"/>
    </xf>
    <xf fontId="22" fillId="39" borderId="12" numFmtId="4" xfId="0" applyNumberFormat="1" applyFont="1" applyFill="1" applyBorder="1">
      <alignment horizontal="left" indent="1" vertical="center" wrapText="1"/>
      <protection locked="0"/>
    </xf>
    <xf fontId="22" fillId="36" borderId="17" numFmtId="49" xfId="0" applyNumberFormat="1" applyFont="1" applyFill="1" applyBorder="1">
      <alignment horizontal="left" indent="6" vertical="center" wrapText="1"/>
      <protection locked="0"/>
    </xf>
    <xf fontId="22" fillId="0" borderId="0" numFmtId="49" xfId="0" applyNumberFormat="1" applyFont="1">
      <alignment vertical="center" wrapText="1"/>
    </xf>
    <xf fontId="48"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22" fillId="35" borderId="29" numFmtId="0"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22" fillId="0" borderId="0" numFmtId="0" xfId="0" applyNumberFormat="1" applyFont="1">
      <alignment horizontal="left" indent="1" vertical="center"/>
    </xf>
    <xf fontId="22" fillId="0" borderId="0" numFmtId="49" xfId="0" applyNumberFormat="1" applyFont="1">
      <alignment horizontal="left" vertical="center"/>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5" borderId="0" numFmtId="49" xfId="0" applyNumberFormat="1" applyFont="1" applyFill="1">
      <alignment vertical="center" wrapText="1"/>
    </xf>
    <xf fontId="80" fillId="35" borderId="19" numFmtId="0"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22" fillId="36" borderId="12" numFmtId="49" xfId="0" applyNumberFormat="1" applyFont="1" applyFill="1" applyBorder="1">
      <alignment horizontal="left" indent="1" vertical="center"/>
      <protection locked="0"/>
    </xf>
    <xf fontId="22" fillId="35" borderId="12" numFmtId="49" xfId="59" applyNumberFormat="1" applyFont="1" applyFill="1" applyBorder="1">
      <alignment horizontal="center"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05" fillId="37" borderId="42" numFmtId="49" xfId="0" applyNumberFormat="1" applyFont="1" applyFill="1" applyBorder="1">
      <alignment horizontal="left" indent="1" vertical="center"/>
    </xf>
    <xf fontId="22" fillId="40" borderId="22" numFmtId="14" xfId="0" applyNumberFormat="1" applyFont="1" applyFill="1" applyBorder="1">
      <alignment horizontal="left" indent="1" vertical="center" wrapText="1"/>
    </xf>
    <xf fontId="22" fillId="0" borderId="22" numFmtId="0" xfId="0" applyNumberFormat="1" applyFont="1" applyBorder="1">
      <alignment vertical="center" wrapText="1"/>
    </xf>
    <xf fontId="0" fillId="0" borderId="13"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0" fillId="39" borderId="12" numFmtId="504" xfId="0" applyNumberFormat="1" applyFont="1" applyFill="1" applyBorder="1">
      <alignment horizontal="center" vertical="center" wrapText="1"/>
      <protection locked="0"/>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48" fillId="0" borderId="24" numFmtId="0" xfId="0" applyNumberFormat="1" applyFont="1" applyBorder="1">
      <alignment horizontal="center" vertical="top"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49" xfId="0" applyNumberFormat="1" applyFont="1" applyBorder="1">
      <alignment horizontal="left"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32" fillId="47" borderId="0" numFmtId="49" xfId="0" applyNumberFormat="1" applyFont="1" applyFill="1">
      <alignment horizontal="center" vertical="center" wrapText="1"/>
    </xf>
    <xf fontId="48"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35" borderId="17"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45" fillId="0" borderId="13" numFmtId="0" xfId="0" applyNumberFormat="1" applyFont="1" applyBorder="1">
      <alignment vertical="top" wrapText="1"/>
    </xf>
    <xf fontId="48" fillId="0" borderId="13" numFmtId="0" xfId="0" applyNumberFormat="1" applyFont="1" applyBorder="1">
      <alignment vertical="top"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502" xfId="0" applyNumberFormat="1" applyFont="1" applyFill="1" applyBorder="1">
      <alignment horizontal="right" vertical="center" wrapText="1"/>
      <protection locked="0"/>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49" xfId="0" applyNumberFormat="1" applyFont="1">
      <alignment horizontal="center" vertical="center" wrapText="1"/>
    </xf>
    <xf fontId="22" fillId="0" borderId="12" numFmtId="0" xfId="0" applyNumberFormat="1" applyFont="1" applyBorder="1">
      <alignment horizontal="left" vertical="center" wrapText="1"/>
    </xf>
    <xf fontId="22" fillId="0" borderId="37" numFmtId="0" xfId="0" applyNumberFormat="1" applyFont="1" applyBorder="1">
      <alignment horizontal="center" vertical="center" wrapText="1"/>
    </xf>
    <xf fontId="0" fillId="35" borderId="12" numFmtId="49"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0" numFmtId="0" xfId="0" applyNumberFormat="1" applyFont="1">
      <alignment horizontal="left" vertical="top" wrapText="1"/>
    </xf>
    <xf fontId="22" fillId="34" borderId="14" numFmtId="0" xfId="0" applyNumberFormat="1" applyFont="1" applyFill="1" applyBorder="1">
      <alignment horizontal="left" vertical="top" wrapText="1"/>
    </xf>
    <xf fontId="22" fillId="0" borderId="0" numFmtId="49" xfId="0" applyNumberFormat="1" applyFont="1">
      <alignment vertical="center" wrapText="1"/>
    </xf>
    <xf fontId="0" fillId="0" borderId="12" numFmtId="0" xfId="0" applyNumberFormat="1" applyFont="1" applyBorder="1">
      <alignment horizontal="lef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7" numFmtId="0" xfId="0" applyNumberFormat="1" applyFont="1" applyBorder="1">
      <alignment horizontal="left" vertical="center" wrapText="1"/>
    </xf>
    <xf fontId="94" fillId="0" borderId="43" numFmtId="49" xfId="0" applyNumberFormat="1" applyFont="1" applyBorder="1">
      <alignment horizontal="center" vertical="center"/>
    </xf>
    <xf fontId="94" fillId="0" borderId="43" numFmtId="49" xfId="0" applyNumberFormat="1" applyFont="1" applyBorder="1">
      <alignment horizontal="left" indent="1" vertical="center"/>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0" fillId="40" borderId="36" numFmtId="49" xfId="0" applyNumberFormat="1" applyFont="1" applyFill="1" applyBorder="1">
      <alignment horizontal="left" vertical="center" wrapText="1"/>
    </xf>
    <xf fontId="22" fillId="0" borderId="12" numFmtId="49" xfId="0" applyNumberFormat="1" applyFont="1" applyBorder="1">
      <alignment horizontal="center" vertical="center" wrapText="1"/>
    </xf>
    <xf fontId="126" fillId="0" borderId="12" numFmtId="49" xfId="0" applyNumberFormat="1" applyFont="1" applyBorder="1">
      <alignment horizontal="center" vertical="center" wrapText="1"/>
    </xf>
    <xf fontId="126" fillId="0" borderId="17" numFmtId="49" xfId="0" applyNumberFormat="1" applyFont="1" applyBorder="1">
      <alignment horizontal="center" vertical="center" wrapText="1"/>
    </xf>
    <xf fontId="22" fillId="54" borderId="12" numFmtId="0" xfId="60" applyNumberFormat="1" applyFont="1" applyFill="1" applyBorder="1">
      <alignment vertical="center"/>
    </xf>
    <xf fontId="47" fillId="55" borderId="12" numFmtId="0" xfId="0" applyNumberFormat="1" applyFont="1" applyFill="1" applyBorder="1">
      <alignment horizontal="left" vertical="center" wrapText="1"/>
    </xf>
    <xf fontId="91" fillId="0" borderId="0" numFmtId="0" xfId="0" applyNumberFormat="1" applyFont="1">
      <alignment horizontal="center" vertical="center" wrapText="1"/>
    </xf>
    <xf fontId="22" fillId="0" borderId="0" numFmtId="49" xfId="0" applyNumberFormat="1" applyFont="1">
      <alignment vertical="center" wrapText="1"/>
    </xf>
    <xf fontId="0" fillId="7" borderId="12" numFmtId="49" xfId="0" applyNumberFormat="1" applyFont="1" applyFill="1" applyBorder="1">
      <alignment horizontal="center" vertical="center" wrapText="1"/>
    </xf>
    <xf fontId="22" fillId="0" borderId="0" numFmtId="49" xfId="0" applyNumberFormat="1" applyFont="1">
      <alignment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9" numFmtId="0" xfId="0" applyNumberFormat="1" applyFont="1" applyBorder="1">
      <alignment horizontal="right" indent="1" vertical="center" wrapText="1"/>
    </xf>
    <xf fontId="22" fillId="39" borderId="37" numFmtId="4" xfId="0" applyNumberFormat="1" applyFont="1" applyFill="1" applyBorder="1">
      <alignment horizontal="right" vertical="center" wrapText="1"/>
      <protection locked="0"/>
    </xf>
    <xf fontId="22" fillId="39" borderId="14" numFmtId="3"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22" fillId="0" borderId="14" numFmtId="0" xfId="0" applyNumberFormat="1" applyFont="1" applyBorder="1">
      <alignment horizontal="left" indent="1" vertical="center" wrapText="1"/>
    </xf>
    <xf fontId="22" fillId="0" borderId="14" numFmtId="0" xfId="0" applyNumberFormat="1" applyFont="1" applyBorder="1">
      <alignment horizontal="left" indent="2" vertical="center" wrapText="1"/>
    </xf>
    <xf fontId="102" fillId="0" borderId="0" numFmtId="0" xfId="0" applyNumberFormat="1" applyFont="1">
      <alignment vertical="center" wrapText="1"/>
    </xf>
    <xf fontId="102" fillId="0" borderId="0" numFmtId="0" xfId="0" applyNumberFormat="1" applyFont="1">
      <alignment vertical="center"/>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46" fillId="46" borderId="0" numFmtId="0" xfId="0" applyNumberFormat="1" applyFont="1" applyFill="1">
      <alignment horizontal="right" indent="1"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120" fillId="0" borderId="0" numFmtId="0" xfId="0" applyNumberFormat="1" applyFont="1">
      <alignment vertical="top" wrapText="1"/>
    </xf>
    <xf fontId="66" fillId="0" borderId="0" numFmtId="49" xfId="0" applyNumberFormat="1" applyFont="1">
      <alignment vertical="top"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96" fillId="0" borderId="0" numFmtId="0" xfId="0" applyNumberFormat="1" applyFont="1">
      <alignment horizontal="left" vertical="center" wrapText="1"/>
    </xf>
    <xf fontId="93" fillId="0" borderId="12" numFmtId="14" xfId="0" applyNumberFormat="1" applyFont="1" applyBorder="1">
      <alignment horizontal="center" vertical="center" wrapText="1"/>
    </xf>
    <xf fontId="22" fillId="0" borderId="0" numFmtId="0" xfId="0" applyNumberFormat="1" applyFont="1">
      <alignment horizontal="center" vertical="center" wrapText="1"/>
    </xf>
    <xf fontId="22" fillId="0" borderId="15" numFmtId="0" xfId="0" applyNumberFormat="1" applyFont="1" applyBorder="1">
      <alignment horizontal="left" indent="1"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23"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22" fillId="0" borderId="0" numFmtId="0" xfId="0" applyNumberFormat="1" applyFont="1">
      <alignment horizontal="center" vertical="center" wrapText="1"/>
    </xf>
    <xf fontId="22" fillId="42" borderId="0" numFmtId="0" xfId="0" applyNumberFormat="1" applyFont="1" applyFill="1">
      <alignment horizontal="center"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0" fillId="0" borderId="0" numFmtId="0" xfId="0" applyNumberFormat="1" applyFont="1">
      <alignment horizontal="left" indent="2" vertical="center" wrapText="1"/>
    </xf>
    <xf fontId="0" fillId="0" borderId="0" numFmtId="0" xfId="0" applyNumberFormat="1" applyFont="1">
      <alignment horizontal="left" indent="2" vertical="center"/>
    </xf>
    <xf fontId="75"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0" fillId="0" borderId="12" numFmtId="0" xfId="0" applyNumberFormat="1" applyFont="1" applyBorder="1">
      <alignment horizontal="center" vertical="top"/>
    </xf>
    <xf fontId="0" fillId="0" borderId="12" numFmtId="49" xfId="0" applyNumberFormat="1" applyFont="1" applyBorder="1">
      <alignment vertical="top"/>
    </xf>
    <xf fontId="22" fillId="0" borderId="19" numFmtId="49" xfId="0" applyNumberFormat="1" applyFont="1" applyBorder="1">
      <alignment horizontal="center" vertical="center" wrapText="1"/>
    </xf>
    <xf fontId="22" fillId="0" borderId="0" numFmtId="49" xfId="0" applyNumberFormat="1" applyFont="1">
      <alignment horizontal="center" vertical="center" wrapText="1"/>
    </xf>
    <xf fontId="0" fillId="0" borderId="19" numFmtId="0" xfId="0" applyNumberFormat="1" applyFont="1" applyBorder="1">
      <alignment horizontal="left"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19" numFmtId="49" xfId="0" applyNumberFormat="1" applyFont="1" applyBorder="1">
      <alignment horizontal="left" vertical="center" wrapText="1"/>
    </xf>
    <xf fontId="22" fillId="0" borderId="12" numFmtId="0" xfId="0" applyNumberFormat="1" applyFont="1" applyBorder="1">
      <alignment horizontal="left" vertical="top" wrapText="1"/>
    </xf>
    <xf fontId="0" fillId="0" borderId="12" numFmtId="49" xfId="0" applyNumberFormat="1" applyFont="1" applyBorder="1">
      <alignment horizontal="left" vertical="top"/>
    </xf>
    <xf fontId="22" fillId="40" borderId="17" numFmtId="0" xfId="0" applyNumberFormat="1" applyFont="1" applyFill="1" applyBorder="1">
      <alignment horizontal="center" vertical="top" wrapText="1"/>
    </xf>
    <xf fontId="22" fillId="40" borderId="36" numFmtId="0" xfId="0" applyNumberFormat="1" applyFont="1" applyFill="1" applyBorder="1">
      <alignment horizontal="center" vertical="top" wrapText="1"/>
    </xf>
    <xf fontId="22" fillId="40" borderId="23" numFmtId="0" xfId="0" applyNumberFormat="1" applyFont="1" applyFill="1" applyBorder="1">
      <alignment horizontal="center" vertical="top" wrapText="1"/>
    </xf>
    <xf fontId="0" fillId="0" borderId="37" numFmtId="0" xfId="0" applyNumberFormat="1" applyFont="1" applyBorder="1">
      <alignment horizontal="center" vertical="center"/>
    </xf>
    <xf fontId="0" fillId="0" borderId="22" numFmtId="0" xfId="0" applyNumberFormat="1" applyFont="1" applyBorder="1">
      <alignment horizontal="center" vertical="center"/>
    </xf>
    <xf fontId="0" fillId="0" borderId="19" numFmtId="0" xfId="0" applyNumberFormat="1" applyFont="1" applyBorder="1">
      <alignment horizontal="center" vertical="center"/>
    </xf>
    <xf fontId="0" fillId="0" borderId="0" numFmtId="0" xfId="0" applyNumberFormat="1" applyFont="1">
      <alignment horizontal="center" vertical="center"/>
    </xf>
    <xf fontId="22" fillId="0" borderId="19" numFmtId="49" xfId="0" applyNumberFormat="1" applyFont="1" applyBorder="1">
      <alignment horizontal="left" vertical="center" wrapText="1"/>
    </xf>
    <xf fontId="22" fillId="0" borderId="0" numFmtId="49" xfId="0" applyNumberFormat="1" applyFont="1">
      <alignment horizontal="left" vertical="center" wrapText="1"/>
    </xf>
    <xf fontId="0" fillId="0" borderId="0" numFmtId="49" xfId="0" applyNumberFormat="1" applyFont="1">
      <alignment horizontal="left" vertical="top"/>
    </xf>
    <xf fontId="0" fillId="0" borderId="12" numFmtId="0" xfId="0" applyNumberFormat="1" applyFont="1" applyBorder="1">
      <alignment horizontal="center" vertical="center" wrapText="1"/>
    </xf>
    <xf fontId="48" fillId="35" borderId="27" numFmtId="49" xfId="0" applyNumberFormat="1" applyFont="1" applyFill="1" applyBorder="1">
      <alignment horizontal="center"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22" fillId="0" borderId="27" numFmtId="0" xfId="0" applyNumberFormat="1" applyFont="1" applyBorder="1">
      <alignment horizontal="left" indent="1" vertical="center"/>
    </xf>
    <xf fontId="22" fillId="39" borderId="12" numFmtId="0" xfId="0" applyNumberFormat="1" applyFont="1" applyFill="1" applyBorder="1">
      <alignment horizontal="left" vertical="top" wrapText="1"/>
      <protection locked="0"/>
    </xf>
    <xf fontId="0" fillId="39" borderId="12" numFmtId="0" xfId="0" applyNumberFormat="1" applyFont="1" applyFill="1" applyBorder="1">
      <alignment horizontal="left" vertical="top"/>
      <protection locked="0"/>
    </xf>
    <xf fontId="0" fillId="0" borderId="17" numFmtId="0" xfId="0" applyNumberFormat="1" applyFont="1" applyBorder="1">
      <alignment horizontal="center" vertical="top"/>
    </xf>
    <xf fontId="0" fillId="0" borderId="36" numFmtId="0" xfId="0" applyNumberFormat="1" applyFont="1" applyBorder="1">
      <alignment horizontal="center" vertical="top"/>
    </xf>
    <xf fontId="0" fillId="0" borderId="23" numFmtId="0" xfId="0" applyNumberFormat="1" applyFont="1" applyBorder="1">
      <alignment horizontal="center" vertical="top"/>
    </xf>
    <xf fontId="22" fillId="0" borderId="17" numFmtId="0" xfId="0" applyNumberFormat="1" applyFont="1" applyBorder="1">
      <alignment horizontal="left" vertical="top" wrapText="1"/>
    </xf>
    <xf fontId="22" fillId="0" borderId="36" numFmtId="0" xfId="0" applyNumberFormat="1" applyFont="1" applyBorder="1">
      <alignment horizontal="left" vertical="top" wrapText="1"/>
    </xf>
    <xf fontId="22" fillId="0" borderId="23" numFmtId="0" xfId="0" applyNumberFormat="1" applyFont="1" applyBorder="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22" fillId="0" borderId="17" numFmtId="0" xfId="0" applyNumberFormat="1" applyFont="1" applyBorder="1">
      <alignment horizontal="center" vertical="center" wrapText="1"/>
    </xf>
    <xf fontId="22" fillId="0" borderId="27" numFmtId="0" xfId="0" applyNumberFormat="1" applyFont="1" applyBorder="1">
      <alignment horizontal="left" indent="1"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12" numFmtId="0" xfId="0" applyNumberFormat="1" applyFont="1" applyBorder="1">
      <alignment horizontal="left" vertical="center" wrapText="1"/>
    </xf>
    <xf fontId="22" fillId="0" borderId="37" numFmtId="0" xfId="0" applyNumberFormat="1" applyFont="1" applyBorder="1">
      <alignment horizontal="left" vertical="center" wrapText="1"/>
    </xf>
    <xf fontId="22" fillId="0" borderId="19" numFmtId="0" xfId="0" applyNumberFormat="1" applyFont="1" applyBorder="1">
      <alignment horizontal="center" vertical="center"/>
    </xf>
    <xf fontId="22" fillId="0" borderId="0" numFmtId="0" xfId="0" applyNumberFormat="1" applyFont="1">
      <alignment horizontal="center" vertical="center"/>
    </xf>
    <xf fontId="22" fillId="0" borderId="12" numFmtId="49" xfId="0" applyNumberFormat="1" applyFont="1" applyBorder="1">
      <alignment horizontal="center" vertical="center"/>
    </xf>
    <xf fontId="22" fillId="0" borderId="14"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40" borderId="36" numFmtId="49" xfId="0" applyNumberFormat="1" applyFont="1" applyFill="1" applyBorder="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19" numFmtId="0" xfId="0" applyNumberFormat="1" applyFont="1" applyBorder="1">
      <alignment horizontal="left" indent="1"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35" borderId="0" numFmtId="49" xfId="0" applyNumberFormat="1" applyFont="1" applyFill="1">
      <alignment horizontal="center" vertical="center" wrapText="1"/>
    </xf>
    <xf fontId="45" fillId="0" borderId="0" numFmtId="0" xfId="0" applyNumberFormat="1" applyFont="1">
      <alignment horizontal="right" vertical="top"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45" fillId="0" borderId="0" numFmtId="0" xfId="0" applyNumberFormat="1" applyFont="1">
      <alignment horizontal="left" indent="1" vertical="top" wrapText="1"/>
    </xf>
    <xf fontId="93" fillId="35" borderId="0" numFmtId="0" xfId="0" applyNumberFormat="1" applyFont="1" applyFill="1">
      <alignment horizontal="left"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35" borderId="17" numFmtId="0" xfId="0" applyNumberFormat="1" applyFont="1" applyFill="1" applyBorder="1">
      <alignment horizontal="left" vertical="top" wrapText="1"/>
    </xf>
    <xf fontId="22" fillId="35" borderId="36" numFmtId="0" xfId="0" applyNumberFormat="1" applyFont="1" applyFill="1" applyBorder="1">
      <alignment horizontal="left" vertical="top" wrapText="1"/>
    </xf>
    <xf fontId="22" fillId="35" borderId="23" numFmtId="0" xfId="0" applyNumberFormat="1" applyFont="1" applyFill="1" applyBorder="1">
      <alignment horizontal="left" vertical="top" wrapText="1"/>
    </xf>
    <xf fontId="22" fillId="35" borderId="24" numFmtId="0" xfId="0" applyNumberFormat="1" applyFont="1" applyFill="1" applyBorder="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47" fillId="0" borderId="0" numFmtId="0" xfId="0" applyNumberFormat="1" applyFont="1">
      <alignment horizontal="center"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7" numFmtId="0" xfId="0" applyNumberFormat="1" applyFont="1" applyBorder="1">
      <alignment horizontal="left" vertical="top" wrapText="1"/>
    </xf>
    <xf fontId="0" fillId="0" borderId="23" numFmtId="0" xfId="0" applyNumberFormat="1" applyFont="1" applyBorder="1">
      <alignment horizontal="left" vertical="top"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23" numFmtId="0" xfId="0" applyNumberFormat="1" applyFont="1" applyBorder="1">
      <alignment horizontal="center" vertical="center" wrapText="1"/>
    </xf>
    <xf fontId="0" fillId="0" borderId="37" numFmtId="49" xfId="0" applyNumberFormat="1" applyFont="1" applyBorder="1">
      <alignment horizontal="center" vertical="center" wrapText="1"/>
    </xf>
    <xf fontId="0" fillId="0" borderId="30"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22" fillId="40" borderId="27" numFmtId="0" xfId="0" applyNumberFormat="1" applyFont="1" applyFill="1" applyBorder="1">
      <alignment horizontal="left" vertical="center" wrapText="1"/>
    </xf>
    <xf fontId="22" fillId="0" borderId="19" numFmtId="0" xfId="0" applyNumberFormat="1" applyFont="1" applyBorder="1">
      <alignment horizontal="left" indent="1" vertical="top"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0" fillId="0" borderId="36" numFmtId="0" xfId="0" applyNumberFormat="1" applyFont="1" applyBorder="1">
      <alignment horizontal="left" vertical="top"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22" fillId="0" borderId="19" numFmtId="0" xfId="0" applyNumberFormat="1" applyFont="1" applyBorder="1">
      <alignment horizontal="left" indent="1" vertical="top" wrapText="1"/>
    </xf>
    <xf fontId="22" fillId="0" borderId="27" numFmtId="0" xfId="0" applyNumberFormat="1" applyFont="1" applyBorder="1">
      <alignment horizontal="left" indent="1" vertical="center" wrapText="1"/>
    </xf>
    <xf fontId="0" fillId="35" borderId="12" numFmtId="0" xfId="0" applyNumberFormat="1" applyFont="1" applyFill="1" applyBorder="1">
      <alignment horizontal="right" indent="1" vertical="center" wrapText="1"/>
    </xf>
    <xf fontId="22" fillId="34" borderId="12" numFmtId="0" xfId="0" applyNumberFormat="1" applyFont="1" applyFill="1" applyBorder="1">
      <alignment horizontal="left" indent="1" vertical="center" wrapText="1"/>
    </xf>
    <xf fontId="37" fillId="0" borderId="27" numFmtId="0" xfId="0" applyNumberFormat="1" applyFont="1" applyBorder="1">
      <alignment horizontal="center" vertical="center" wrapText="1"/>
    </xf>
    <xf fontId="45" fillId="0" borderId="17" numFmtId="0" xfId="0" applyNumberFormat="1" applyFont="1" applyBorder="1">
      <alignment horizontal="left" vertical="top" wrapText="1"/>
    </xf>
    <xf fontId="45" fillId="0" borderId="36" numFmtId="0" xfId="0" applyNumberFormat="1" applyFont="1" applyBorder="1">
      <alignment horizontal="left" vertical="top" wrapText="1"/>
    </xf>
    <xf fontId="45" fillId="0" borderId="23" numFmtId="0" xfId="0" applyNumberFormat="1" applyFont="1" applyBorder="1">
      <alignment horizontal="left" vertical="top" wrapText="1"/>
    </xf>
    <xf fontId="47" fillId="0" borderId="12" numFmtId="0" xfId="0" applyNumberFormat="1" applyFont="1" applyBorder="1">
      <alignment horizontal="center" vertical="center" wrapText="1"/>
    </xf>
    <xf fontId="48" fillId="0" borderId="0" numFmtId="0" xfId="0" applyNumberFormat="1" applyFont="1">
      <alignment horizontal="center" vertical="center" wrapText="1"/>
    </xf>
    <xf fontId="47" fillId="0" borderId="12" numFmtId="0" xfId="0" applyNumberFormat="1" applyFont="1" applyBorder="1">
      <alignment horizontal="center" vertical="center"/>
    </xf>
    <xf fontId="47" fillId="0" borderId="14" numFmtId="0" xfId="0" applyNumberFormat="1" applyFont="1" applyBorder="1">
      <alignment horizontal="center" vertical="center"/>
    </xf>
    <xf fontId="22" fillId="0" borderId="17" numFmtId="0" xfId="0" applyNumberFormat="1" applyFont="1" applyBorder="1">
      <alignment horizontal="center" vertical="center" wrapText="1"/>
    </xf>
    <xf fontId="22" fillId="0" borderId="23"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34" borderId="12" numFmtId="504" xfId="0" applyNumberFormat="1" applyFont="1" applyFill="1" applyBorder="1">
      <alignment horizontal="left" indent="1" vertical="center" wrapText="1"/>
    </xf>
    <xf fontId="0" fillId="39" borderId="12" numFmtId="504"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47" fillId="0" borderId="12" numFmtId="504" xfId="0" applyNumberFormat="1" applyFont="1" applyBorder="1">
      <alignment horizontal="center" vertical="center" wrapText="1"/>
    </xf>
    <xf fontId="47" fillId="0" borderId="12" numFmtId="49" xfId="0" applyNumberFormat="1" applyFont="1" applyBorder="1">
      <alignment horizontal="center" vertical="center" wrapText="1"/>
    </xf>
    <xf fontId="22" fillId="0" borderId="15"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22" fillId="35" borderId="36"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40" fillId="37" borderId="36" numFmtId="49" xfId="0" applyNumberFormat="1" applyFont="1" applyFill="1" applyBorder="1">
      <alignment horizontal="center" textRotation="90" vertical="center" wrapText="1"/>
    </xf>
    <xf fontId="40" fillId="37" borderId="23" numFmtId="49" xfId="0" applyNumberFormat="1" applyFont="1" applyFill="1" applyBorder="1">
      <alignment horizontal="center" textRotation="90" vertical="center" wrapText="1"/>
    </xf>
    <xf fontId="47" fillId="0" borderId="17" numFmtId="0" xfId="0" applyNumberFormat="1" applyFont="1" applyBorder="1">
      <alignment horizontal="center" vertical="center" wrapText="1"/>
    </xf>
    <xf fontId="47" fillId="0" borderId="23" numFmtId="0" xfId="0" applyNumberFormat="1" applyFont="1" applyBorder="1">
      <alignment horizontal="center" vertical="center" wrapText="1"/>
    </xf>
    <xf fontId="22" fillId="0" borderId="0" numFmtId="0" xfId="0" applyNumberFormat="1" applyFont="1">
      <alignment horizontal="left" vertical="top" wrapText="1"/>
    </xf>
    <xf fontId="47" fillId="0" borderId="14" numFmtId="0" xfId="0" applyNumberFormat="1" applyFont="1" applyBorder="1">
      <alignment horizontal="center" vertical="center" wrapText="1"/>
    </xf>
    <xf fontId="0" fillId="39" borderId="17" numFmtId="504" xfId="0" applyNumberFormat="1" applyFont="1" applyFill="1" applyBorder="1">
      <alignment horizontal="center" vertical="center" wrapText="1"/>
      <protection locked="0"/>
    </xf>
    <xf fontId="0" fillId="39" borderId="23" numFmtId="49" xfId="0" applyNumberFormat="1" applyFont="1" applyFill="1" applyBorder="1">
      <alignment horizontal="center" vertical="center" wrapText="1"/>
      <protection locked="0"/>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48" fillId="0" borderId="23"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0" fillId="0" borderId="0" numFmtId="0" xfId="0" applyNumberFormat="1" applyFont="1">
      <alignment horizontal="left" vertical="top"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8" fillId="0" borderId="12" numFmtId="0" xfId="0" applyNumberFormat="1" applyFont="1" applyBorder="1">
      <alignment horizontal="left" vertical="center" wrapText="1"/>
    </xf>
    <xf fontId="22" fillId="40" borderId="12" numFmtId="0" xfId="0" applyNumberFormat="1" applyFont="1" applyFill="1" applyBorder="1">
      <alignment horizontal="left" vertical="center" wrapText="1"/>
    </xf>
    <xf fontId="0" fillId="39" borderId="23" numFmtId="504"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40" borderId="20" numFmtId="0" xfId="0" applyNumberFormat="1" applyFont="1" applyFill="1" applyBorder="1">
      <alignment horizontal="left" vertical="center" wrapText="1"/>
    </xf>
    <xf fontId="0" fillId="39" borderId="12" numFmtId="49" xfId="0" applyNumberFormat="1" applyFont="1" applyFill="1" applyBorder="1">
      <alignment horizontal="center" vertical="center" wrapText="1"/>
      <protection locked="0"/>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22" numFmtId="0" xfId="0" applyNumberFormat="1" applyFont="1" applyBorder="1">
      <alignment horizontal="center" vertical="center" wrapText="1"/>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22" fillId="39" borderId="12" numFmtId="0" xfId="0" applyNumberFormat="1" applyFont="1" applyFill="1" applyBorder="1">
      <alignment horizontal="center" vertical="center" wrapText="1"/>
      <protection locked="0"/>
    </xf>
    <xf fontId="22" fillId="34" borderId="12" numFmtId="0" xfId="0" applyNumberFormat="1" applyFont="1" applyFill="1" applyBorder="1">
      <alignment horizontal="center" vertical="center" wrapText="1"/>
    </xf>
    <xf fontId="22" fillId="35" borderId="17" numFmtId="0" xfId="0" applyNumberFormat="1" applyFont="1" applyFill="1" applyBorder="1">
      <alignment horizontal="left" vertical="center" wrapText="1"/>
    </xf>
    <xf fontId="22" fillId="35" borderId="36"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9" borderId="36" numFmtId="49" xfId="0" applyNumberFormat="1" applyFont="1" applyFill="1" applyBorder="1">
      <alignment horizontal="left" indent="6" vertical="center" wrapText="1"/>
      <protection locked="0"/>
    </xf>
    <xf fontId="22" fillId="39" borderId="23" numFmtId="49" xfId="0" applyNumberFormat="1" applyFont="1" applyFill="1" applyBorder="1">
      <alignment horizontal="left" indent="6" vertical="center" wrapText="1"/>
      <protection locked="0"/>
    </xf>
    <xf fontId="48" fillId="0" borderId="24" numFmtId="0" xfId="0" applyNumberFormat="1" applyFont="1" applyBorder="1">
      <alignment horizontal="center" vertical="top" wrapText="1"/>
    </xf>
    <xf fontId="22" fillId="0" borderId="12" numFmtId="49" xfId="0" applyNumberFormat="1" applyFont="1" applyBorder="1">
      <alignment horizontal="left" indent="1" vertical="center" wrapText="1"/>
    </xf>
    <xf fontId="45" fillId="0" borderId="12" numFmtId="0" xfId="0" applyNumberFormat="1" applyFont="1" applyBorder="1">
      <alignment horizontal="left" vertical="top"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9" borderId="13" numFmtId="0" xfId="0" applyNumberFormat="1" applyFont="1" applyFill="1" applyBorder="1">
      <alignment horizontal="center"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40" borderId="29"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6" borderId="36" numFmtId="49" xfId="0" applyNumberFormat="1" applyFont="1" applyFill="1" applyBorder="1">
      <alignment horizontal="left" indent="6" vertical="center" wrapText="1"/>
      <protection locked="0"/>
    </xf>
    <xf fontId="22" fillId="36" borderId="23"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48" fillId="0" borderId="19" numFmtId="0" xfId="0" applyNumberFormat="1" applyFont="1" applyBorder="1">
      <alignment horizontal="left" vertical="center" wrapText="1"/>
    </xf>
    <xf fontId="22" fillId="35" borderId="12" numFmtId="49" xfId="59"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91" fillId="46" borderId="0" numFmtId="49" xfId="0" applyNumberFormat="1" applyFont="1" applyFill="1">
      <alignment horizontal="center" textRotation="90" vertical="center" wrapText="1"/>
    </xf>
    <xf fontId="48" fillId="0" borderId="0" numFmtId="0" xfId="0" applyNumberFormat="1" applyFont="1">
      <alignment horizontal="center" vertical="center" wrapText="1"/>
    </xf>
    <xf fontId="47" fillId="0" borderId="0" numFmtId="0" xfId="0" applyNumberFormat="1" applyFont="1">
      <alignment horizontal="center" vertical="top"/>
    </xf>
    <xf fontId="22" fillId="0" borderId="23" numFmtId="0" xfId="0" applyNumberFormat="1" applyFont="1" applyBorder="1">
      <alignment horizontal="left"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48" fillId="0" borderId="17" numFmtId="49" xfId="0" applyNumberFormat="1" applyFont="1" applyBorder="1">
      <alignment horizontal="center" vertical="center" wrapText="1"/>
    </xf>
    <xf fontId="48" fillId="0" borderId="36" numFmtId="49" xfId="0" applyNumberFormat="1" applyFont="1" applyBorder="1">
      <alignment horizontal="center" vertical="center" wrapText="1"/>
    </xf>
    <xf fontId="48" fillId="0" borderId="23" numFmtId="49" xfId="0" applyNumberFormat="1" applyFont="1" applyBorder="1">
      <alignment horizontal="center" vertical="center" wrapText="1"/>
    </xf>
    <xf fontId="0" fillId="34" borderId="12" numFmtId="0" xfId="0" applyNumberFormat="1" applyFont="1" applyFill="1" applyBorder="1">
      <alignment horizontal="left" indent="1" vertical="center" wrapText="1"/>
    </xf>
    <xf fontId="45" fillId="0" borderId="0" numFmtId="0" xfId="0" applyNumberFormat="1" applyFont="1">
      <alignment horizontal="left" vertical="top" wrapText="1"/>
    </xf>
    <xf fontId="22" fillId="0" borderId="0" numFmtId="0" xfId="0" applyNumberFormat="1" applyFont="1">
      <alignment horizontal="left" vertical="top" wrapText="1"/>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22" fillId="57" borderId="0" numFmtId="49" xfId="0" applyNumberFormat="1" applyFont="1" applyFill="1">
      <alignment horizontal="center" textRotation="90"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0" numFmtId="49" xfId="0" applyNumberFormat="1" applyFont="1">
      <alignment vertical="center" wrapText="1"/>
    </xf>
    <xf fontId="36" fillId="0" borderId="24" numFmtId="0" xfId="0" applyNumberFormat="1" applyFont="1" applyBorder="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22" fillId="0" borderId="12" numFmtId="49" xfId="0" applyNumberFormat="1" applyFont="1" applyBorder="1">
      <alignment horizontal="left" vertical="center" wrapText="1"/>
    </xf>
    <xf fontId="22" fillId="0" borderId="14" numFmtId="49" xfId="0" applyNumberFormat="1" applyFont="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0" fillId="0" borderId="12" numFmtId="0" xfId="0" applyNumberFormat="1" applyFont="1" applyBorder="1">
      <alignment horizontal="center"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0" fillId="0" borderId="12" numFmtId="49" xfId="0" applyNumberFormat="1" applyFont="1" applyBorder="1">
      <alignment vertical="center" wrapText="1"/>
    </xf>
    <xf fontId="0" fillId="0" borderId="12" numFmtId="49" xfId="0" applyNumberFormat="1" applyFont="1" applyBorder="1">
      <alignment horizontal="left" vertical="center" wrapText="1"/>
    </xf>
    <xf fontId="0" fillId="0" borderId="17" numFmtId="49" xfId="0" applyNumberFormat="1" applyFont="1" applyBorder="1">
      <alignment horizontal="center" vertical="center" wrapText="1"/>
    </xf>
    <xf fontId="0" fillId="0" borderId="36" numFmtId="49" xfId="0" applyNumberFormat="1" applyFont="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12" numFmtId="49" xfId="0" applyNumberFormat="1" applyFont="1" applyBorder="1">
      <alignment horizontal="center" vertical="center"/>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22" fillId="0" borderId="20" numFmtId="0" xfId="0" applyNumberFormat="1" applyFont="1" applyBorder="1">
      <alignment horizontal="left" vertical="top" wrapText="1"/>
    </xf>
    <xf fontId="22" fillId="35" borderId="13" numFmtId="0"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41" borderId="27" numFmtId="49" xfId="0" applyNumberFormat="1" applyFont="1" applyFill="1" applyBorder="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0"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22" fillId="0" borderId="15" numFmtId="0" xfId="0" applyNumberFormat="1" applyFont="1" applyBorder="1">
      <alignment horizontal="left" indent="1" vertical="top" wrapText="1"/>
    </xf>
    <xf fontId="39" fillId="35" borderId="0" numFmtId="0" xfId="0" applyNumberFormat="1" applyFont="1" applyFill="1">
      <alignment horizontal="center" vertical="top" wrapText="1"/>
    </xf>
    <xf fontId="36" fillId="35" borderId="19"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0" fillId="34" borderId="14" numFmtId="0" xfId="0" applyNumberFormat="1" applyFont="1" applyFill="1" applyBorder="1">
      <alignment horizontal="left" indent="1" vertical="center" wrapText="1"/>
    </xf>
    <xf fontId="0" fillId="35" borderId="17" numFmtId="0" xfId="0" applyNumberFormat="1" applyFont="1" applyFill="1" applyBorder="1">
      <alignment horizontal="left" vertical="top" wrapText="1"/>
    </xf>
    <xf fontId="0" fillId="35" borderId="36" numFmtId="0" xfId="0" applyNumberFormat="1" applyFont="1" applyFill="1" applyBorder="1">
      <alignment horizontal="left" vertical="top" wrapText="1"/>
    </xf>
    <xf fontId="0" fillId="35" borderId="23" numFmtId="0" xfId="0" applyNumberFormat="1" applyFont="1" applyFill="1" applyBorder="1">
      <alignment horizontal="left" vertical="top" wrapText="1"/>
    </xf>
    <xf fontId="22" fillId="0" borderId="17" numFmtId="4" xfId="0" applyNumberFormat="1" applyFont="1" applyBorder="1">
      <alignment horizontal="center" vertical="center" wrapText="1"/>
    </xf>
    <xf fontId="22" fillId="0" borderId="23" numFmtId="4" xfId="0" applyNumberFormat="1" applyFont="1" applyBorder="1">
      <alignment horizontal="center" vertical="center" wrapText="1"/>
    </xf>
    <xf fontId="22" fillId="0" borderId="36" numFmtId="4" xfId="0" applyNumberFormat="1" applyFont="1" applyBorder="1">
      <alignment horizontal="center" vertical="center" wrapText="1"/>
    </xf>
    <xf fontId="22" fillId="0" borderId="29" numFmtId="0" xfId="0" applyNumberFormat="1" applyFont="1" applyBorder="1">
      <alignment horizontal="left" vertical="top" wrapText="1"/>
    </xf>
    <xf fontId="22" fillId="0" borderId="17" numFmtId="501"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5" numFmtId="501" xfId="0" applyNumberFormat="1" applyFont="1" applyBorder="1">
      <alignment horizontal="center" vertical="center" wrapText="1"/>
    </xf>
    <xf fontId="22" fillId="0" borderId="13" numFmtId="501" xfId="0" applyNumberFormat="1" applyFont="1" applyBorder="1">
      <alignment horizontal="center"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0" borderId="12" numFmtId="49" xfId="0" applyNumberFormat="1" applyFont="1" applyBorder="1">
      <alignment horizontal="left" vertical="top" wrapText="1"/>
    </xf>
    <xf fontId="127" fillId="0" borderId="12" numFmtId="49" xfId="0" applyNumberFormat="1" applyFont="1" applyBorder="1">
      <alignment horizontal="left" vertical="top" wrapText="1"/>
    </xf>
    <xf fontId="22" fillId="0" borderId="15" numFmtId="0" xfId="0" applyNumberFormat="1" applyFont="1" applyBorder="1">
      <alignment horizontal="left" vertical="center" wrapText="1"/>
    </xf>
    <xf fontId="22" fillId="0" borderId="36" numFmtId="501" xfId="0" applyNumberFormat="1" applyFont="1" applyBorder="1">
      <alignment horizontal="center" vertical="center" wrapText="1"/>
    </xf>
    <xf fontId="22" fillId="0" borderId="12" numFmtId="501" xfId="0" applyNumberFormat="1" applyFont="1" applyBorder="1">
      <alignment horizontal="center" vertical="center" wrapText="1"/>
    </xf>
    <xf fontId="45" fillId="0" borderId="19" numFmtId="501" xfId="0" applyNumberFormat="1" applyFont="1" applyBorder="1">
      <alignment horizontal="center" vertical="center" wrapText="1"/>
    </xf>
    <xf fontId="22" fillId="40" borderId="30" numFmtId="49" xfId="0" applyNumberFormat="1" applyFont="1" applyFill="1" applyBorder="1">
      <alignment horizontal="left" vertical="center" wrapText="1"/>
    </xf>
    <xf fontId="22" fillId="40" borderId="23" numFmtId="49" xfId="0" applyNumberFormat="1" applyFont="1" applyFill="1" applyBorder="1">
      <alignment horizontal="left" vertical="center" wrapText="1"/>
    </xf>
    <xf fontId="22" fillId="0" borderId="0" numFmtId="49" xfId="0" applyNumberFormat="1" applyFont="1">
      <alignment horizontal="left" vertical="top" wrapText="1"/>
    </xf>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22" fillId="0" borderId="0" numFmtId="49" xfId="0" applyNumberFormat="1" applyFont="1">
      <alignment horizontal="left" vertical="top" wrapText="1"/>
    </xf>
    <xf fontId="0" fillId="0" borderId="15" numFmtId="49" xfId="0" applyNumberFormat="1" applyFont="1" applyBorder="1">
      <alignment horizontal="left" indent="1" vertical="center"/>
    </xf>
    <xf fontId="22" fillId="36" borderId="12" numFmtId="49" xfId="0" applyNumberFormat="1" applyFont="1" applyFill="1" applyBorder="1">
      <alignment horizontal="left" vertical="center" wrapText="1"/>
      <protection locked="0"/>
    </xf>
    <xf fontId="0" fillId="39" borderId="12" numFmtId="49" xfId="0" applyNumberFormat="1" applyFont="1" applyFill="1" applyBorder="1">
      <alignment horizontal="left" vertical="center" wrapText="1"/>
      <protection locked="0"/>
    </xf>
    <xf fontId="0" fillId="0" borderId="12" numFmtId="49" xfId="0" applyNumberFormat="1" applyFont="1" applyBorder="1">
      <alignment vertical="top"/>
    </xf>
    <xf fontId="0" fillId="40" borderId="12" numFmtId="0" xfId="0" applyNumberFormat="1" applyFont="1" applyFill="1" applyBorder="1">
      <alignment horizontal="left" vertical="center" wrapText="1"/>
    </xf>
    <xf fontId="0" fillId="40" borderId="12" numFmtId="49" xfId="0" applyNumberFormat="1" applyFont="1" applyFill="1" applyBorder="1">
      <alignment horizontal="left" vertical="center" wrapText="1"/>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123" fillId="0" borderId="12" numFmtId="49" xfId="0" applyNumberFormat="1" applyFont="1" applyBorder="1">
      <alignment horizontal="center" vertical="center" wrapText="1"/>
    </xf>
    <xf fontId="45" fillId="0" borderId="13"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40" borderId="36" numFmtId="49" xfId="0" applyNumberFormat="1" applyFont="1" applyFill="1" applyBorder="1">
      <alignment horizontal="left" indent="1" vertical="center" wrapText="1"/>
    </xf>
    <xf fontId="22" fillId="40" borderId="23"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22" fillId="34" borderId="12" numFmtId="49" xfId="0" applyNumberFormat="1" applyFont="1" applyFill="1" applyBorder="1">
      <alignment horizontal="left" vertical="center" wrapText="1"/>
    </xf>
    <xf fontId="22" fillId="0" borderId="13" numFmtId="49" xfId="0" applyNumberFormat="1" applyFont="1" applyBorder="1">
      <alignment horizontal="center" vertical="center" wrapText="1"/>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22" fillId="0" borderId="36" numFmtId="49" xfId="0" applyNumberFormat="1" applyFont="1" applyBorder="1">
      <alignment horizontal="center" vertical="center"/>
    </xf>
    <xf fontId="22" fillId="40" borderId="17" numFmtId="0" xfId="0" applyNumberFormat="1" applyFont="1" applyFill="1" applyBorder="1">
      <alignment horizontal="left" vertical="center" wrapText="1"/>
    </xf>
    <xf fontId="22" fillId="40" borderId="36" numFmtId="0" xfId="0" applyNumberFormat="1" applyFont="1" applyFill="1" applyBorder="1">
      <alignment horizontal="left" vertical="center" wrapText="1"/>
    </xf>
    <xf fontId="22" fillId="40" borderId="17" numFmtId="49" xfId="0" applyNumberFormat="1" applyFont="1" applyFill="1" applyBorder="1">
      <alignment horizontal="left" vertical="center" wrapText="1"/>
    </xf>
    <xf fontId="22" fillId="0" borderId="24" numFmtId="0" xfId="0" applyNumberFormat="1" applyFont="1" applyBorder="1">
      <alignment horizontal="center" vertical="center"/>
    </xf>
    <xf fontId="22" fillId="36" borderId="17" numFmtId="49" xfId="0" applyNumberFormat="1" applyFont="1" applyFill="1" applyBorder="1">
      <alignment horizontal="left" vertical="center" wrapText="1"/>
      <protection locked="0"/>
    </xf>
    <xf fontId="0" fillId="0" borderId="12" numFmtId="0" xfId="0" applyNumberFormat="1" applyFont="1" applyBorder="1">
      <alignment horizontal="center" vertical="center"/>
    </xf>
    <xf fontId="0" fillId="0" borderId="12" numFmtId="49" xfId="0" applyNumberFormat="1" applyFont="1" applyBorder="1">
      <alignment horizontal="left" vertical="top"/>
    </xf>
    <xf fontId="22" fillId="40" borderId="12" numFmtId="0" xfId="0" applyNumberFormat="1" applyFont="1" applyFill="1" applyBorder="1">
      <alignment horizontal="left" vertical="top" wrapText="1"/>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47" fillId="0" borderId="14" numFmtId="49" xfId="0" applyNumberFormat="1" applyFont="1" applyBorder="1">
      <alignment horizontal="center" vertical="center" wrapText="1"/>
    </xf>
    <xf fontId="40" fillId="37" borderId="51" numFmtId="49" xfId="0" applyNumberFormat="1" applyFont="1" applyFill="1" applyBorder="1">
      <alignment horizontal="left" indent="1" vertical="center"/>
    </xf>
    <xf fontId="22" fillId="34" borderId="12" numFmtId="49" xfId="0" applyNumberFormat="1" applyFont="1" applyFill="1" applyBorder="1">
      <alignment horizontal="center" vertical="center" wrapText="1"/>
    </xf>
    <xf fontId="22" fillId="34" borderId="74" numFmtId="49" xfId="0" applyNumberFormat="1" applyFont="1" applyFill="1" applyBorder="1">
      <alignment horizontal="center" vertical="center" wrapText="1"/>
    </xf>
    <xf fontId="47" fillId="0" borderId="12" numFmtId="3" xfId="0" applyNumberFormat="1" applyFont="1" applyBorder="1">
      <alignment horizontal="center" vertical="center" wrapText="1"/>
    </xf>
    <xf fontId="47" fillId="0" borderId="12" numFmtId="49" xfId="0" applyNumberFormat="1" applyFont="1" applyBorder="1">
      <alignment horizontal="left"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22" fillId="40" borderId="12" numFmtId="49" xfId="0" applyNumberFormat="1" applyFont="1" applyFill="1" applyBorder="1">
      <alignment horizontal="center" vertical="top" wrapText="1"/>
    </xf>
    <xf fontId="22" fillId="40" borderId="14" numFmtId="49"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0" fillId="36" borderId="12" numFmtId="504"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22" numFmtId="0" xfId="0" applyNumberFormat="1" applyFont="1" applyBorder="1">
      <alignment horizontal="center" vertical="center"/>
    </xf>
    <xf fontId="0" fillId="0" borderId="0" numFmtId="49" xfId="0" applyNumberFormat="1" applyFont="1">
      <alignment horizontal="left" vertical="top"/>
    </xf>
    <xf fontId="81" fillId="0" borderId="17" numFmtId="14" xfId="0" applyNumberFormat="1" applyFont="1" applyBorder="1">
      <alignment horizontal="center" vertical="center" wrapText="1"/>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center" wrapText="1"/>
    </xf>
    <xf fontId="75" fillId="0" borderId="12" numFmtId="0" xfId="0" applyNumberFormat="1" applyFont="1" applyBorder="1">
      <alignment horizontal="left" indent="1"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0" fillId="0" borderId="19" numFmtId="49" xfId="0" applyNumberFormat="1" applyFont="1" applyBorder="1">
      <alignment horizontal="left" vertical="center" wrapText="1"/>
    </xf>
    <xf fontId="0" fillId="0" borderId="0" numFmtId="49" xfId="0" applyNumberFormat="1" applyFont="1">
      <alignment horizontal="left" vertical="center" wrapText="1"/>
    </xf>
    <xf fontId="0" fillId="0" borderId="19" numFmtId="0" xfId="0" applyNumberFormat="1" applyFont="1" applyBorder="1">
      <alignment horizontal="left" vertical="center" wrapText="1"/>
    </xf>
    <xf fontId="0" fillId="0" borderId="0" numFmtId="0" xfId="0" applyNumberFormat="1" applyFont="1">
      <alignment horizontal="left" vertical="center" wrapText="1"/>
    </xf>
    <xf fontId="0" fillId="0" borderId="19" numFmtId="0" xfId="0" applyNumberFormat="1" applyFont="1" applyBorder="1">
      <alignment horizontal="center" vertical="center"/>
    </xf>
    <xf fontId="0" fillId="0" borderId="0" numFmtId="0" xfId="0" applyNumberFormat="1" applyFont="1">
      <alignment horizontal="center" vertical="center"/>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39" borderId="12" numFmtId="49" xfId="0" applyNumberFormat="1" applyFont="1" applyFill="1" applyBorder="1">
      <alignment horizontal="left" vertical="center" wrapText="1"/>
      <protection locked="0"/>
    </xf>
    <xf fontId="37" fillId="0" borderId="17" numFmtId="49" xfId="0" applyNumberFormat="1" applyFont="1" applyBorder="1">
      <alignment horizontal="center" vertical="top" wrapText="1"/>
    </xf>
    <xf fontId="22" fillId="0" borderId="36" numFmtId="49" xfId="0" applyNumberFormat="1" applyFont="1" applyBorder="1">
      <alignment horizontal="center" vertical="top" wrapText="1"/>
    </xf>
    <xf fontId="22" fillId="0" borderId="23"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0" borderId="12" numFmtId="0" xfId="0" applyNumberFormat="1" applyFont="1" applyBorder="1">
      <alignment horizontal="center" vertical="center" wrapText="1"/>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22" fillId="0" borderId="23" numFmtId="49"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22" fillId="40" borderId="23" numFmtId="49" xfId="0" applyNumberFormat="1" applyFont="1" applyFill="1" applyBorder="1">
      <alignment horizontal="center" vertical="top" wrapText="1"/>
    </xf>
    <xf fontId="0" fillId="39" borderId="12" numFmtId="504" xfId="0" applyNumberFormat="1" applyFont="1" applyFill="1" applyBorder="1">
      <alignment horizontal="center" vertical="top" wrapText="1"/>
      <protection locked="0"/>
    </xf>
    <xf fontId="0" fillId="39" borderId="12" numFmtId="49"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47" fillId="0" borderId="17" numFmtId="49" xfId="0" applyNumberFormat="1" applyFont="1" applyBorder="1">
      <alignment horizontal="left" indent="1" vertical="center" wrapText="1"/>
    </xf>
    <xf fontId="47" fillId="0" borderId="36" numFmtId="49" xfId="0" applyNumberFormat="1" applyFont="1" applyBorder="1">
      <alignment horizontal="left" indent="1" vertical="center" wrapText="1"/>
    </xf>
    <xf fontId="47" fillId="0" borderId="23" numFmtId="49" xfId="0" applyNumberFormat="1" applyFont="1" applyBorder="1">
      <alignment horizontal="left" indent="1" vertical="center" wrapText="1"/>
    </xf>
    <xf fontId="45" fillId="0" borderId="12" numFmtId="0" xfId="0" applyNumberFormat="1" applyFont="1" applyBorder="1">
      <alignment horizontal="center" vertical="center"/>
    </xf>
    <xf fontId="95" fillId="0" borderId="12" numFmtId="49" xfId="0" applyNumberFormat="1" applyFont="1" applyBorder="1">
      <alignment horizontal="center" vertical="top" wrapText="1"/>
    </xf>
    <xf fontId="95" fillId="41" borderId="12" numFmtId="0" xfId="0" applyNumberFormat="1" applyFont="1" applyFill="1" applyBorder="1">
      <alignment horizontal="center" vertical="center" wrapText="1"/>
    </xf>
    <xf fontId="95" fillId="0" borderId="37"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23" numFmtId="49" xfId="0" applyNumberFormat="1" applyFont="1" applyBorder="1">
      <alignment horizontal="center" vertical="top" wrapText="1"/>
    </xf>
    <xf fontId="0" fillId="39" borderId="12" numFmtId="504" xfId="0" applyNumberFormat="1" applyFont="1" applyFill="1" applyBorder="1">
      <alignment horizontal="center" vertical="center" wrapText="1"/>
      <protection locked="0"/>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22" fillId="0" borderId="0" numFmtId="0" xfId="0" applyNumberFormat="1" applyFont="1">
      <alignment horizontal="right" vertical="center" wrapText="1"/>
    </xf>
    <xf fontId="22" fillId="34" borderId="12" numFmtId="4" xfId="0" applyNumberFormat="1" applyFont="1" applyFill="1" applyBorder="1">
      <alignment horizontal="left" vertical="center" wrapText="1"/>
    </xf>
    <xf fontId="47" fillId="0" borderId="0" numFmtId="0" xfId="0" applyNumberFormat="1" applyFont="1">
      <alignment horizontal="center" vertical="center" wrapText="1"/>
    </xf>
    <xf fontId="0" fillId="0" borderId="12" numFmtId="49" xfId="0" applyNumberFormat="1" applyFont="1" applyBorder="1">
      <alignment horizontal="center" vertical="top"/>
    </xf>
    <xf fontId="0" fillId="0" borderId="14" numFmtId="49" xfId="0" applyNumberFormat="1" applyFont="1" applyBorder="1">
      <alignment horizontal="center" vertical="top"/>
    </xf>
    <xf fontId="47" fillId="0" borderId="17"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7" numFmtId="0" xfId="0" applyNumberFormat="1" applyFont="1" applyBorder="1">
      <alignment horizontal="center" vertical="center" wrapText="1"/>
    </xf>
    <xf fontId="0" fillId="0" borderId="15" numFmtId="49" xfId="0" applyNumberFormat="1" applyFont="1" applyBorder="1">
      <alignment horizontal="left" indent="1" vertical="center"/>
    </xf>
    <xf fontId="0" fillId="0" borderId="25" numFmtId="49" xfId="0" applyNumberFormat="1" applyFont="1" applyBorder="1">
      <alignment horizontal="center" vertical="center"/>
    </xf>
    <xf fontId="0" fillId="0" borderId="12" numFmtId="49" xfId="61" applyNumberFormat="1" applyFont="1" applyBorder="1">
      <alignment vertical="top"/>
    </xf>
    <xf fontId="0" fillId="0" borderId="14" numFmtId="49" xfId="61" applyNumberFormat="1" applyFont="1" applyBorder="1">
      <alignment vertical="top"/>
    </xf>
    <xf fontId="0" fillId="0" borderId="12" numFmtId="49" xfId="61" applyNumberFormat="1" applyFont="1" applyBorder="1">
      <alignment horizontal="center" vertical="top"/>
    </xf>
    <xf fontId="0" fillId="0" borderId="14" numFmtId="49" xfId="61" applyNumberFormat="1" applyFont="1" applyBorder="1">
      <alignment horizontal="center" vertical="top"/>
    </xf>
    <xf fontId="0" fillId="43" borderId="17" numFmtId="49" xfId="61" applyNumberFormat="1" applyFont="1" applyFill="1" applyBorder="1">
      <alignment vertical="top"/>
    </xf>
    <xf fontId="0" fillId="44" borderId="12" numFmtId="49" xfId="61" applyNumberFormat="1" applyFont="1" applyFill="1" applyBorder="1">
      <alignment vertical="top"/>
    </xf>
    <xf fontId="0" fillId="0" borderId="15" numFmtId="49" xfId="61" applyNumberFormat="1" applyFont="1" applyBorder="1">
      <alignment horizontal="center" vertical="top"/>
    </xf>
    <xf fontId="0" fillId="3" borderId="12" numFmtId="49" xfId="61" applyNumberFormat="1" applyFont="1" applyFill="1" applyBorder="1">
      <alignment vertical="top"/>
    </xf>
    <xf fontId="0" fillId="45" borderId="12" numFmtId="49" xfId="61" applyNumberFormat="1" applyFont="1" applyFill="1" applyBorder="1">
      <alignment vertical="top"/>
    </xf>
    <xf fontId="0" fillId="16" borderId="17" numFmtId="49" xfId="61" applyNumberFormat="1" applyFont="1" applyFill="1" applyBorder="1">
      <alignment vertical="top"/>
    </xf>
    <xf fontId="0" fillId="5" borderId="14" numFmtId="49" xfId="61" applyNumberFormat="1" applyFont="1" applyFill="1" applyBorder="1">
      <alignment vertical="top"/>
    </xf>
    <xf fontId="0" fillId="5" borderId="12" numFmtId="49" xfId="61" applyNumberFormat="1" applyFont="1" applyFill="1" applyBorder="1">
      <alignment vertical="top"/>
    </xf>
    <xf fontId="0" fillId="16" borderId="12" numFmtId="49" xfId="61" applyNumberFormat="1" applyFont="1" applyFill="1" applyBorder="1">
      <alignment vertical="top"/>
    </xf>
    <xf fontId="29" fillId="0" borderId="0" numFmtId="0" xfId="0" applyNumberFormat="1" applyFont="1"/>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NumberFormat="1" applyFont="1">
      <alignment vertical="center" wrapText="1"/>
    </xf>
    <xf fontId="102" fillId="0" borderId="0" numFmtId="0" xfId="0" applyNumberFormat="1" applyFont="1">
      <alignment horizontal="left" vertical="center" wrapText="1"/>
    </xf>
    <xf fontId="117" fillId="0" borderId="0" numFmtId="49" xfId="0" applyNumberFormat="1" applyFont="1">
      <alignment wrapText="1"/>
    </xf>
    <xf fontId="102" fillId="0" borderId="0" numFmtId="0" xfId="0" applyNumberFormat="1" applyFont="1">
      <alignment vertical="center"/>
    </xf>
    <xf fontId="46" fillId="0" borderId="0" numFmtId="0" xfId="0" applyNumberFormat="1" applyFont="1">
      <alignment horizontal="left" vertical="top" wrapText="1"/>
    </xf>
    <xf fontId="22" fillId="0" borderId="0" numFmtId="49" xfId="0" applyNumberFormat="1" applyFont="1">
      <alignment vertical="top" wrapText="1"/>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66" fillId="0" borderId="0" numFmtId="0" xfId="0" applyNumberFormat="1" applyFont="1">
      <alignment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0" fillId="53" borderId="60" numFmtId="0" xfId="0" applyNumberFormat="1" applyFont="1" applyFill="1" applyBorder="1">
      <alignment horizontal="center"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46" fillId="46" borderId="0" numFmtId="0" xfId="0" applyNumberFormat="1" applyFont="1" applyFill="1">
      <alignment horizontal="right" indent="1"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120" fillId="0" borderId="0" numFmtId="0" xfId="0" applyNumberFormat="1" applyFont="1"/>
    <xf fontId="120" fillId="0" borderId="38" numFmtId="0" xfId="0" applyNumberFormat="1" applyFont="1" applyBorder="1">
      <alignment wrapText="1"/>
    </xf>
    <xf fontId="120" fillId="0" borderId="0" numFmtId="0" xfId="0" applyNumberFormat="1" applyFont="1">
      <alignment vertical="top"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66" fillId="0" borderId="0" numFmtId="49" xfId="0" applyNumberFormat="1" applyFont="1">
      <alignment vertical="top" wrapText="1"/>
    </xf>
    <xf fontId="29" fillId="0" borderId="0" numFmtId="0" xfId="0" applyNumberFormat="1" applyFont="1"/>
    <xf fontId="63" fillId="0" borderId="0" numFmtId="0" xfId="0" applyNumberFormat="1" applyFont="1">
      <alignment vertical="center" wrapText="1"/>
    </xf>
    <xf fontId="91" fillId="0" borderId="0" numFmtId="0" xfId="0" applyNumberFormat="1" applyFont="1">
      <alignment horizontal="left"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32" fillId="0" borderId="0" numFmtId="0" xfId="0" applyNumberFormat="1" applyFont="1">
      <alignment horizontal="center" vertical="center" wrapText="1"/>
    </xf>
    <xf fontId="32"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NumberFormat="1"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NumberFormat="1" applyFont="1">
      <alignment vertical="center" wrapText="1"/>
    </xf>
    <xf fontId="60" fillId="0" borderId="0" numFmtId="0" xfId="0" applyNumberFormat="1" applyFont="1">
      <alignment vertical="center" wrapText="1"/>
    </xf>
    <xf fontId="91" fillId="0" borderId="0" numFmtId="0" xfId="0" applyNumberFormat="1" applyFont="1">
      <alignment horizontal="lef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60" fillId="0" borderId="0" numFmtId="0" xfId="0" applyNumberFormat="1" applyFont="1">
      <alignment vertical="center" wrapText="1"/>
    </xf>
    <xf fontId="34" fillId="35" borderId="0" numFmtId="0" xfId="0" applyNumberFormat="1" applyFont="1" applyFill="1">
      <alignment vertical="center"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50" fillId="35" borderId="0" numFmtId="0" xfId="0" applyNumberFormat="1" applyFont="1" applyFill="1">
      <alignment vertical="center" wrapText="1"/>
    </xf>
    <xf fontId="96"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22" fillId="35" borderId="26" numFmtId="0" xfId="0" applyNumberFormat="1" applyFont="1" applyFill="1" applyBorder="1">
      <alignment horizontal="right" indent="1" vertical="center" wrapText="1"/>
    </xf>
    <xf fontId="0" fillId="34" borderId="12" numFmtId="0" xfId="0" applyNumberFormat="1"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22" fillId="35" borderId="0" numFmtId="0" xfId="0" applyNumberFormat="1" applyFont="1" applyFill="1">
      <alignment horizontal="center" vertical="center" wrapText="1"/>
    </xf>
    <xf fontId="88" fillId="0" borderId="0" numFmtId="0" xfId="0" applyNumberFormat="1" applyFont="1">
      <alignment horizontal="center" vertical="center" wrapText="1"/>
    </xf>
    <xf fontId="22" fillId="0" borderId="0" numFmtId="0" xfId="0" applyNumberFormat="1" applyFont="1">
      <alignment vertical="center" wrapText="1"/>
    </xf>
    <xf fontId="33" fillId="0" borderId="0" numFmtId="0" xfId="0" applyNumberFormat="1" applyFont="1">
      <alignment vertical="center" wrapText="1"/>
    </xf>
    <xf fontId="34" fillId="35" borderId="0" numFmtId="0" xfId="0" applyNumberFormat="1" applyFont="1" applyFill="1">
      <alignment vertical="center" wrapText="1"/>
    </xf>
    <xf fontId="22" fillId="35" borderId="26" numFmtId="0" xfId="0" applyNumberFormat="1" applyFont="1" applyFill="1" applyBorder="1">
      <alignment horizontal="right" indent="1" vertical="center" wrapText="1"/>
    </xf>
    <xf fontId="22" fillId="39" borderId="12" numFmtId="0" xfId="0" applyNumberFormat="1" applyFont="1" applyFill="1" applyBorder="1">
      <alignment horizontal="left" indent="1" vertical="top" wrapText="1"/>
      <protection locked="0"/>
    </xf>
    <xf fontId="22" fillId="0" borderId="0" numFmtId="0" xfId="0" applyNumberFormat="1" applyFont="1">
      <alignment horizontal="left" vertical="center" wrapText="1"/>
    </xf>
    <xf fontId="47"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22" fillId="40" borderId="12" numFmtId="49" xfId="0" applyNumberFormat="1" applyFont="1" applyFill="1" applyBorder="1">
      <alignment horizontal="left" indent="1" vertical="center" wrapText="1"/>
    </xf>
    <xf fontId="60" fillId="0" borderId="0" numFmtId="0" xfId="0" applyNumberFormat="1" applyFont="1">
      <alignment vertical="center" wrapText="1"/>
    </xf>
    <xf fontId="93" fillId="0" borderId="12" numFmtId="14" xfId="0" applyNumberFormat="1" applyFont="1" applyBorder="1">
      <alignment horizontal="center" vertical="center" wrapText="1"/>
    </xf>
    <xf fontId="0" fillId="39" borderId="12" numFmtId="504" xfId="0" applyNumberFormat="1" applyFont="1" applyFill="1" applyBorder="1">
      <alignment horizontal="left" indent="1" vertical="center" wrapText="1"/>
      <protection locked="0"/>
    </xf>
    <xf fontId="53" fillId="0" borderId="0" numFmtId="0" xfId="0" applyNumberFormat="1" applyFont="1">
      <alignment horizontal="left" indent="1" vertical="center"/>
    </xf>
    <xf fontId="22" fillId="35" borderId="0" numFmtId="0" xfId="0" applyNumberFormat="1"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504"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39" borderId="12" numFmtId="504" xfId="0" applyNumberFormat="1" applyFont="1" applyFill="1" applyBorder="1">
      <alignment horizontal="left" indent="1" vertical="center" wrapText="1"/>
      <protection locked="0"/>
    </xf>
    <xf fontId="0" fillId="35" borderId="0" numFmtId="0" xfId="0" applyNumberFormat="1" applyFont="1" applyFill="1">
      <alignment horizontal="right" indent="1" vertical="center" wrapText="1"/>
    </xf>
    <xf fontId="96" fillId="0" borderId="0" numFmtId="0" xfId="0" applyNumberFormat="1" applyFont="1">
      <alignment horizontal="left" vertical="center" wrapText="1"/>
    </xf>
    <xf fontId="22" fillId="35" borderId="0" numFmtId="0" xfId="0" applyNumberFormat="1" applyFont="1" applyFill="1">
      <alignment horizontal="right" indent="1" vertical="center" wrapText="1"/>
    </xf>
    <xf fontId="22" fillId="0" borderId="0" numFmtId="0" xfId="0" applyNumberFormat="1" applyFont="1">
      <alignment horizontal="center" vertical="center" wrapText="1"/>
    </xf>
    <xf fontId="22" fillId="35" borderId="0" numFmtId="0" xfId="0" applyNumberFormat="1" applyFont="1" applyFill="1">
      <alignment horizontal="center" vertical="center" wrapText="1"/>
    </xf>
    <xf fontId="0" fillId="35" borderId="0" numFmtId="0" xfId="0" applyNumberFormat="1" applyFont="1" applyFill="1">
      <alignment horizontal="left" indent="1" vertical="center" wrapText="1"/>
    </xf>
    <xf fontId="22" fillId="39" borderId="12" numFmtId="49"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22" fillId="0" borderId="12" numFmtId="49" xfId="0" applyNumberFormat="1" applyFont="1" applyBorder="1">
      <alignment horizontal="left" indent="1"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NumberFormat="1" applyFont="1" applyFill="1" applyBorder="1">
      <alignment horizontal="right" indent="1" vertical="center" wrapText="1"/>
    </xf>
    <xf fontId="22" fillId="0" borderId="0" numFmtId="0" xfId="0" applyNumberFormat="1" applyFont="1">
      <alignment vertical="center"/>
    </xf>
    <xf fontId="22" fillId="35" borderId="0" numFmtId="14" xfId="0" applyNumberFormat="1" applyFont="1" applyFill="1">
      <alignment horizontal="left" vertical="center" wrapText="1"/>
    </xf>
    <xf fontId="22" fillId="39" borderId="12" numFmtId="0" xfId="0" applyNumberFormat="1" applyFont="1" applyFill="1" applyBorder="1">
      <alignment horizontal="left" indent="1" vertical="center" wrapText="1"/>
      <protection locked="0"/>
    </xf>
    <xf fontId="61" fillId="35" borderId="0" numFmtId="0" xfId="0" applyNumberFormat="1" applyFont="1" applyFill="1">
      <alignment horizontal="right" indent="1" vertical="center" wrapText="1"/>
    </xf>
    <xf fontId="61" fillId="35" borderId="0" numFmtId="0" xfId="0" applyNumberFormat="1"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32" fillId="0" borderId="0" numFmtId="0" xfId="0" applyNumberFormat="1" applyFont="1">
      <alignment horizontal="left" vertical="center" wrapText="1"/>
    </xf>
    <xf fontId="124" fillId="0" borderId="12" numFmtId="49" xfId="0" applyNumberFormat="1" applyFont="1" applyBorder="1">
      <alignment horizontal="left" indent="1" vertical="center" wrapText="1"/>
    </xf>
    <xf fontId="32" fillId="0" borderId="0" numFmtId="0" xfId="0" applyNumberFormat="1" applyFont="1">
      <alignment horizontal="left" vertical="center" wrapText="1"/>
    </xf>
    <xf fontId="92" fillId="0" borderId="0" numFmtId="14" xfId="0" applyNumberFormat="1" applyFont="1">
      <alignment horizontal="center" vertical="center" wrapText="1"/>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7"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vertical="center" wrapText="1"/>
    </xf>
    <xf fontId="22" fillId="40" borderId="12" numFmtId="0" xfId="0" applyNumberFormat="1" applyFont="1" applyFill="1" applyBorder="1">
      <alignment horizontal="left" indent="1" vertical="center" wrapText="1"/>
    </xf>
    <xf fontId="0" fillId="0" borderId="11" numFmtId="504" xfId="0" applyNumberFormat="1" applyFont="1" applyBorder="1">
      <alignment horizontal="left" indent="1" vertical="center" wrapText="1"/>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NumberFormat="1"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NumberFormat="1" applyFont="1">
      <alignment horizontal="left" indent="4" vertical="center" wrapText="1"/>
    </xf>
    <xf fontId="22" fillId="0" borderId="0" numFmtId="0" xfId="0" applyNumberFormat="1"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NumberFormat="1" applyFont="1">
      <alignment vertical="top" wrapText="1"/>
    </xf>
    <xf fontId="33"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center" vertical="center" wrapText="1"/>
    </xf>
    <xf fontId="47" fillId="0" borderId="0" numFmtId="0" xfId="0" applyNumberFormat="1" applyFont="1">
      <alignment vertical="center" wrapText="1"/>
    </xf>
    <xf fontId="48" fillId="0" borderId="0" numFmtId="0" xfId="0" applyNumberFormat="1" applyFont="1">
      <alignment vertical="center" wrapText="1"/>
    </xf>
    <xf fontId="72" fillId="0" borderId="0" numFmtId="0" xfId="0" applyNumberFormat="1" applyFont="1">
      <alignment vertical="center" wrapText="1"/>
    </xf>
    <xf fontId="48"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wrapText="1"/>
    </xf>
    <xf fontId="48" fillId="0" borderId="0" numFmtId="0" xfId="0" applyNumberFormat="1" applyFont="1">
      <alignment horizontal="left" indent="1" vertical="center" wrapText="1"/>
    </xf>
    <xf fontId="48" fillId="0" borderId="0" numFmtId="0" xfId="0" applyNumberFormat="1" applyFont="1">
      <alignment horizontal="left" indent="1" vertical="center"/>
    </xf>
    <xf fontId="48" fillId="0" borderId="0" numFmtId="0" xfId="0" applyNumberFormat="1" applyFont="1">
      <alignment vertical="center" wrapText="1"/>
    </xf>
    <xf fontId="56" fillId="0" borderId="0" numFmtId="0" xfId="0" applyNumberFormat="1" applyFont="1">
      <alignment vertical="center" wrapText="1"/>
    </xf>
    <xf fontId="22"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xf>
    <xf fontId="48" fillId="0" borderId="0" numFmtId="0" xfId="0" applyNumberFormat="1" applyFont="1">
      <alignment vertical="center"/>
    </xf>
    <xf fontId="55" fillId="0" borderId="0" numFmtId="0" xfId="0" applyNumberFormat="1" applyFont="1">
      <alignment vertical="center"/>
    </xf>
    <xf fontId="42" fillId="0" borderId="0" numFmtId="0" xfId="0" applyNumberFormat="1" applyFont="1">
      <alignment vertical="center" wrapText="1"/>
    </xf>
    <xf fontId="22" fillId="0" borderId="15" numFmtId="0" xfId="0" applyNumberFormat="1" applyFont="1" applyBorder="1">
      <alignment horizontal="left" indent="1"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NumberFormat="1" applyFont="1">
      <alignment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2" numFmtId="501" xfId="0" applyNumberFormat="1" applyFont="1" applyBorder="1">
      <alignment horizontal="center" vertical="center" wrapText="1"/>
    </xf>
    <xf fontId="36" fillId="0" borderId="0" numFmtId="0" xfId="0" applyNumberFormat="1"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NumberFormat="1" applyFont="1">
      <alignment vertical="center"/>
    </xf>
    <xf fontId="47" fillId="0" borderId="0" numFmtId="0" xfId="0" applyNumberFormat="1" applyFont="1">
      <alignment vertical="center"/>
    </xf>
    <xf fontId="54" fillId="0" borderId="0" numFmtId="0" xfId="0" applyNumberFormat="1"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NumberFormat="1" applyFont="1" applyBorder="1">
      <alignment vertical="center"/>
    </xf>
    <xf fontId="2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NumberFormat="1" applyFont="1">
      <alignment vertical="center"/>
    </xf>
    <xf fontId="48" fillId="0" borderId="0" numFmtId="0" xfId="0" applyNumberFormat="1" applyFont="1">
      <alignment vertical="center"/>
    </xf>
    <xf fontId="42" fillId="0" borderId="0" numFmtId="0" xfId="0" applyNumberFormat="1" applyFont="1">
      <alignment vertical="center" wrapText="1"/>
    </xf>
    <xf fontId="0" fillId="0" borderId="0" numFmtId="49" xfId="0" applyNumberFormat="1" applyFont="1">
      <alignment vertical="top"/>
    </xf>
    <xf fontId="36" fillId="0" borderId="24" numFmtId="0" xfId="0" applyNumberFormat="1" applyFont="1" applyBorder="1">
      <alignment vertical="top" wrapText="1"/>
    </xf>
    <xf fontId="22" fillId="0" borderId="23" numFmtId="0" xfId="0" applyNumberFormat="1" applyFont="1" applyBorder="1">
      <alignment horizontal="center" vertical="center" wrapText="1"/>
    </xf>
    <xf fontId="48" fillId="0" borderId="23" numFmtId="0" xfId="0" applyNumberFormat="1"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NumberFormat="1"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center" wrapText="1"/>
    </xf>
    <xf fontId="36" fillId="0" borderId="0" numFmtId="0" xfId="0" applyNumberFormat="1"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NumberFormat="1" applyFont="1">
      <alignment horizontal="center"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94" fillId="0" borderId="0" numFmtId="0" xfId="0" applyNumberFormat="1" applyFont="1">
      <alignment vertical="center" wrapText="1"/>
    </xf>
    <xf fontId="51" fillId="0" borderId="0" numFmtId="0" xfId="0" applyNumberFormat="1" applyFont="1">
      <alignment horizontal="center" vertical="center" wrapText="1"/>
    </xf>
    <xf fontId="45" fillId="0" borderId="0" numFmtId="0" xfId="0" applyNumberFormat="1" applyFont="1">
      <alignment vertical="center" wrapText="1"/>
    </xf>
    <xf fontId="0" fillId="0" borderId="0" numFmtId="49" xfId="0" applyNumberFormat="1" applyFont="1">
      <alignment vertical="top"/>
    </xf>
    <xf fontId="37" fillId="0" borderId="0" numFmtId="0" xfId="0" applyNumberFormat="1" applyFont="1">
      <alignment horizontal="center" vertical="center" wrapText="1"/>
    </xf>
    <xf fontId="48" fillId="0" borderId="0" numFmtId="0" xfId="0" applyNumberFormat="1" applyFont="1">
      <alignment vertical="center"/>
    </xf>
    <xf fontId="0" fillId="0" borderId="0" numFmtId="0" xfId="0" applyNumberFormat="1" applyFont="1">
      <alignment vertical="center"/>
    </xf>
    <xf fontId="22" fillId="0" borderId="0" numFmtId="0" xfId="0" applyNumberFormat="1" applyFont="1">
      <alignment vertical="center"/>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7" fillId="0" borderId="0" numFmtId="0" xfId="0" applyNumberFormat="1" applyFont="1">
      <alignment vertical="center"/>
    </xf>
    <xf fontId="41" fillId="0" borderId="0" numFmtId="0" xfId="0" applyNumberFormat="1" applyFont="1">
      <alignment vertical="center"/>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vertical="center" wrapText="1"/>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0" fillId="0" borderId="0" numFmtId="0" xfId="0" applyNumberFormat="1" applyFont="1">
      <alignment horizontal="left" indent="2" vertical="center" wrapText="1"/>
    </xf>
    <xf fontId="0" fillId="0" borderId="0" numFmtId="0" xfId="0" applyNumberFormat="1" applyFont="1">
      <alignment horizontal="left" indent="2" vertical="center"/>
    </xf>
    <xf fontId="31" fillId="0" borderId="0" numFmtId="0" xfId="0" applyNumberFormat="1" applyFont="1">
      <alignment vertical="center"/>
    </xf>
    <xf fontId="22" fillId="42" borderId="0" numFmtId="0" xfId="0" applyNumberFormat="1" applyFont="1" applyFill="1">
      <alignment horizontal="center" vertical="center" wrapText="1"/>
    </xf>
    <xf fontId="22" fillId="0" borderId="0" numFmtId="0" xfId="0" applyNumberFormat="1" applyFont="1">
      <alignment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75" fillId="0" borderId="12" numFmtId="0" xfId="0" applyNumberFormat="1" applyFont="1" applyBorder="1">
      <alignment horizontal="center" vertical="center" wrapText="1"/>
    </xf>
    <xf fontId="22" fillId="0" borderId="0" numFmtId="0" xfId="0" applyNumberFormat="1" applyFont="1">
      <alignment horizontal="center" vertical="center" wrapText="1"/>
    </xf>
    <xf fontId="8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47" fillId="0" borderId="22" numFmtId="0" xfId="0" applyNumberFormat="1" applyFont="1" applyBorder="1">
      <alignment vertical="center"/>
    </xf>
    <xf fontId="0" fillId="0" borderId="0" numFmtId="0" xfId="0" applyNumberFormat="1"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NumberFormat="1" applyFont="1" applyBorder="1">
      <alignment vertical="center"/>
    </xf>
    <xf fontId="48" fillId="0" borderId="0" numFmtId="0" xfId="0" applyNumberFormat="1" applyFont="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NumberFormat="1" applyFont="1" applyFill="1" applyBorder="1">
      <alignment vertical="center"/>
    </xf>
    <xf fontId="0" fillId="0" borderId="0" numFmtId="49" xfId="0" applyNumberFormat="1" applyFont="1">
      <alignment vertical="top"/>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NumberFormat="1" applyFont="1" applyBorder="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NumberFormat="1"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NumberFormat="1" applyFont="1">
      <alignment vertical="center"/>
    </xf>
    <xf fontId="47"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49" fillId="0" borderId="0" numFmtId="0" xfId="0" applyNumberFormat="1" applyFont="1">
      <alignment vertical="center"/>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64" fillId="0" borderId="0" numFmtId="0" xfId="0" applyNumberFormat="1" applyFont="1">
      <alignment vertical="center" wrapText="1"/>
    </xf>
    <xf fontId="46" fillId="0" borderId="0" numFmtId="0" xfId="0" applyNumberFormat="1" applyFont="1">
      <alignment vertical="center" wrapText="1"/>
    </xf>
    <xf fontId="46" fillId="0" borderId="0" numFmtId="0" xfId="0" applyNumberFormat="1" applyFont="1">
      <alignment vertical="center" wrapText="1"/>
    </xf>
    <xf fontId="108" fillId="0" borderId="0" numFmtId="0" xfId="0" applyNumberFormat="1" applyFont="1">
      <alignment vertical="center"/>
    </xf>
    <xf fontId="41" fillId="0" borderId="0" numFmtId="0" xfId="0" applyNumberFormat="1" applyFont="1">
      <alignment vertical="center"/>
    </xf>
    <xf fontId="22" fillId="0" borderId="27" numFmtId="0" xfId="0" applyNumberFormat="1" applyFont="1" applyBorder="1">
      <alignment horizontal="left" indent="1" vertical="center"/>
    </xf>
    <xf fontId="67" fillId="0" borderId="0" numFmtId="0" xfId="0" applyNumberFormat="1" applyFont="1">
      <alignment vertical="center"/>
    </xf>
    <xf fontId="48" fillId="0" borderId="0" numFmtId="0" xfId="0" applyNumberFormat="1" applyFont="1">
      <alignment vertical="center"/>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22" fillId="0" borderId="0" numFmtId="0" xfId="0" applyNumberFormat="1" applyFont="1">
      <alignment vertical="center"/>
    </xf>
    <xf fontId="67" fillId="0" borderId="0" numFmtId="0" xfId="0" applyNumberFormat="1" applyFont="1">
      <alignment vertical="center"/>
    </xf>
    <xf fontId="31" fillId="0" borderId="0" numFmtId="0" xfId="0" applyNumberFormat="1" applyFont="1">
      <alignment vertical="center"/>
    </xf>
    <xf fontId="41" fillId="0" borderId="0" numFmtId="0" xfId="0" applyNumberFormat="1" applyFont="1">
      <alignment vertical="center"/>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NumberFormat="1" applyFont="1">
      <alignment vertical="center"/>
    </xf>
    <xf fontId="37" fillId="0" borderId="0" numFmtId="0" xfId="0" applyNumberFormat="1" applyFont="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NumberFormat="1" applyFont="1">
      <alignment vertical="center"/>
    </xf>
    <xf fontId="0" fillId="0" borderId="0" numFmtId="49" xfId="0" applyNumberFormat="1" applyFont="1">
      <alignment vertical="center"/>
    </xf>
    <xf fontId="0" fillId="0" borderId="12" numFmtId="0" xfId="0" applyNumberFormat="1" applyFont="1" applyBorder="1">
      <alignment horizontal="center" vertical="top"/>
    </xf>
    <xf fontId="22" fillId="0" borderId="12" numFmtId="0" xfId="0" applyNumberFormat="1" applyFont="1" applyBorder="1">
      <alignment horizontal="left" vertical="top" wrapText="1"/>
    </xf>
    <xf fontId="22" fillId="40" borderId="17" numFmtId="0" xfId="0" applyNumberFormat="1" applyFont="1" applyFill="1" applyBorder="1">
      <alignment horizontal="center" vertical="top" wrapText="1"/>
    </xf>
    <xf fontId="22" fillId="40" borderId="12" numFmtId="0" xfId="0" applyNumberFormat="1" applyFont="1" applyFill="1" applyBorder="1">
      <alignment horizontal="left" vertical="top" wrapText="1"/>
    </xf>
    <xf fontId="0" fillId="0" borderId="12" numFmtId="0" xfId="0" applyNumberFormat="1"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40" borderId="12" numFmtId="0" xfId="0" applyNumberFormat="1" applyFont="1" applyFill="1" applyBorder="1">
      <alignment horizontal="left" vertical="center" wrapText="1"/>
      <protection locked="0"/>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0" xfId="0" applyNumberFormat="1" applyFont="1">
      <alignment horizontal="left" indent="1" vertical="center"/>
    </xf>
    <xf fontId="0"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center" vertical="top" wrapText="1"/>
    </xf>
    <xf fontId="22" fillId="40" borderId="36"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protection locked="0"/>
    </xf>
    <xf fontId="22" fillId="40" borderId="23"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NumberFormat="1" applyFont="1" applyFill="1" applyBorder="1">
      <alignment horizontal="center" vertical="top" wrapText="1"/>
    </xf>
    <xf fontId="0" fillId="40" borderId="12" numFmtId="49" xfId="0" applyNumberFormat="1" applyFont="1" applyFill="1" applyBorder="1">
      <alignment horizontal="left" vertical="top"/>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22" fillId="39" borderId="12" numFmtId="0" xfId="0" applyNumberFormat="1"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NumberFormat="1" applyFont="1">
      <alignment vertical="center"/>
    </xf>
    <xf fontId="22" fillId="39" borderId="12" numFmtId="0" xfId="0" applyNumberFormat="1" applyFont="1" applyFill="1" applyBorder="1">
      <alignment horizontal="left" vertical="top" wrapText="1"/>
      <protection locked="0"/>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39" borderId="12" numFmtId="0" xfId="0" applyNumberFormat="1" applyFont="1" applyFill="1" applyBorder="1">
      <alignment horizontal="left" vertical="top"/>
      <protection locked="0"/>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0" fillId="0" borderId="0" numFmtId="0" xfId="0" applyNumberFormat="1" applyFont="1">
      <alignment vertical="center"/>
    </xf>
    <xf fontId="0" fillId="0" borderId="22" numFmtId="0" xfId="0" applyNumberFormat="1" applyFont="1" applyBorder="1">
      <alignment horizontal="center" vertical="center"/>
    </xf>
    <xf fontId="0" fillId="0" borderId="0" numFmtId="0" xfId="0" applyNumberFormat="1"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vertical="center"/>
    </xf>
    <xf fontId="0" fillId="0" borderId="17" numFmtId="0" xfId="0" applyNumberFormat="1" applyFont="1" applyBorder="1">
      <alignment horizontal="center" vertical="top"/>
    </xf>
    <xf fontId="22" fillId="0" borderId="17" numFmtId="0" xfId="0" applyNumberFormat="1" applyFont="1" applyBorder="1">
      <alignment horizontal="left" vertical="top" wrapText="1"/>
    </xf>
    <xf fontId="0" fillId="0" borderId="0" numFmtId="0" xfId="0" applyNumberFormat="1" applyFont="1">
      <alignment vertical="center"/>
    </xf>
    <xf fontId="0" fillId="0" borderId="36" numFmtId="0" xfId="0" applyNumberFormat="1" applyFont="1" applyBorder="1">
      <alignment horizontal="center" vertical="top"/>
    </xf>
    <xf fontId="22" fillId="0" borderId="36" numFmtId="0" xfId="0" applyNumberFormat="1" applyFont="1" applyBorder="1">
      <alignment horizontal="left" vertical="top" wrapText="1"/>
    </xf>
    <xf fontId="0" fillId="0" borderId="23" numFmtId="0" xfId="0" applyNumberFormat="1" applyFont="1" applyBorder="1">
      <alignment horizontal="center" vertical="top"/>
    </xf>
    <xf fontId="22" fillId="0" borderId="23" numFmtId="0" xfId="0" applyNumberFormat="1"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0" fillId="0" borderId="0" numFmtId="0" xfId="0" applyNumberFormat="1" applyFont="1">
      <alignment horizontal="left" vertical="top" wrapText="1"/>
    </xf>
    <xf fontId="0" fillId="0" borderId="0" numFmtId="0" xfId="0" applyNumberFormat="1" applyFont="1">
      <alignment vertical="top" wrapText="1"/>
    </xf>
    <xf fontId="0" fillId="0" borderId="0" numFmtId="0" xfId="0" applyNumberFormat="1" applyFont="1">
      <alignment vertical="center"/>
    </xf>
    <xf fontId="0" fillId="0" borderId="0" numFmtId="0" xfId="0" applyNumberFormat="1"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8" fillId="0" borderId="0" numFmtId="0" xfId="0" applyNumberFormat="1" applyFont="1">
      <alignment vertical="center"/>
    </xf>
    <xf fontId="0" fillId="0" borderId="0" numFmtId="0" xfId="0" applyNumberFormat="1" applyFont="1">
      <alignment vertical="center"/>
    </xf>
    <xf fontId="48" fillId="0" borderId="0" numFmtId="49" xfId="0" applyNumberFormat="1" applyFont="1">
      <alignment vertical="top"/>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32" fillId="0" borderId="0" numFmtId="0" xfId="0" applyNumberFormat="1" applyFont="1">
      <alignment vertical="center" wrapText="1"/>
    </xf>
    <xf fontId="22" fillId="0" borderId="0" numFmtId="0" xfId="0" applyNumberFormat="1" applyFont="1">
      <alignment vertical="center" wrapText="1"/>
    </xf>
    <xf fontId="37" fillId="0" borderId="0" numFmtId="0" xfId="0" applyNumberFormat="1" applyFont="1">
      <alignment horizontal="center" vertical="center" wrapText="1"/>
    </xf>
    <xf fontId="22" fillId="0" borderId="19" numFmtId="0" xfId="0" applyNumberFormat="1" applyFont="1" applyBorder="1">
      <alignment horizontal="left" indent="1" vertical="center" wrapText="1"/>
    </xf>
    <xf fontId="46" fillId="0" borderId="0" numFmtId="0" xfId="0" applyNumberFormat="1" applyFont="1">
      <alignment horizontal="left" indent="1" vertical="center" wrapText="1"/>
    </xf>
    <xf fontId="42" fillId="0" borderId="0" numFmtId="0" xfId="0" applyNumberFormat="1" applyFont="1">
      <alignment vertical="center"/>
    </xf>
    <xf fontId="113" fillId="0" borderId="0" numFmtId="0" xfId="0" applyNumberFormat="1" applyFont="1">
      <alignment vertical="center" wrapText="1"/>
    </xf>
    <xf fontId="114" fillId="0" borderId="0" numFmtId="0" xfId="0" applyNumberFormat="1" applyFont="1">
      <alignment vertical="center" wrapText="1"/>
    </xf>
    <xf fontId="22" fillId="0" borderId="0" numFmtId="0" xfId="0" applyNumberFormat="1" applyFont="1">
      <alignment vertical="center" wrapText="1"/>
    </xf>
    <xf fontId="22" fillId="0" borderId="27" numFmtId="0" xfId="0" applyNumberFormat="1" applyFont="1" applyBorder="1">
      <alignment horizontal="left" indent="1" vertical="center" wrapText="1"/>
    </xf>
    <xf fontId="42" fillId="0" borderId="0" numFmtId="0" xfId="0" applyNumberFormat="1" applyFont="1">
      <alignment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NumberFormat="1" applyFont="1">
      <alignment horizontal="center" vertical="center"/>
    </xf>
    <xf fontId="22"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NumberFormat="1" applyFont="1">
      <alignment vertical="center"/>
    </xf>
    <xf fontId="40" fillId="0" borderId="22"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37" numFmtId="0" xfId="0" applyNumberFormat="1"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0" numFmtId="0" xfId="0" applyNumberFormat="1" applyFont="1">
      <alignment horizontal="left" vertical="center" wrapText="1"/>
    </xf>
    <xf fontId="22" fillId="0" borderId="14" numFmtId="0" xfId="0" applyNumberFormat="1" applyFont="1" applyBorder="1">
      <alignment horizontal="left" vertical="center" wrapText="1"/>
    </xf>
    <xf fontId="32" fillId="0" borderId="0" numFmtId="49" xfId="0" applyNumberFormat="1" applyFont="1">
      <alignment vertical="top"/>
    </xf>
    <xf fontId="22" fillId="35" borderId="0" numFmtId="0" xfId="0" applyNumberFormat="1" applyFont="1" applyFill="1"/>
    <xf fontId="0" fillId="35" borderId="0" numFmtId="0" xfId="0" applyNumberFormat="1" applyFont="1" applyFill="1"/>
    <xf fontId="61" fillId="35" borderId="0" numFmtId="0" xfId="0" applyNumberFormat="1" applyFont="1" applyFill="1"/>
    <xf fontId="48" fillId="35" borderId="0" numFmtId="0" xfId="0" applyNumberFormat="1" applyFont="1" applyFill="1"/>
    <xf fontId="61" fillId="35" borderId="0" numFmtId="0" xfId="0" applyNumberFormat="1" applyFont="1" applyFill="1">
      <alignment horizontal="center"/>
    </xf>
    <xf fontId="90" fillId="0" borderId="0" numFmtId="0" xfId="0" applyNumberFormat="1" applyFont="1">
      <alignment vertical="center"/>
    </xf>
    <xf fontId="89" fillId="0" borderId="0" numFmtId="0" xfId="0" applyNumberFormat="1" applyFont="1">
      <alignment vertical="center"/>
    </xf>
    <xf fontId="73" fillId="35" borderId="0" numFmtId="0" xfId="0" applyNumberFormat="1" applyFont="1" applyFill="1">
      <alignment horizontal="right" vertical="center"/>
    </xf>
    <xf fontId="22" fillId="35" borderId="0" numFmtId="0" xfId="0" applyNumberFormat="1" applyFont="1" applyFill="1">
      <alignment vertical="center" wrapText="1"/>
    </xf>
    <xf fontId="48" fillId="35" borderId="0" numFmtId="0" xfId="0" applyNumberFormat="1" applyFont="1" applyFill="1">
      <alignment vertical="center" wrapText="1"/>
    </xf>
    <xf fontId="22" fillId="35" borderId="0" numFmtId="0" xfId="0" applyNumberFormat="1" applyFont="1" applyFill="1">
      <alignment horizontal="center" vertical="center" wrapText="1"/>
    </xf>
    <xf fontId="93" fillId="35" borderId="0" numFmtId="0" xfId="0" applyNumberFormat="1"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36" fillId="35" borderId="0" numFmtId="0" xfId="0" applyNumberFormat="1" applyFont="1" applyFill="1">
      <alignment horizontal="center" vertical="center"/>
    </xf>
    <xf fontId="48" fillId="0" borderId="12" numFmtId="49" xfId="0" applyNumberFormat="1" applyFont="1" applyBorder="1">
      <alignment horizontal="center" vertical="center"/>
    </xf>
    <xf fontId="48" fillId="0" borderId="12" numFmtId="0" xfId="0" applyNumberFormat="1" applyFont="1" applyBorder="1">
      <alignment vertical="center" wrapText="1"/>
    </xf>
    <xf fontId="48" fillId="0" borderId="12" numFmtId="0" xfId="0" applyNumberFormat="1" applyFont="1" applyBorder="1">
      <alignment horizontal="left" vertical="center" wrapText="1"/>
    </xf>
    <xf fontId="65" fillId="35" borderId="0" numFmtId="0" xfId="0" applyNumberFormat="1" applyFont="1" applyFill="1"/>
    <xf fontId="0" fillId="35" borderId="12" numFmtId="49" xfId="0" applyNumberFormat="1" applyFont="1" applyFill="1" applyBorder="1">
      <alignment horizontal="center" vertical="center"/>
    </xf>
    <xf fontId="0" fillId="35" borderId="12" numFmtId="0" xfId="0" applyNumberFormat="1" applyFont="1" applyFill="1" applyBorder="1">
      <alignment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vertical="center" wrapText="1"/>
    </xf>
    <xf fontId="0" fillId="35" borderId="12" numFmtId="0" xfId="0" applyNumberFormat="1"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NumberFormat="1"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NumberFormat="1" applyFont="1" applyFill="1" applyBorder="1">
      <alignment horizontal="center" vertical="center" wrapText="1"/>
    </xf>
    <xf fontId="90" fillId="0" borderId="0" numFmtId="0" xfId="0" applyNumberFormat="1" applyFont="1">
      <alignment vertical="center" wrapText="1"/>
    </xf>
    <xf fontId="0" fillId="35" borderId="12" numFmtId="0" xfId="0" applyNumberFormat="1" applyFont="1" applyFill="1" applyBorder="1">
      <alignment horizontal="center" vertical="center"/>
    </xf>
    <xf fontId="0" fillId="35" borderId="12" numFmtId="0" xfId="0" applyNumberFormat="1" applyFont="1" applyFill="1" applyBorder="1">
      <alignment horizontal="left" indent="2" vertical="center" wrapText="1"/>
    </xf>
    <xf fontId="0" fillId="0" borderId="12" numFmtId="49" xfId="0" applyNumberFormat="1" applyFont="1" applyBorder="1">
      <alignment horizontal="left" vertical="center" wrapText="1"/>
    </xf>
    <xf fontId="0" fillId="0" borderId="12" numFmtId="504" xfId="0" applyNumberFormat="1" applyFont="1" applyBorder="1">
      <alignment horizontal="left" indent="1" vertical="center" wrapText="1"/>
    </xf>
    <xf fontId="22" fillId="35" borderId="0" numFmtId="49" xfId="0" applyNumberFormat="1" applyFont="1" applyFill="1">
      <alignment vertical="center" wrapText="1"/>
    </xf>
    <xf fontId="22" fillId="35" borderId="24" numFmtId="0" xfId="0" applyNumberFormat="1" applyFont="1" applyFill="1" applyBorder="1">
      <alignment vertical="center" wrapText="1"/>
    </xf>
    <xf fontId="22" fillId="37" borderId="14" numFmtId="0" xfId="0" applyNumberFormat="1" applyFont="1" applyFill="1" applyBorder="1">
      <alignment horizontal="center"/>
    </xf>
    <xf fontId="40" fillId="37" borderId="15" numFmtId="49" xfId="0" applyNumberFormat="1" applyFont="1" applyFill="1" applyBorder="1">
      <alignment horizontal="left" indent="1" vertic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48" fillId="35" borderId="12" numFmtId="49" xfId="0" applyNumberFormat="1" applyFont="1" applyFill="1" applyBorder="1">
      <alignment horizontal="center" vertical="center"/>
    </xf>
    <xf fontId="48" fillId="35" borderId="12" numFmtId="0" xfId="0" applyNumberFormat="1" applyFont="1" applyFill="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1"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NumberFormat="1"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NumberFormat="1" applyFont="1" applyFill="1" applyBorder="1">
      <alignment horizontal="left" vertical="center" wrapText="1"/>
    </xf>
    <xf fontId="22" fillId="35" borderId="17" numFmtId="0" xfId="0" applyNumberFormat="1"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NumberFormat="1" applyFont="1" applyFill="1" applyBorder="1">
      <alignment horizontal="left" vertical="top" wrapText="1"/>
    </xf>
    <xf fontId="37" fillId="35" borderId="0" numFmtId="0" xfId="0" applyNumberFormat="1"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NumberFormat="1" applyFont="1" applyFill="1" applyBorder="1">
      <alignment horizontal="left" vertical="top" wrapText="1"/>
    </xf>
    <xf fontId="52" fillId="35" borderId="0" numFmtId="0" xfId="0" applyNumberFormat="1"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NumberFormat="1"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NumberFormat="1" applyFont="1" applyFill="1" applyBorder="1">
      <alignment vertical="top" wrapText="1"/>
    </xf>
    <xf fontId="22" fillId="35" borderId="0" numFmtId="49" xfId="0" applyNumberFormat="1" applyFont="1" applyFill="1">
      <alignment horizontal="center" vertical="center" wrapText="1"/>
    </xf>
    <xf fontId="0" fillId="35" borderId="14" numFmtId="0" xfId="0" applyNumberFormat="1" applyFont="1" applyFill="1" applyBorder="1">
      <alignment horizontal="left" vertical="center" wrapText="1"/>
    </xf>
    <xf fontId="0" fillId="35" borderId="23" numFmtId="0" xfId="0" applyNumberFormat="1" applyFont="1" applyFill="1" applyBorder="1">
      <alignment vertical="center" wrapText="1"/>
    </xf>
    <xf fontId="76" fillId="35" borderId="0" numFmtId="0" xfId="0" applyNumberFormat="1" applyFont="1" applyFill="1"/>
    <xf fontId="22" fillId="0" borderId="0" numFmtId="0" xfId="0" applyNumberFormat="1" applyFont="1">
      <alignment vertical="top" wrapText="1"/>
    </xf>
    <xf fontId="48" fillId="0" borderId="0" numFmtId="0" xfId="0" applyNumberFormat="1" applyFont="1">
      <alignment vertical="center" wrapText="1"/>
    </xf>
    <xf fontId="45" fillId="0" borderId="0" numFmtId="0" xfId="0" applyNumberFormat="1" applyFont="1">
      <alignment horizontal="right" vertical="top" wrapText="1"/>
    </xf>
    <xf fontId="45" fillId="0" borderId="0" numFmtId="0" xfId="0" applyNumberFormat="1" applyFont="1">
      <alignment horizontal="left" indent="1" vertical="top" wrapText="1"/>
    </xf>
    <xf fontId="45" fillId="0" borderId="0" numFmtId="0" xfId="0" applyNumberFormat="1" applyFont="1">
      <alignment vertical="center" wrapText="1"/>
    </xf>
    <xf fontId="75" fillId="35" borderId="0" numFmtId="0" xfId="0" applyNumberFormat="1" applyFont="1" applyFill="1">
      <alignment horizontal="center"/>
    </xf>
    <xf fontId="75" fillId="35" borderId="0" numFmtId="0" xfId="0" applyNumberFormat="1" applyFont="1" applyFill="1"/>
    <xf fontId="77" fillId="35" borderId="0" numFmtId="0" xfId="0" applyNumberFormat="1" applyFont="1" applyFill="1">
      <alignment horizontal="right" vertical="center"/>
    </xf>
    <xf fontId="78" fillId="35" borderId="0" numFmtId="0" xfId="0" applyNumberFormat="1" applyFont="1" applyFill="1">
      <alignment vertical="center"/>
    </xf>
    <xf fontId="77" fillId="35" borderId="0" numFmtId="0" xfId="0" applyNumberFormat="1" applyFont="1" applyFill="1">
      <alignment horizontal="right" vertical="top"/>
    </xf>
    <xf fontId="78" fillId="35" borderId="0" numFmtId="0" xfId="0" applyNumberFormat="1" applyFont="1" applyFill="1">
      <alignment vertical="center" wrapText="1"/>
    </xf>
    <xf fontId="0" fillId="35" borderId="0" numFmtId="0" xfId="0" applyNumberFormat="1" applyFont="1" applyFill="1">
      <alignment horizontal="center"/>
    </xf>
    <xf fontId="47"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46" fillId="0" borderId="0" numFmtId="0" xfId="0" applyNumberFormat="1" applyFont="1">
      <alignment horizontal="left" indent="3" vertical="center" wrapText="1"/>
    </xf>
    <xf fontId="64" fillId="0" borderId="0" numFmtId="0" xfId="0" applyNumberFormat="1" applyFont="1">
      <alignment horizontal="center" vertical="center" wrapText="1"/>
    </xf>
    <xf fontId="64" fillId="0" borderId="0" numFmtId="0" xfId="0" applyNumberFormat="1" applyFont="1">
      <alignment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58" fillId="0" borderId="0" numFmtId="0" xfId="0" applyNumberFormat="1" applyFont="1">
      <alignment vertical="center" wrapText="1"/>
    </xf>
    <xf fontId="79" fillId="35" borderId="0" numFmtId="0" xfId="0" applyNumberFormat="1" applyFont="1" applyFill="1">
      <alignment horizontal="center" vertical="center" wrapText="1"/>
    </xf>
    <xf fontId="60" fillId="0" borderId="0" numFmtId="0" xfId="0" applyNumberFormat="1" applyFont="1">
      <alignment horizontal="left" indent="1" vertical="center" wrapText="1"/>
    </xf>
    <xf fontId="22" fillId="0" borderId="0" numFmtId="0" xfId="0" applyNumberFormat="1" applyFont="1">
      <alignment horizontal="right" vertical="center"/>
    </xf>
    <xf fontId="48" fillId="0" borderId="0" numFmtId="0" xfId="0" applyNumberFormat="1" applyFont="1">
      <alignment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0" numFmtId="0" xfId="0" applyNumberFormat="1" applyFont="1" applyFill="1">
      <alignment horizontal="center" vertical="center" wrapText="1"/>
    </xf>
    <xf fontId="36" fillId="35" borderId="0" numFmtId="49" xfId="0" applyNumberFormat="1" applyFont="1" applyFill="1">
      <alignment horizontal="center" vertical="center" wrapText="1"/>
    </xf>
    <xf fontId="72" fillId="0" borderId="0" numFmtId="0" xfId="0" applyNumberFormat="1" applyFont="1">
      <alignmen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NumberFormat="1"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NumberFormat="1" applyFont="1" applyBorder="1">
      <alignment horizontal="left" vertical="top" wrapText="1"/>
    </xf>
    <xf fontId="50" fillId="37" borderId="14" numFmtId="49" xfId="0" applyNumberFormat="1" applyFont="1" applyFill="1" applyBorder="1">
      <alignment horizontal="center" vertical="center"/>
    </xf>
    <xf fontId="40" fillId="37" borderId="15" numFmtId="0" xfId="0" applyNumberFormat="1"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NumberFormat="1" applyFont="1" applyBorder="1">
      <alignment horizontal="left" vertical="top"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0" fillId="0" borderId="37"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22" fillId="0" borderId="0" numFmtId="0" xfId="0" applyNumberFormat="1" applyFont="1">
      <alignment vertical="center" wrapText="1"/>
    </xf>
    <xf fontId="0" fillId="0" borderId="30" numFmtId="49" xfId="0" applyNumberFormat="1" applyFont="1" applyBorder="1">
      <alignment horizontal="center" vertical="center" wrapText="1"/>
    </xf>
    <xf fontId="22" fillId="40" borderId="27" numFmtId="0" xfId="0" applyNumberFormat="1" applyFont="1" applyFill="1" applyBorder="1">
      <alignment horizontal="left" vertical="center" wrapText="1"/>
    </xf>
    <xf fontId="48" fillId="0" borderId="0" numFmtId="0" xfId="0" applyNumberFormat="1" applyFont="1">
      <alignment vertical="center" wrapText="1"/>
    </xf>
    <xf fontId="37" fillId="35" borderId="0" numFmtId="0" xfId="0" applyNumberFormat="1" applyFont="1" applyFill="1">
      <alignment horizontal="center" vertical="center" wrapText="1"/>
    </xf>
    <xf fontId="22" fillId="0" borderId="19" numFmtId="0" xfId="0" applyNumberFormat="1" applyFont="1" applyBorder="1">
      <alignment horizontal="left" indent="1" vertical="top" wrapText="1"/>
    </xf>
    <xf fontId="64" fillId="0" borderId="0" numFmtId="0" xfId="0" applyNumberFormat="1" applyFont="1">
      <alignment vertical="center" wrapText="1"/>
    </xf>
    <xf fontId="58" fillId="0" borderId="0" numFmtId="0" xfId="0" applyNumberFormat="1" applyFont="1">
      <alignment vertical="center" wrapText="1"/>
    </xf>
    <xf fontId="22" fillId="0" borderId="23" numFmtId="0"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6" fillId="0" borderId="0" numFmtId="0" xfId="0" applyNumberFormat="1" applyFont="1">
      <alignment horizontal="center" vertical="center" wrapText="1"/>
    </xf>
    <xf fontId="60" fillId="0" borderId="0" numFmtId="4" xfId="0" applyNumberFormat="1" applyFont="1">
      <alignment horizontal="right"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NumberFormat="1"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NumberFormat="1" applyFont="1" applyBorder="1">
      <alignment horizontal="left" vertical="top"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37" fillId="35" borderId="0" numFmtId="0" xfId="0" applyNumberFormat="1" applyFont="1" applyFill="1">
      <alignment vertical="top" wrapText="1"/>
    </xf>
    <xf fontId="48" fillId="35" borderId="23" numFmtId="0" xfId="0" applyNumberFormat="1"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NumberFormat="1" applyFont="1">
      <alignment horizontal="center" vertical="center" wrapText="1"/>
    </xf>
    <xf fontId="45" fillId="0" borderId="0" numFmtId="0" xfId="0" applyNumberFormat="1" applyFont="1">
      <alignment vertical="top" wrapText="1"/>
    </xf>
    <xf fontId="22" fillId="0" borderId="0" numFmtId="0" xfId="0" applyNumberFormat="1" applyFont="1">
      <alignment horizontal="right" vertical="top" wrapText="1"/>
    </xf>
    <xf fontId="45" fillId="0" borderId="0" numFmtId="0" xfId="0" applyNumberFormat="1" applyFont="1">
      <alignment vertical="top"/>
    </xf>
    <xf fontId="2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horizontal="left" indent="1" vertical="center"/>
    </xf>
    <xf fontId="47" fillId="0" borderId="12" numFmtId="0" xfId="0" applyNumberFormat="1" applyFont="1" applyBorder="1">
      <alignment horizontal="center" vertical="center"/>
    </xf>
    <xf fontId="47" fillId="0" borderId="0" numFmtId="0" xfId="0" applyNumberFormat="1" applyFont="1">
      <alignment horizontal="center" vertical="center"/>
    </xf>
    <xf fontId="47"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2" numFmtId="0" xfId="0" applyNumberFormat="1" applyFont="1" applyBorder="1">
      <alignment horizontal="left" indent="6"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45" fillId="0" borderId="12" numFmtId="0" xfId="0" applyNumberFormat="1" applyFont="1" applyBorder="1">
      <alignment vertical="top" wrapText="1"/>
    </xf>
    <xf fontId="47" fillId="0" borderId="14" numFmtId="0" xfId="0" applyNumberFormat="1" applyFont="1" applyBorder="1">
      <alignment horizontal="center" vertical="center"/>
    </xf>
    <xf fontId="22" fillId="0" borderId="0" numFmtId="0" xfId="0" applyNumberFormat="1" applyFont="1">
      <alignment horizontal="center"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22" fillId="35" borderId="12" numFmtId="0" xfId="0" applyNumberFormat="1" applyFont="1" applyFill="1" applyBorder="1">
      <alignment horizontal="left" indent="1" vertical="center" wrapText="1"/>
    </xf>
    <xf fontId="37" fillId="0" borderId="0" numFmtId="0" xfId="0" applyNumberFormat="1" applyFont="1">
      <alignment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47" fillId="0" borderId="12" numFmtId="0" xfId="0" applyNumberFormat="1" applyFont="1" applyBorder="1">
      <alignment horizontal="center" vertical="center" wrapText="1"/>
    </xf>
    <xf fontId="47"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24" numFmtId="0"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47" fillId="0" borderId="14" numFmtId="0" xfId="0" applyNumberFormat="1" applyFont="1" applyBorder="1">
      <alignment horizontal="center" vertical="center" wrapText="1"/>
    </xf>
    <xf fontId="48" fillId="0" borderId="24" numFmtId="0" xfId="0" applyNumberFormat="1" applyFont="1" applyBorder="1">
      <alignment vertical="center" wrapText="1"/>
    </xf>
    <xf fontId="22" fillId="35" borderId="12" numFmtId="0" xfId="0" applyNumberFormat="1" applyFont="1" applyFill="1" applyBorder="1">
      <alignment horizontal="left" indent="5" vertical="center" wrapText="1"/>
    </xf>
    <xf fontId="22" fillId="40" borderId="12" numFmtId="0" xfId="0" applyNumberFormat="1"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502" xfId="0" applyNumberFormat="1" applyFont="1" applyFill="1" applyBorder="1">
      <alignment horizontal="right" vertical="center" wrapText="1"/>
      <protection locked="0"/>
    </xf>
    <xf fontId="0" fillId="39" borderId="12" numFmtId="504"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502" xfId="0" applyNumberFormat="1" applyFont="1" applyFill="1" applyBorder="1">
      <alignment horizontal="right" vertical="center" wrapText="1"/>
      <protection locked="0"/>
    </xf>
    <xf fontId="0" fillId="39" borderId="12" numFmtId="504" xfId="0" applyNumberFormat="1" applyFont="1" applyFill="1" applyBorder="1">
      <alignment horizontal="center" vertical="center" wrapText="1"/>
      <protection locked="0"/>
    </xf>
    <xf fontId="45" fillId="0" borderId="17" numFmtId="0" xfId="0" applyNumberFormat="1"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NumberFormat="1"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3" numFmtId="49" xfId="0" applyNumberFormat="1" applyFont="1" applyFill="1" applyBorder="1">
      <alignment horizontal="center" vertical="center" wrapText="1"/>
    </xf>
    <xf fontId="45" fillId="0" borderId="23" numFmtId="0" xfId="0" applyNumberFormat="1"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0" xfId="0" applyNumberFormat="1" applyFont="1">
      <alignment horizontal="left" vertical="center" wrapText="1"/>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19" numFmtId="49" xfId="0" applyNumberFormat="1" applyFont="1" applyBorder="1">
      <alignment horizontal="center" vertical="center" wrapText="1"/>
    </xf>
    <xf fontId="48" fillId="0" borderId="0" numFmtId="0" xfId="0" applyNumberFormat="1"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502" xfId="0" applyNumberFormat="1" applyFont="1" applyBorder="1">
      <alignment horizontal="right" vertical="center" wrapText="1"/>
    </xf>
    <xf fontId="47" fillId="0" borderId="12" numFmtId="504"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NumberFormat="1" applyFont="1">
      <alignment vertical="center" wrapText="1"/>
    </xf>
    <xf fontId="47" fillId="0" borderId="0" numFmtId="0" xfId="0" applyNumberFormat="1" applyFont="1">
      <alignment horizontal="left" vertical="center" wrapText="1"/>
    </xf>
    <xf fontId="47" fillId="0" borderId="0" numFmtId="0" xfId="0" applyNumberFormat="1" applyFont="1">
      <alignment vertical="center" wrapText="1"/>
    </xf>
    <xf fontId="47" fillId="0" borderId="12" numFmtId="49" xfId="0" applyNumberFormat="1" applyFont="1" applyBorder="1">
      <alignment vertical="center" wrapText="1"/>
    </xf>
    <xf fontId="47" fillId="0" borderId="0" numFmtId="0" xfId="0" applyNumberFormat="1" applyFont="1">
      <alignment vertical="center" wrapText="1"/>
    </xf>
    <xf fontId="47" fillId="0" borderId="0" numFmtId="0" xfId="0" applyNumberFormat="1" applyFont="1">
      <alignment vertical="center"/>
    </xf>
    <xf fontId="39" fillId="35" borderId="0" numFmtId="0" xfId="0" applyNumberFormat="1" applyFont="1" applyFill="1">
      <alignment vertical="center" wrapText="1"/>
    </xf>
    <xf fontId="22" fillId="35" borderId="0" numFmtId="0" xfId="0" applyNumberFormat="1" applyFont="1" applyFill="1">
      <alignment horizontal="left" vertical="center" wrapText="1"/>
    </xf>
    <xf fontId="22" fillId="35" borderId="0" numFmtId="0" xfId="0" applyNumberFormat="1" applyFont="1" applyFill="1">
      <alignment vertical="center" wrapText="1"/>
    </xf>
    <xf fontId="22" fillId="0" borderId="19" numFmtId="0" xfId="0" applyNumberFormat="1" applyFont="1" applyBorder="1">
      <alignment horizontal="left" indent="1" vertical="top" wrapText="1"/>
    </xf>
    <xf fontId="46" fillId="0" borderId="0" numFmtId="0" xfId="0" applyNumberFormat="1" applyFont="1">
      <alignment vertical="center" wrapText="1"/>
    </xf>
    <xf fontId="22" fillId="0" borderId="19" numFmtId="0" xfId="0" applyNumberFormat="1" applyFont="1" applyBorder="1">
      <alignment horizontal="left" indent="1" vertical="top" wrapText="1"/>
    </xf>
    <xf fontId="22" fillId="0" borderId="27" numFmtId="0" xfId="0" applyNumberFormat="1" applyFont="1" applyBorder="1">
      <alignment horizontal="left" indent="1" vertical="center" wrapText="1"/>
    </xf>
    <xf fontId="22" fillId="0" borderId="27" numFmtId="0" xfId="0" applyNumberFormat="1" applyFont="1" applyBorder="1">
      <alignment horizontal="left" indent="1" vertical="center" wrapText="1"/>
    </xf>
    <xf fontId="50" fillId="35" borderId="0" numFmtId="0" xfId="0" applyNumberFormat="1" applyFont="1" applyFill="1">
      <alignment horizontal="center" vertical="center" wrapText="1"/>
    </xf>
    <xf fontId="50" fillId="35" borderId="0" numFmtId="0" xfId="0" applyNumberFormat="1" applyFont="1" applyFill="1">
      <alignment horizontal="center" vertical="center" wrapText="1"/>
    </xf>
    <xf fontId="47" fillId="0" borderId="0" numFmtId="0" xfId="0" applyNumberFormat="1" applyFont="1">
      <alignment vertical="center"/>
    </xf>
    <xf fontId="47" fillId="0" borderId="0" numFmtId="0" xfId="0" applyNumberFormat="1" applyFont="1">
      <alignment horizontal="center" vertical="center"/>
    </xf>
    <xf fontId="0" fillId="35" borderId="12" numFmtId="0" xfId="0" applyNumberFormat="1" applyFont="1" applyFill="1" applyBorder="1">
      <alignment horizontal="right" indent="1" vertical="center" wrapText="1"/>
    </xf>
    <xf fontId="0" fillId="0" borderId="15" numFmtId="0" xfId="0" applyNumberFormat="1" applyFont="1" applyBorder="1">
      <alignment vertical="center"/>
    </xf>
    <xf fontId="22" fillId="34" borderId="12" numFmtId="0" xfId="0" applyNumberFormat="1" applyFont="1" applyFill="1" applyBorder="1">
      <alignment horizontal="left" indent="1" vertical="center" wrapText="1"/>
    </xf>
    <xf fontId="22" fillId="0" borderId="0" numFmtId="0" xfId="0" applyNumberFormat="1" applyFont="1">
      <alignment vertical="center" wrapText="1"/>
    </xf>
    <xf fontId="22" fillId="34" borderId="12" numFmtId="0" xfId="0" applyNumberFormat="1" applyFont="1" applyFill="1" applyBorder="1">
      <alignment horizontal="left" indent="1" vertical="center" wrapText="1"/>
    </xf>
    <xf fontId="6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34" borderId="12" numFmtId="504" xfId="0" applyNumberFormat="1" applyFont="1" applyFill="1" applyBorder="1">
      <alignment horizontal="left" indent="1" vertical="center" wrapText="1"/>
    </xf>
    <xf fontId="22" fillId="34" borderId="12" numFmtId="504"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wrapText="1"/>
    </xf>
    <xf fontId="48" fillId="0" borderId="0" numFmtId="0" xfId="0" applyNumberFormat="1" applyFont="1">
      <alignment vertical="center" wrapText="1"/>
    </xf>
    <xf fontId="22" fillId="35" borderId="27" numFmtId="0" xfId="0" applyNumberFormat="1" applyFont="1" applyFill="1" applyBorder="1">
      <alignment vertical="center" wrapText="1"/>
    </xf>
    <xf fontId="37" fillId="0" borderId="27" numFmtId="0" xfId="0" applyNumberFormat="1" applyFont="1" applyBorder="1">
      <alignment horizontal="center" vertical="center" wrapText="1"/>
    </xf>
    <xf fontId="37" fillId="0" borderId="27"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7" numFmtId="0" xfId="0" applyNumberFormat="1" applyFont="1" applyBorder="1">
      <alignmen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NumberFormat="1" applyFont="1" applyBorder="1">
      <alignment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7"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0" fillId="37" borderId="36" numFmtId="49" xfId="0" applyNumberFormat="1" applyFont="1" applyFill="1" applyBorder="1">
      <alignment horizontal="center" textRotation="90" vertical="center" wrapText="1"/>
    </xf>
    <xf fontId="22" fillId="0" borderId="23" numFmtId="0" xfId="0" applyNumberFormat="1" applyFont="1" applyBorder="1">
      <alignment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107" fillId="35" borderId="0" numFmtId="0" xfId="0" applyNumberFormat="1"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7" numFmtId="504"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0" borderId="12" numFmtId="0" xfId="0" applyNumberFormat="1" applyFont="1" applyBorder="1">
      <alignment horizontal="center" vertical="center"/>
    </xf>
    <xf fontId="22"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4" numFmtId="0" xfId="0" applyNumberFormat="1" applyFont="1" applyBorder="1">
      <alignment horizontal="center" vertical="center"/>
    </xf>
    <xf fontId="22" fillId="0" borderId="0" numFmtId="0" xfId="0" applyNumberFormat="1" applyFont="1">
      <alignment horizontal="center" vertical="center" wrapText="1"/>
    </xf>
    <xf fontId="22" fillId="35"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48" fillId="0" borderId="0" numFmtId="0" xfId="0" applyNumberFormat="1" applyFont="1">
      <alignment vertical="center" wrapText="1"/>
    </xf>
    <xf fontId="22" fillId="0" borderId="12" numFmtId="49" xfId="0" applyNumberFormat="1" applyFont="1" applyBorder="1">
      <alignment horizontal="lef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0" xfId="0" applyNumberFormat="1" applyFont="1">
      <alignment vertical="center" wrapText="1"/>
    </xf>
    <xf fontId="48" fillId="0" borderId="0" numFmtId="0" xfId="0" applyNumberFormat="1" applyFont="1">
      <alignment vertical="center"/>
    </xf>
    <xf fontId="72" fillId="0" borderId="0" numFmtId="49" xfId="0" applyNumberFormat="1" applyFont="1">
      <alignment horizontal="left" vertical="center"/>
    </xf>
    <xf fontId="22" fillId="0" borderId="0" numFmtId="0" xfId="0" applyNumberFormat="1"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NumberFormat="1" applyFont="1">
      <alignment vertical="center"/>
    </xf>
    <xf fontId="22" fillId="0" borderId="0" numFmtId="0" xfId="0" applyNumberFormat="1" applyFont="1">
      <alignment horizontal="center" vertical="center"/>
    </xf>
    <xf fontId="22" fillId="0" borderId="0" numFmtId="0" xfId="0" applyNumberFormat="1" applyFont="1">
      <alignment horizontal="right" vertical="center" wrapText="1"/>
    </xf>
    <xf fontId="22" fillId="0" borderId="17" numFmtId="0" xfId="0" applyNumberFormat="1" applyFont="1" applyBorder="1">
      <alignmen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0" fillId="39" borderId="17" numFmtId="504" xfId="0" applyNumberFormat="1" applyFont="1" applyFill="1" applyBorder="1">
      <alignment horizontal="center" vertical="center" wrapText="1"/>
      <protection locked="0"/>
    </xf>
    <xf fontId="72" fillId="0" borderId="0" numFmtId="0" xfId="0" applyNumberFormat="1" applyFont="1">
      <alignment horizontal="left" indent="1" vertical="center"/>
    </xf>
    <xf fontId="72" fillId="0" borderId="0" numFmtId="0" xfId="0" applyNumberFormat="1" applyFont="1">
      <alignment horizontal="center" vertical="center"/>
    </xf>
    <xf fontId="22" fillId="0" borderId="0" numFmtId="0" xfId="0" applyNumberFormat="1" applyFont="1">
      <alignment horizontal="left" indent="1" vertical="center"/>
    </xf>
    <xf fontId="22" fillId="0" borderId="0" numFmtId="49" xfId="0" applyNumberFormat="1" applyFont="1">
      <alignment horizontal="left" vertical="center"/>
    </xf>
    <xf fontId="22" fillId="0" borderId="12" numFmtId="502" xfId="0" applyNumberFormat="1" applyFont="1" applyBorder="1">
      <alignment horizontal="right" vertical="center" wrapText="1"/>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48" fillId="0" borderId="12" numFmtId="0" xfId="0" applyNumberFormat="1" applyFont="1" applyBorder="1">
      <alignment vertical="center" wrapText="1"/>
    </xf>
    <xf fontId="48" fillId="0" borderId="23"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vertical="center"/>
    </xf>
    <xf fontId="80" fillId="35" borderId="0" numFmtId="0" xfId="0" applyNumberFormat="1" applyFont="1" applyFill="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NumberFormat="1" applyFont="1">
      <alignment horizontal="left" vertical="top" wrapText="1"/>
    </xf>
    <xf fontId="47" fillId="0" borderId="0" numFmtId="0" xfId="0" applyNumberFormat="1" applyFont="1">
      <alignment vertical="top" wrapText="1"/>
    </xf>
    <xf fontId="22" fillId="35" borderId="17" numFmtId="0" xfId="0" applyNumberFormat="1" applyFont="1" applyFill="1" applyBorder="1">
      <alignment horizontal="left" vertical="center"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5" borderId="12"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5" fillId="0" borderId="13" numFmtId="0" xfId="0" applyNumberFormat="1" applyFont="1" applyBorder="1">
      <alignment vertical="top"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3" numFmtId="0" xfId="0" applyNumberFormat="1" applyFont="1" applyBorder="1">
      <alignment vertical="top" wrapText="1"/>
    </xf>
    <xf fontId="22" fillId="40" borderId="12"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502" xfId="0" applyNumberFormat="1" applyFont="1" applyFill="1" applyBorder="1">
      <alignment horizontal="right" vertical="center" wrapText="1"/>
      <protection locked="0"/>
    </xf>
    <xf fontId="0" fillId="39" borderId="23" numFmtId="504"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0" borderId="0" numFmtId="0" xfId="0" applyNumberFormat="1" applyFont="1">
      <alignment horizontal="left" vertical="center" wrapText="1"/>
    </xf>
    <xf fontId="22" fillId="40" borderId="20" numFmtId="0" xfId="0" applyNumberFormat="1" applyFont="1" applyFill="1" applyBorder="1">
      <alignment horizontal="left" vertical="center" wrapText="1"/>
    </xf>
    <xf fontId="22" fillId="0" borderId="0" numFmtId="0" xfId="0" applyNumberFormat="1" applyFont="1">
      <alignment horizontal="center" vertical="center" wrapText="1"/>
    </xf>
    <xf fontId="22" fillId="36" borderId="14" numFmtId="502"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NumberFormat="1" applyFont="1" applyBorder="1">
      <alignment vertical="top" wrapText="1"/>
    </xf>
    <xf fontId="22" fillId="36" borderId="12" numFmtId="0" xfId="0" applyNumberFormat="1"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5"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48" fillId="0" borderId="12" numFmtId="0" xfId="0" applyNumberFormat="1" applyFont="1" applyBorder="1">
      <alignment horizontal="left" indent="5"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NumberFormat="1"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NumberFormat="1" applyFont="1" applyFill="1" applyBorder="1">
      <alignment horizontal="left" indent="1" vertical="center" wrapText="1"/>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NumberFormat="1"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502"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502"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NumberFormat="1"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24"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502" xfId="0" applyNumberFormat="1" applyFont="1" applyBorder="1">
      <alignment horizontal="right" vertical="center" wrapText="1"/>
    </xf>
    <xf fontId="48" fillId="0" borderId="12" numFmtId="504"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left" vertical="center"/>
    </xf>
    <xf fontId="47" fillId="0" borderId="0" numFmtId="49" xfId="0" applyNumberFormat="1" applyFont="1">
      <alignment horizontal="left" vertical="center"/>
    </xf>
    <xf fontId="69" fillId="0" borderId="0" numFmtId="0" xfId="0" applyNumberFormat="1" applyFont="1">
      <alignment horizontal="left" vertical="center"/>
    </xf>
    <xf fontId="47" fillId="0" borderId="0" numFmtId="0" xfId="0" applyNumberFormat="1" applyFont="1">
      <alignment horizontal="left" vertical="center"/>
    </xf>
    <xf fontId="48" fillId="0" borderId="0" numFmtId="0" xfId="0" applyNumberFormat="1" applyFont="1">
      <alignment horizontal="left" vertical="center"/>
    </xf>
    <xf fontId="69" fillId="35" borderId="0" numFmtId="0" xfId="0" applyNumberFormat="1" applyFont="1" applyFill="1">
      <alignment vertical="center" wrapText="1"/>
    </xf>
    <xf fontId="22" fillId="35" borderId="3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22" fillId="0" borderId="19" numFmtId="0" xfId="0" applyNumberFormat="1" applyFont="1" applyBorder="1">
      <alignment horizontal="center" vertical="center" wrapText="1"/>
    </xf>
    <xf fontId="22" fillId="35" borderId="22"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22" fillId="34" borderId="12" numFmtId="0" xfId="0" applyNumberFormat="1" applyFont="1" applyFill="1" applyBorder="1">
      <alignment horizontal="center" vertical="center" wrapText="1"/>
    </xf>
    <xf fontId="22" fillId="0" borderId="27"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NumberFormat="1"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NumberFormat="1" applyFont="1">
      <alignment horizontal="center" vertical="center"/>
    </xf>
    <xf fontId="47" fillId="0" borderId="0" numFmtId="0" xfId="0" applyNumberFormat="1" applyFont="1">
      <alignment horizontal="center" vertical="center" wrapText="1"/>
    </xf>
    <xf fontId="110" fillId="0" borderId="0" numFmtId="0" xfId="0" applyNumberFormat="1" applyFont="1">
      <alignment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34" borderId="15" numFmtId="0" xfId="0" applyNumberFormat="1" applyFont="1" applyFill="1" applyBorder="1">
      <alignment horizontal="left" vertical="center" wrapText="1"/>
    </xf>
    <xf fontId="47" fillId="0" borderId="0" numFmtId="0" xfId="0" applyNumberFormat="1" applyFont="1">
      <alignment horizontal="center" vertical="center" wrapText="1"/>
    </xf>
    <xf fontId="48" fillId="0" borderId="15" numFmtId="0" xfId="0" applyNumberFormat="1" applyFont="1" applyBorder="1">
      <alignment horizontal="left" vertical="center" wrapText="1"/>
    </xf>
    <xf fontId="22" fillId="0" borderId="12" numFmtId="0" xfId="0" applyNumberFormat="1" applyFont="1" applyBorder="1">
      <alignment horizontal="center"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37" fillId="0" borderId="27" numFmtId="0" xfId="0" applyNumberFormat="1" applyFont="1" applyBorder="1">
      <alignment horizontal="center" vertical="center" wrapText="1"/>
    </xf>
    <xf fontId="22" fillId="39" borderId="13"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8" fillId="0" borderId="0" numFmtId="0" xfId="0" applyNumberFormat="1"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NumberFormat="1" applyFont="1">
      <alignment horizontal="center" vertical="center"/>
    </xf>
    <xf fontId="48" fillId="0" borderId="0" numFmtId="0" xfId="0" applyNumberFormat="1" applyFont="1">
      <alignment horizontal="left" indent="1" vertical="center" wrapText="1"/>
    </xf>
    <xf fontId="22" fillId="35" borderId="12" numFmtId="0" xfId="0" applyNumberFormat="1" applyFont="1" applyFill="1" applyBorder="1">
      <alignment horizontal="center" vertical="center" wrapText="1"/>
    </xf>
    <xf fontId="48" fillId="0" borderId="19" numFmtId="0" xfId="0" applyNumberFormat="1" applyFont="1" applyBorder="1">
      <alignment horizontal="left" vertical="center" wrapText="1"/>
    </xf>
    <xf fontId="22" fillId="0" borderId="0" numFmtId="0" xfId="0" applyNumberFormat="1" applyFont="1">
      <alignment horizontal="left" vertical="top" wrapText="1"/>
    </xf>
    <xf fontId="47"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22" fillId="0" borderId="12" numFmtId="0" xfId="0" applyNumberFormat="1" applyFont="1" applyBorder="1">
      <alignment horizontal="center" vertical="center" wrapText="1"/>
    </xf>
    <xf fontId="22" fillId="0" borderId="12" numFmtId="0" xfId="0" applyNumberFormat="1" applyFont="1" applyBorder="1">
      <alignment vertical="center" wrapText="1"/>
    </xf>
    <xf fontId="84" fillId="0" borderId="0" numFmtId="0" xfId="0" applyNumberFormat="1" applyFont="1">
      <alignment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NumberFormat="1"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NumberFormat="1" applyFont="1" applyBorder="1">
      <alignment horizontal="center" vertical="center" wrapText="1"/>
    </xf>
    <xf fontId="22" fillId="0" borderId="13" numFmtId="0" xfId="0" applyNumberFormat="1" applyFont="1" applyBorder="1">
      <alignment vertical="top" wrapText="1"/>
    </xf>
    <xf fontId="54" fillId="0" borderId="0" numFmtId="0" xfId="0" applyNumberFormat="1" applyFont="1">
      <alignment vertical="center" wrapText="1"/>
    </xf>
    <xf fontId="22" fillId="0" borderId="13" numFmtId="0" xfId="0" applyNumberFormat="1" applyFont="1" applyBorder="1">
      <alignment horizontal="center" vertical="center" wrapText="1"/>
    </xf>
    <xf fontId="22" fillId="36" borderId="12" numFmtId="503" xfId="0" applyNumberFormat="1" applyFont="1" applyFill="1" applyBorder="1">
      <alignment horizontal="right" vertical="center" wrapText="1"/>
      <protection locked="0"/>
    </xf>
    <xf fontId="22" fillId="0" borderId="20" numFmtId="0" xfId="0" applyNumberFormat="1" applyFont="1" applyBorder="1">
      <alignment vertical="center" wrapText="1"/>
    </xf>
    <xf fontId="32" fillId="0" borderId="0" numFmtId="0" xfId="0" applyNumberFormat="1" applyFont="1">
      <alignment vertical="center" wrapText="1"/>
    </xf>
    <xf fontId="46" fillId="0" borderId="0" numFmtId="0" xfId="0" applyNumberFormat="1" applyFont="1">
      <alignment vertical="center" wrapText="1"/>
    </xf>
    <xf fontId="22" fillId="0" borderId="0" numFmtId="0" xfId="0" applyNumberFormat="1" applyFont="1">
      <alignment horizontal="left" indent="3" vertical="center" wrapText="1"/>
    </xf>
    <xf fontId="97" fillId="35" borderId="0" numFmtId="0" xfId="0" applyNumberFormat="1" applyFont="1" applyFill="1">
      <alignment horizontal="right" vertical="center"/>
    </xf>
    <xf fontId="22"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NumberFormat="1" applyFont="1">
      <alignment horizontal="center" vertical="center" wrapText="1"/>
    </xf>
    <xf fontId="22" fillId="37" borderId="14" numFmtId="49" xfId="0" applyNumberFormat="1" applyFont="1" applyFill="1" applyBorder="1">
      <alignment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12" numFmtId="0" xfId="0" applyNumberFormat="1"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503" xfId="0" applyNumberFormat="1" applyFont="1" applyFill="1" applyBorder="1">
      <alignment horizontal="right" vertical="center" wrapText="1"/>
      <protection locked="0"/>
    </xf>
    <xf fontId="91" fillId="0" borderId="0" numFmtId="49" xfId="0" applyNumberFormat="1" applyFont="1">
      <alignment horizontal="left" vertical="center" wrapText="1"/>
    </xf>
    <xf fontId="48" fillId="0" borderId="0" numFmtId="0" xfId="0" applyNumberFormat="1" applyFont="1">
      <alignment horizontal="left" vertical="center" wrapText="1"/>
    </xf>
    <xf fontId="22" fillId="0" borderId="0" numFmtId="49" xfId="0" applyNumberFormat="1" applyFont="1">
      <alignment horizontal="left" vertical="center" wrapText="1"/>
    </xf>
    <xf fontId="54" fillId="0" borderId="0" numFmtId="0" xfId="0" applyNumberFormat="1" applyFont="1">
      <alignment horizontal="left" vertical="center" wrapText="1"/>
    </xf>
    <xf fontId="22" fillId="40" borderId="12" numFmtId="49" xfId="0" applyNumberFormat="1" applyFont="1" applyFill="1" applyBorder="1">
      <alignment horizontal="left" vertical="center" wrapText="1"/>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22" fillId="0" borderId="17" numFmtId="0" xfId="0" applyNumberFormat="1" applyFont="1" applyBorder="1">
      <alignment horizontal="center" vertical="center" wrapText="1"/>
    </xf>
    <xf fontId="22" fillId="0" borderId="14" numFmtId="0" xfId="0" applyNumberFormat="1" applyFont="1" applyBorder="1">
      <alignment horizontal="left" indent="2" vertical="center" wrapText="1"/>
    </xf>
    <xf fontId="22" fillId="0" borderId="12" numFmtId="0" xfId="0" applyNumberFormat="1"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NumberFormat="1" applyFont="1" applyBorder="1">
      <alignment horizontal="left" indent="1"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NumberFormat="1" applyFont="1">
      <alignment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39" borderId="13" numFmtId="503" xfId="0" applyNumberFormat="1" applyFont="1" applyFill="1" applyBorder="1">
      <alignment horizontal="right" vertical="center" wrapText="1"/>
      <protection locked="0"/>
    </xf>
    <xf fontId="84"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47"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34" borderId="13" numFmtId="503" xfId="0" applyNumberFormat="1" applyFont="1" applyFill="1" applyBorder="1">
      <alignment horizontal="right" vertical="center" wrapText="1"/>
    </xf>
    <xf fontId="22" fillId="34" borderId="12" numFmtId="503"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NumberFormat="1"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NumberFormat="1" applyFont="1" applyBorder="1">
      <alignment vertical="top"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9" borderId="17" numFmtId="503" xfId="0" applyNumberFormat="1" applyFont="1" applyFill="1" applyBorder="1">
      <alignment horizontal="right" vertical="center" wrapText="1"/>
      <protection locked="0"/>
    </xf>
    <xf fontId="48" fillId="0" borderId="23" numFmtId="0" xfId="0" applyNumberFormat="1" applyFont="1" applyBorder="1">
      <alignment horizontal="left" indent="1" vertical="center" wrapText="1"/>
    </xf>
    <xf fontId="48" fillId="0" borderId="17" numFmtId="0" xfId="0" applyNumberFormat="1" applyFont="1" applyBorder="1">
      <alignment horizontal="center" vertical="center" wrapText="1"/>
    </xf>
    <xf fontId="37" fillId="0" borderId="0" numFmtId="0" xfId="0" applyNumberFormat="1"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23" numFmtId="0" xfId="0" applyNumberFormat="1" applyFont="1" applyBorder="1">
      <alignment vertical="top" wrapText="1"/>
    </xf>
    <xf fontId="48" fillId="0" borderId="17" numFmtId="0" xfId="0" applyNumberFormat="1"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horizontal="left" vertical="top" wrapText="1"/>
    </xf>
    <xf fontId="54" fillId="0" borderId="0" numFmtId="0" xfId="0" applyNumberFormat="1" applyFont="1">
      <alignment vertical="center"/>
    </xf>
    <xf fontId="91" fillId="0" borderId="0" numFmtId="0" xfId="0" applyNumberFormat="1" applyFont="1">
      <alignment vertical="center" wrapText="1"/>
    </xf>
    <xf fontId="22" fillId="0" borderId="19" numFmtId="0" xfId="0" applyNumberFormat="1" applyFont="1" applyBorder="1">
      <alignment vertical="center" wrapText="1"/>
    </xf>
    <xf fontId="22"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27" numFmtId="0" xfId="0" applyNumberFormat="1" applyFont="1" applyBorder="1">
      <alignment vertical="center" wrapText="1"/>
    </xf>
    <xf fontId="48" fillId="0" borderId="0" numFmtId="0" xfId="0" applyNumberFormat="1" applyFont="1">
      <alignment vertical="center" wrapText="1"/>
    </xf>
    <xf fontId="32" fillId="0" borderId="0" numFmtId="0" xfId="0" applyNumberFormat="1" applyFont="1">
      <alignment vertical="center" wrapText="1"/>
    </xf>
    <xf fontId="50" fillId="0" borderId="0" numFmtId="0" xfId="0" applyNumberFormat="1" applyFont="1">
      <alignment horizontal="center" vertical="center" wrapText="1"/>
    </xf>
    <xf fontId="63" fillId="0" borderId="0" numFmtId="49" xfId="0" applyNumberFormat="1" applyFont="1">
      <alignment horizontal="center" vertical="center" wrapText="1"/>
    </xf>
    <xf fontId="72" fillId="0" borderId="0" numFmtId="0" xfId="0" applyNumberFormat="1" applyFont="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71" fillId="0" borderId="0" numFmtId="0" xfId="0" applyNumberFormat="1" applyFont="1">
      <alignment vertical="center" wrapText="1"/>
    </xf>
    <xf fontId="22" fillId="0" borderId="12" numFmtId="0" xfId="0" applyNumberFormat="1"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0" fillId="34" borderId="12" numFmtId="0" xfId="0" applyNumberFormat="1" applyFont="1" applyFill="1" applyBorder="1">
      <alignment horizontal="left" indent="1" vertical="center" wrapText="1"/>
    </xf>
    <xf fontId="22" fillId="0" borderId="13" numFmtId="0" xfId="0" applyNumberFormat="1"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NumberFormat="1" applyFont="1">
      <alignment horizontal="center"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8"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23" numFmtId="0" xfId="0" applyNumberFormat="1" applyFont="1" applyBorder="1">
      <alignment horizontal="left" vertical="center" wrapText="1"/>
    </xf>
    <xf fontId="22" fillId="0" borderId="23" numFmtId="2" xfId="0" applyNumberFormat="1" applyFont="1" applyBorder="1">
      <alignment horizontal="center" vertical="center" wrapText="1"/>
    </xf>
    <xf fontId="22" fillId="0" borderId="12" numFmtId="0" xfId="0" applyNumberFormat="1" applyFont="1" applyBorder="1">
      <alignment horizontal="left" vertical="center" wrapText="1"/>
    </xf>
    <xf fontId="48" fillId="0" borderId="22" numFmtId="49" xfId="0" applyNumberFormat="1" applyFont="1" applyBorder="1">
      <alignment vertical="top"/>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22" numFmtId="0" xfId="0" applyNumberFormat="1"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NumberFormat="1" applyFont="1" applyBorder="1">
      <alignment horizontal="left" vertical="center" wrapText="1"/>
    </xf>
    <xf fontId="22" fillId="0" borderId="12" numFmtId="0" xfId="0" applyNumberFormat="1" applyFont="1" applyBorder="1">
      <alignment horizontal="left" vertical="center" wrapText="1"/>
    </xf>
    <xf fontId="47" fillId="0" borderId="0" numFmtId="0" xfId="0" applyNumberFormat="1" applyFont="1">
      <alignment horizontal="center" vertical="top"/>
    </xf>
    <xf fontId="48" fillId="0" borderId="0" numFmtId="0" xfId="0" applyNumberFormat="1"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45" fillId="0" borderId="0" numFmtId="0" xfId="0" applyNumberFormat="1" applyFont="1">
      <alignment horizontal="left" vertical="top" wrapText="1"/>
    </xf>
    <xf fontId="32" fillId="0" borderId="0" numFmtId="49" xfId="0" applyNumberFormat="1" applyFont="1">
      <alignment horizontal="center" vertical="center" wrapText="1"/>
    </xf>
    <xf fontId="47" fillId="55" borderId="12" numFmtId="0" xfId="0" applyNumberFormat="1" applyFont="1" applyFill="1" applyBorder="1">
      <alignment horizontal="left" vertical="center" wrapText="1"/>
    </xf>
    <xf fontId="22" fillId="54" borderId="12" numFmtId="0" xfId="0" applyNumberFormat="1"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NumberFormat="1"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9"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91"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NumberFormat="1"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17" numFmtId="0" xfId="0" applyNumberFormat="1"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58" numFmtId="49" xfId="0" applyNumberFormat="1" applyFont="1" applyBorder="1">
      <alignment horizontal="center" vertical="center" wrapText="1"/>
    </xf>
    <xf fontId="22" fillId="0" borderId="15" numFmtId="0"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NumberFormat="1" applyFont="1" applyBorder="1">
      <alignment horizontal="left" vertical="center" wrapText="1"/>
    </xf>
    <xf fontId="22" fillId="0" borderId="37"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NumberFormat="1"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NumberFormat="1" applyFont="1" applyBorder="1">
      <alignment vertical="top" wrapText="1"/>
    </xf>
    <xf fontId="22" fillId="35" borderId="0" numFmtId="0" xfId="0" applyNumberFormat="1" applyFont="1" applyFill="1">
      <alignment horizontal="right" vertical="center" wrapText="1"/>
    </xf>
    <xf fontId="64" fillId="0" borderId="0" numFmtId="0" xfId="0" applyNumberFormat="1" applyFont="1">
      <alignment vertical="center" wrapText="1"/>
    </xf>
    <xf fontId="22" fillId="35" borderId="0" numFmtId="0" xfId="0" applyNumberFormat="1" applyFont="1" applyFill="1">
      <alignment horizontal="right" vertical="center"/>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0" numFmtId="49" xfId="0" applyNumberFormat="1" applyFont="1">
      <alignment vertical="top"/>
    </xf>
    <xf fontId="22" fillId="37" borderId="14" numFmtId="0" xfId="0" applyNumberFormat="1"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NumberFormat="1" applyFont="1">
      <alignment horizontal="left" vertical="top" wrapText="1"/>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48" fillId="0" borderId="14" numFmtId="0" xfId="0" applyNumberFormat="1" applyFont="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left" indent="1"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NumberFormat="1" applyFont="1" applyBorder="1">
      <alignment horizontal="left" indent="1" vertical="center" wrapText="1"/>
    </xf>
    <xf fontId="22" fillId="0" borderId="17" numFmtId="0"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0" numFmtId="0" xfId="0" applyNumberFormat="1" applyFont="1">
      <alignment horizontal="left" vertical="top"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NumberFormat="1" applyFont="1" applyBorder="1">
      <alignmen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83" fillId="0" borderId="0" numFmtId="0" xfId="0" applyNumberFormat="1" applyFont="1">
      <alignment vertical="center" wrapText="1"/>
    </xf>
    <xf fontId="22" fillId="0" borderId="12" numFmtId="0" xfId="0" applyNumberFormat="1"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vertical="top"/>
    </xf>
    <xf fontId="22" fillId="0" borderId="0" numFmtId="0" xfId="0" applyNumberFormat="1" applyFont="1">
      <alignment vertical="top" wrapText="1"/>
    </xf>
    <xf fontId="22" fillId="0" borderId="0" numFmtId="0" xfId="0" applyNumberFormat="1"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NumberFormat="1"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NumberFormat="1" applyFont="1" applyBorder="1">
      <alignment horizontal="left" vertical="center" wrapText="1"/>
    </xf>
    <xf fontId="53" fillId="0" borderId="15" numFmtId="49" xfId="0" applyNumberFormat="1" applyFont="1" applyBorder="1">
      <alignment horizontal="left" vertical="center" wrapText="1"/>
    </xf>
    <xf fontId="22" fillId="0" borderId="31" numFmtId="0" xfId="0" applyNumberFormat="1"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NumberFormat="1"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NumberFormat="1" applyFont="1">
      <alignment horizontal="center" vertical="center" wrapText="1"/>
    </xf>
    <xf fontId="36" fillId="0" borderId="24" numFmtId="0" xfId="0" applyNumberFormat="1" applyFont="1" applyBorder="1">
      <alignment horizontal="center" vertical="center" wrapText="1"/>
    </xf>
    <xf fontId="0" fillId="0" borderId="14" numFmtId="0" xfId="0" applyNumberFormat="1" applyFont="1" applyBorder="1">
      <alignment horizontal="center" vertical="center"/>
    </xf>
    <xf fontId="22" fillId="0" borderId="13" numFmtId="0" xfId="0" applyNumberFormat="1" applyFont="1" applyBorder="1">
      <alignment horizontal="center" vertical="center" wrapText="1"/>
    </xf>
    <xf fontId="0" fillId="36" borderId="12" numFmtId="504"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NumberFormat="1" applyFont="1">
      <alignment horizontal="left" vertical="center"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36" fillId="0" borderId="0" numFmtId="0" xfId="0" applyNumberFormat="1"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3" numFmtId="0" xfId="0" applyNumberFormat="1" applyFont="1" applyBorder="1">
      <alignment vertical="center" wrapText="1"/>
    </xf>
    <xf fontId="22" fillId="37" borderId="27" numFmtId="0" xfId="0" applyNumberFormat="1" applyFont="1" applyFill="1" applyBorder="1">
      <alignment vertical="center" wrapText="1"/>
    </xf>
    <xf fontId="36" fillId="0" borderId="0" numFmtId="0"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8"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NumberFormat="1" applyFont="1" applyFill="1" applyBorder="1">
      <alignment vertical="center" wrapText="1"/>
    </xf>
    <xf fontId="47" fillId="0" borderId="0" numFmtId="0" xfId="0" applyNumberFormat="1" applyFont="1">
      <alignment vertical="center" wrapText="1"/>
    </xf>
    <xf fontId="47" fillId="0" borderId="0" numFmtId="0" xfId="0" applyNumberFormat="1" applyFont="1">
      <alignment vertical="center" wrapText="1"/>
    </xf>
    <xf fontId="47"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left" indent="3" vertical="center" wrapText="1"/>
    </xf>
    <xf fontId="22" fillId="35" borderId="0" numFmtId="0" xfId="0" applyNumberFormat="1" applyFont="1" applyFill="1">
      <alignment vertic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NumberFormat="1" applyFont="1" applyFill="1" applyBorder="1">
      <alignment horizontal="center" wrapText="1"/>
    </xf>
    <xf fontId="50" fillId="35" borderId="39" numFmtId="0" xfId="0" applyNumberFormat="1" applyFont="1" applyFill="1" applyBorder="1">
      <alignment horizont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22" fillId="0" borderId="0" numFmtId="49" xfId="0" applyNumberFormat="1" applyFont="1">
      <alignment vertical="top"/>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22" fillId="0" borderId="38" numFmtId="0" xfId="0" applyNumberFormat="1" applyFont="1" applyBorder="1">
      <alignmen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NumberFormat="1" applyFont="1" applyFill="1">
      <alignment vertical="center" wrapText="1"/>
    </xf>
    <xf fontId="0" fillId="0" borderId="12" numFmtId="0" xfId="0" applyNumberFormat="1" applyFont="1" applyBorder="1">
      <alignment horizontal="center" vertical="center" wrapText="1"/>
    </xf>
    <xf fontId="22" fillId="0" borderId="0" numFmtId="49" xfId="0" applyNumberFormat="1" applyFont="1">
      <alignment vertical="top"/>
    </xf>
    <xf fontId="22" fillId="0" borderId="0" numFmtId="0" xfId="0" applyNumberFormat="1" applyFont="1">
      <alignment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xf>
    <xf fontId="22" fillId="0" borderId="0" numFmtId="0" xfId="0" applyNumberFormat="1"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NumberFormat="1" applyFont="1">
      <alignment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19" numFmtId="0" xfId="0" applyNumberFormat="1"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NumberFormat="1" applyFont="1" applyBorder="1">
      <alignment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22" fillId="0" borderId="38" numFmtId="0" xfId="0" applyNumberFormat="1"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NumberFormat="1"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NumberFormat="1" applyFont="1" applyBorder="1">
      <alignment horizontal="left" vertical="top"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0"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NumberFormat="1" applyFont="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35" borderId="13"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94" fillId="0" borderId="0" numFmtId="49" xfId="0" applyNumberFormat="1" applyFont="1">
      <alignment vertical="center" wrapText="1"/>
    </xf>
    <xf fontId="99" fillId="0" borderId="0" numFmtId="49" xfId="0" applyNumberFormat="1" applyFont="1">
      <alignment vertical="center" wrapText="1"/>
    </xf>
    <xf fontId="36"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0" borderId="14" numFmtId="0" xfId="0" applyNumberFormat="1" applyFont="1" applyBorder="1">
      <alignment horizontal="center" vertical="center" wrapText="1"/>
    </xf>
    <xf fontId="22" fillId="0" borderId="12" numFmtId="0" xfId="0" applyNumberFormat="1"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NumberFormat="1" applyFont="1" applyBorder="1">
      <alignment vertical="top" wrapText="1"/>
    </xf>
    <xf fontId="22" fillId="0" borderId="12" numFmtId="0" xfId="0" applyNumberFormat="1"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NumberFormat="1"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NumberFormat="1" applyFont="1" applyFill="1">
      <alignment vertical="center" wrapText="1"/>
    </xf>
    <xf fontId="22" fillId="35" borderId="0" numFmtId="0" xfId="0" applyNumberFormat="1" applyFont="1" applyFill="1">
      <alignment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0" numFmtId="49" xfId="0" applyNumberFormat="1" applyFont="1">
      <alignment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22" fillId="35" borderId="0" numFmtId="0" xfId="0" applyNumberFormat="1" applyFont="1" applyFill="1">
      <alignment horizontal="center" vertical="center" wrapText="1"/>
    </xf>
    <xf fontId="22" fillId="0" borderId="0" numFmtId="49" xfId="0" applyNumberFormat="1" applyFont="1">
      <alignment vertical="center" wrapText="1"/>
    </xf>
    <xf fontId="22"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NumberFormat="1"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NumberFormat="1" applyFont="1">
      <alignment vertical="center" wrapText="1"/>
    </xf>
    <xf fontId="39" fillId="35" borderId="0" numFmtId="0" xfId="0" applyNumberFormat="1" applyFont="1" applyFill="1">
      <alignment vertical="center" wrapText="1"/>
    </xf>
    <xf fontId="44" fillId="37" borderId="15" numFmtId="49" xfId="0" applyNumberFormat="1" applyFont="1" applyFill="1" applyBorder="1">
      <alignment horizontal="center" vertical="top"/>
    </xf>
    <xf fontId="48" fillId="0" borderId="0" numFmtId="0" xfId="0" applyNumberFormat="1" applyFont="1">
      <alignment vertical="center"/>
    </xf>
    <xf fontId="22" fillId="0" borderId="0" numFmtId="0" xfId="0" applyNumberFormat="1" applyFont="1">
      <alignment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35" borderId="12" numFmtId="0" xfId="0" applyNumberFormat="1" applyFont="1" applyFill="1" applyBorder="1">
      <alignment horizontal="center" vertical="center" wrapText="1"/>
    </xf>
    <xf fontId="0" fillId="0" borderId="12" numFmtId="0" xfId="0" applyNumberFormat="1"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NumberFormat="1"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NumberFormat="1" applyFont="1" applyBorder="1">
      <alignment vertical="top" wrapText="1"/>
    </xf>
    <xf fontId="40" fillId="37" borderId="15" numFmtId="49" xfId="0" applyNumberFormat="1" applyFont="1" applyFill="1" applyBorder="1">
      <alignment horizontal="left" indent="1" vertical="center"/>
    </xf>
    <xf fontId="22" fillId="0" borderId="23" numFmtId="0" xfId="0" applyNumberFormat="1" applyFont="1" applyBorder="1">
      <alignment vertical="top"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22" fillId="0" borderId="0" numFmtId="0" xfId="0" applyNumberFormat="1" applyFont="1">
      <alignment vertical="top" wrapText="1"/>
    </xf>
    <xf fontId="22" fillId="0" borderId="0" numFmtId="49" xfId="0" applyNumberFormat="1" applyFont="1">
      <alignment vertical="center" wrapText="1"/>
    </xf>
    <xf fontId="39" fillId="0" borderId="0" numFmtId="0" xfId="0" applyNumberFormat="1" applyFont="1">
      <alignment vertical="center" wrapText="1"/>
    </xf>
    <xf fontId="47" fillId="0" borderId="0" numFmtId="49" xfId="0" applyNumberFormat="1" applyFont="1">
      <alignment vertical="top"/>
    </xf>
    <xf fontId="0" fillId="39" borderId="12" numFmtId="0" xfId="0" applyNumberFormat="1"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vertical="center" wrapText="1"/>
      <protection locked="0"/>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NumberFormat="1" applyFont="1" applyBorder="1">
      <alignment horizontal="left" vertical="center" wrapText="1"/>
    </xf>
    <xf fontId="0" fillId="39" borderId="12" numFmtId="504"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22" fillId="0" borderId="12" numFmtId="0" xfId="0" applyNumberFormat="1" applyFont="1" applyBorder="1">
      <alignment vertical="top" wrapText="1"/>
    </xf>
    <xf fontId="40" fillId="37" borderId="15" numFmtId="49" xfId="0" applyNumberFormat="1" applyFont="1" applyFill="1" applyBorder="1">
      <alignment horizontal="left" indent="2" vertical="center"/>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NumberFormat="1" applyFont="1" applyBorder="1">
      <alignment horizontal="center" vertical="center" wrapText="1"/>
    </xf>
    <xf fontId="0" fillId="39" borderId="13" numFmtId="504" xfId="0" applyNumberFormat="1" applyFont="1" applyFill="1" applyBorder="1">
      <alignment horizontal="left" vertical="center" wrapText="1"/>
      <protection locked="0"/>
    </xf>
    <xf fontId="0" fillId="39" borderId="14" numFmtId="504" xfId="0" applyNumberFormat="1" applyFont="1" applyFill="1" applyBorder="1">
      <alignment horizontal="left" vertical="center" wrapText="1"/>
      <protection locked="0"/>
    </xf>
    <xf fontId="22" fillId="40" borderId="12" numFmtId="0" xfId="0" applyNumberFormat="1" applyFont="1" applyFill="1" applyBorder="1">
      <alignment horizontal="left" vertical="center" wrapText="1"/>
    </xf>
    <xf fontId="0" fillId="0" borderId="36"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horizontal="left" indent="1" vertical="center" wrapText="1"/>
    </xf>
    <xf fontId="22" fillId="0" borderId="0" numFmtId="0" xfId="0" applyNumberFormat="1" applyFont="1">
      <alignment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left" indent="1" vertical="top" wrapText="1"/>
    </xf>
    <xf fontId="46" fillId="0" borderId="0" numFmtId="0" xfId="0" applyNumberFormat="1" applyFont="1">
      <alignment vertical="center" wrapText="1"/>
    </xf>
    <xf fontId="0" fillId="35" borderId="14" numFmtId="0" xfId="0" applyNumberFormat="1" applyFont="1" applyFill="1" applyBorder="1">
      <alignment horizontal="right" indent="1" vertical="center" wrapText="1"/>
    </xf>
    <xf fontId="71" fillId="0" borderId="0" numFmtId="0" xfId="0" applyNumberFormat="1"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22" fillId="0" borderId="12" numFmtId="0" xfId="0" applyNumberFormat="1" applyFont="1" applyBorder="1">
      <alignment horizontal="left" vertical="center" wrapText="1"/>
    </xf>
    <xf fontId="39" fillId="35" borderId="0" numFmtId="0" xfId="0" applyNumberFormat="1" applyFont="1" applyFill="1">
      <alignment horizontal="center" vertical="top" wrapText="1"/>
    </xf>
    <xf fontId="0" fillId="34" borderId="14"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9" borderId="13" numFmtId="504" xfId="0" applyNumberFormat="1" applyFont="1" applyFill="1" applyBorder="1">
      <alignment horizontal="left" vertical="center" wrapText="1"/>
      <protection locked="0"/>
    </xf>
    <xf fontId="0" fillId="39" borderId="14" numFmtId="504" xfId="0" applyNumberFormat="1" applyFont="1" applyFill="1" applyBorder="1">
      <alignment horizontal="left" vertical="center" wrapText="1"/>
      <protection locked="0"/>
    </xf>
    <xf fontId="0" fillId="0" borderId="13" numFmtId="0" xfId="0" applyNumberFormat="1"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5" borderId="14" numFmtId="49" xfId="0" applyNumberFormat="1" applyFont="1" applyFill="1" applyBorder="1">
      <alignment horizontal="center" vertical="center" wrapText="1"/>
    </xf>
    <xf fontId="27" fillId="39" borderId="12" numFmtId="49" xfId="0" applyNumberFormat="1" applyFont="1" applyFill="1" applyBorder="1">
      <alignment horizontal="left" vertical="center" wrapText="1"/>
      <protection locked="0"/>
    </xf>
    <xf fontId="22" fillId="0" borderId="0" numFmtId="49" xfId="0" applyNumberFormat="1" applyFont="1">
      <alignment vertical="top"/>
    </xf>
    <xf fontId="22" fillId="0" borderId="0" numFmtId="0" xfId="0" applyNumberFormat="1" applyFont="1">
      <alignment vertical="top" wrapText="1"/>
    </xf>
    <xf fontId="39" fillId="0" borderId="0" numFmtId="0" xfId="0" applyNumberFormat="1" applyFont="1">
      <alignment vertical="center" wrapText="1"/>
    </xf>
    <xf fontId="22" fillId="0" borderId="36" numFmtId="0" xfId="0" applyNumberFormat="1" applyFont="1" applyBorder="1">
      <alignment vertical="center" wrapText="1"/>
    </xf>
    <xf fontId="0" fillId="39" borderId="12" numFmtId="4" xfId="0" applyNumberFormat="1" applyFont="1" applyFill="1" applyBorder="1">
      <alignment horizontal="right" vertical="center" wrapText="1"/>
      <protection locked="0"/>
    </xf>
    <xf fontId="0" fillId="0" borderId="36" numFmtId="0" xfId="0" applyNumberFormat="1" applyFont="1" applyBorder="1">
      <alignment horizontal="center" vertical="center" wrapText="1"/>
    </xf>
    <xf fontId="71" fillId="0" borderId="0" numFmtId="0" xfId="0" applyNumberFormat="1" applyFont="1">
      <alignment vertical="center" wrapText="1"/>
    </xf>
    <xf fontId="48" fillId="0" borderId="0" numFmtId="0" xfId="0" applyNumberFormat="1" applyFont="1">
      <alignment vertical="center"/>
    </xf>
    <xf fontId="22" fillId="0" borderId="36" numFmtId="0" xfId="0" applyNumberFormat="1"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NumberFormat="1" applyFont="1">
      <alignment horizontal="right" vertical="top" wrapText="1"/>
    </xf>
    <xf fontId="22" fillId="0" borderId="0" numFmtId="49" xfId="0" applyNumberFormat="1" applyFont="1">
      <alignment vertical="top"/>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0" borderId="19" numFmtId="0" xfId="0" applyNumberFormat="1" applyFont="1" applyBorder="1">
      <alignment vertical="center" wrapText="1"/>
    </xf>
    <xf fontId="22" fillId="0" borderId="19" numFmtId="0" xfId="0" applyNumberFormat="1" applyFont="1" applyBorder="1">
      <alignment horizontal="left" vertical="top" wrapText="1"/>
    </xf>
    <xf fontId="22" fillId="0" borderId="0" numFmtId="49" xfId="0" applyNumberFormat="1" applyFont="1">
      <alignment vertical="center" wrapText="1"/>
    </xf>
    <xf fontId="83"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NumberFormat="1"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14" numFmtId="0" xfId="0" applyNumberFormat="1"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0" fillId="48" borderId="0" numFmtId="0" xfId="0" applyNumberFormat="1"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NumberFormat="1" applyFont="1">
      <alignment vertical="center"/>
    </xf>
    <xf fontId="0" fillId="48" borderId="0" numFmtId="0" xfId="0" applyNumberFormat="1" applyFont="1" applyFill="1">
      <alignment horizontal="left" vertical="center"/>
    </xf>
    <xf fontId="0" fillId="0" borderId="0" numFmtId="0" xfId="0" applyNumberFormat="1" applyFont="1">
      <alignment horizontal="righ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horizontal="right" vertical="top"/>
    </xf>
    <xf fontId="0" fillId="0" borderId="0" numFmtId="0" xfId="0" applyNumberFormat="1" applyFont="1">
      <alignment vertical="top"/>
    </xf>
    <xf fontId="22" fillId="0" borderId="14" numFmtId="49" xfId="0" applyNumberFormat="1" applyFont="1" applyBorder="1">
      <alignment vertical="top"/>
    </xf>
    <xf fontId="0" fillId="48" borderId="0" numFmtId="0" xfId="0" applyNumberFormat="1" applyFont="1" applyFill="1">
      <alignment horizontal="right" vertical="center"/>
    </xf>
    <xf fontId="0" fillId="0" borderId="0" numFmtId="0" xfId="0" applyNumberFormat="1" applyFont="1">
      <alignment horizontal="left" vertical="center"/>
    </xf>
    <xf fontId="0" fillId="48" borderId="0" numFmtId="0" xfId="0" applyNumberFormat="1" applyFont="1" applyFill="1">
      <alignment horizontal="right" vertical="center"/>
    </xf>
    <xf fontId="0" fillId="48" borderId="0" numFmtId="0" xfId="0" applyNumberFormat="1" applyFont="1" applyFill="1">
      <alignment horizontal="left" vertical="center"/>
    </xf>
    <xf fontId="54" fillId="48" borderId="0" numFmtId="0" xfId="0" applyNumberFormat="1" applyFont="1" applyFill="1">
      <alignment horizontal="left" vertical="center"/>
    </xf>
    <xf fontId="0" fillId="0" borderId="0" numFmtId="0" xfId="0" applyNumberFormat="1" applyFont="1">
      <alignment vertical="center"/>
    </xf>
    <xf fontId="22" fillId="0" borderId="0" numFmtId="0" xfId="0" applyNumberFormat="1" applyFont="1">
      <alignment vertical="top"/>
    </xf>
    <xf fontId="54" fillId="0" borderId="0" numFmtId="0" xfId="0" applyNumberFormat="1"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NumberFormat="1" applyFont="1" applyBorder="1">
      <alignment horizontal="left" vertical="center"/>
    </xf>
    <xf fontId="54" fillId="48" borderId="0" numFmtId="0" xfId="0" applyNumberFormat="1" applyFont="1" applyFill="1">
      <alignment horizontal="left" vertical="center"/>
    </xf>
    <xf fontId="22" fillId="0" borderId="17" numFmtId="49" xfId="0" applyNumberFormat="1" applyFont="1" applyBorder="1">
      <alignment horizontal="righ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NumberFormat="1" applyFont="1" applyFill="1">
      <alignment horizontal="left" vertical="center"/>
    </xf>
    <xf fontId="0" fillId="48" borderId="10" numFmtId="0" xfId="0" applyNumberFormat="1"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NumberFormat="1"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0" fillId="41" borderId="12" numFmtId="0" xfId="0" applyNumberFormat="1"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NumberFormat="1" applyFont="1" applyFill="1" applyBorder="1">
      <alignment horizontal="center" vertical="top"/>
    </xf>
    <xf fontId="22" fillId="34" borderId="30" numFmtId="0" xfId="0" applyNumberFormat="1" applyFont="1" applyFill="1" applyBorder="1">
      <alignment horizontal="left" vertical="top"/>
    </xf>
    <xf fontId="0" fillId="0" borderId="32" numFmtId="0" xfId="0" applyNumberFormat="1" applyFont="1" applyBorder="1">
      <alignment horizontal="center" vertical="center"/>
    </xf>
    <xf fontId="0" fillId="0" borderId="34" numFmtId="0" xfId="0" applyNumberFormat="1" applyFont="1" applyBorder="1">
      <alignment horizontal="center" vertical="center"/>
    </xf>
    <xf fontId="22" fillId="0" borderId="12" numFmtId="0" xfId="0" applyNumberFormat="1" applyFont="1" applyBorder="1">
      <alignment horizontal="left" vertical="top"/>
    </xf>
    <xf fontId="22" fillId="0" borderId="0" numFmtId="49" xfId="0" applyNumberFormat="1" applyFont="1">
      <alignment horizontal="left" vertical="top"/>
    </xf>
    <xf fontId="0" fillId="0" borderId="33" numFmtId="0" xfId="0" applyNumberFormat="1"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NumberFormat="1" applyFont="1" applyFill="1">
      <alignment horizontal="right" vertical="top" wrapText="1"/>
    </xf>
    <xf fontId="22" fillId="0" borderId="0" numFmtId="0" xfId="0" applyNumberFormat="1" applyFont="1">
      <alignment horizontal="left" vertical="top" wrapText="1"/>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4" borderId="12" numFmtId="0" xfId="0" applyNumberFormat="1" applyFont="1" applyFill="1" applyBorder="1">
      <alignment horizontal="left" vertical="center" wrapText="1"/>
    </xf>
    <xf fontId="68" fillId="35" borderId="0" numFmtId="0" xfId="0" applyNumberFormat="1" applyFont="1" applyFill="1"/>
    <xf fontId="22" fillId="35" borderId="12" numFmtId="0" xfId="0" applyNumberFormat="1" applyFont="1" applyFill="1" applyBorder="1">
      <alignment horizontal="left"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NumberFormat="1" applyFont="1" applyFill="1">
      <alignment horizontal="center" vertical="center" wrapText="1"/>
    </xf>
    <xf fontId="22" fillId="35" borderId="24" numFmtId="0" xfId="0" applyNumberFormat="1" applyFont="1" applyFill="1" applyBorder="1">
      <alignment horizontal="center" vertical="center" wrapText="1"/>
    </xf>
    <xf fontId="0" fillId="35" borderId="17" numFmtId="0" xfId="0" applyNumberFormat="1" applyFont="1" applyFill="1" applyBorder="1">
      <alignment horizontal="left" vertical="top" wrapText="1"/>
    </xf>
    <xf fontId="67" fillId="35" borderId="0" numFmtId="0" xfId="0" applyNumberFormat="1" applyFont="1" applyFill="1"/>
    <xf fontId="72" fillId="35" borderId="0" numFmtId="0" xfId="0" applyNumberFormat="1" applyFont="1" applyFill="1">
      <alignment vertical="center" wrapText="1"/>
    </xf>
    <xf fontId="48" fillId="35" borderId="12" numFmtId="0" xfId="0" applyNumberFormat="1" applyFont="1" applyFill="1" applyBorder="1">
      <alignment horizontal="center" vertical="center"/>
    </xf>
    <xf fontId="0" fillId="35" borderId="36" numFmtId="0" xfId="0" applyNumberFormat="1" applyFont="1" applyFill="1" applyBorder="1">
      <alignment horizontal="left" vertical="top" wrapText="1"/>
    </xf>
    <xf fontId="0" fillId="35" borderId="23" numFmtId="0" xfId="0" applyNumberFormat="1" applyFont="1" applyFill="1" applyBorder="1">
      <alignment horizontal="left" vertical="top" wrapText="1"/>
    </xf>
    <xf fontId="84" fillId="35" borderId="0" numFmtId="0" xfId="0" applyNumberFormat="1" applyFont="1" applyFill="1"/>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NumberFormat="1" applyFont="1" applyFill="1" applyBorder="1">
      <alignmen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12" fillId="0" borderId="0" numFmtId="0" xfId="0" applyNumberFormat="1" applyFont="1">
      <alignment vertical="center"/>
    </xf>
    <xf fontId="37"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7" numFmtId="501" xfId="0" applyNumberFormat="1" applyFont="1" applyBorder="1">
      <alignment horizontal="center" vertical="center" wrapText="1"/>
    </xf>
    <xf fontId="22" fillId="0" borderId="17" numFmtId="501"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NumberFormat="1" applyFont="1">
      <alignment vertical="center" wrapText="1"/>
    </xf>
    <xf fontId="0" fillId="0" borderId="0" numFmtId="49" xfId="0" applyNumberFormat="1" applyFont="1">
      <alignment vertical="top"/>
    </xf>
    <xf fontId="22" fillId="0" borderId="14"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0" fillId="39" borderId="15" numFmtId="504" xfId="0" applyNumberFormat="1" applyFont="1" applyFill="1" applyBorder="1">
      <alignment horizontal="left" indent="1" vertical="center" wrapText="1"/>
      <protection locked="0"/>
    </xf>
    <xf fontId="22" fillId="39" borderId="12" numFmtId="505" xfId="0" applyNumberFormat="1" applyFont="1" applyFill="1" applyBorder="1">
      <alignment horizontal="left" indent="1" vertical="center" wrapText="1"/>
      <protection locked="0"/>
    </xf>
    <xf fontId="48" fillId="0" borderId="0" numFmtId="504" xfId="0" applyNumberFormat="1" applyFont="1">
      <alignment horizontal="center" vertical="center" wrapText="1"/>
    </xf>
    <xf fontId="22" fillId="0" borderId="17" numFmtId="501"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5" numFmtId="501" xfId="0" applyNumberFormat="1" applyFont="1" applyBorder="1">
      <alignment horizontal="center" vertical="center" wrapText="1"/>
    </xf>
    <xf fontId="22" fillId="0" borderId="13" numFmtId="501"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23" numFmtId="0" xfId="0" applyNumberFormat="1" applyFont="1" applyBorder="1">
      <alignment horizontal="center" vertical="center" wrapText="1"/>
    </xf>
    <xf fontId="22" fillId="34" borderId="23" numFmtId="0" xfId="0" applyNumberFormat="1"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NumberFormat="1" applyFont="1" applyBorder="1">
      <alignment horizontal="left" vertical="top" wrapText="1"/>
    </xf>
    <xf fontId="22" fillId="0" borderId="12"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indent="1" vertical="center" wrapText="1"/>
    </xf>
    <xf fontId="22" fillId="0" borderId="23" numFmtId="501" xfId="0" applyNumberFormat="1" applyFont="1" applyBorder="1">
      <alignment horizontal="center" vertical="center" wrapText="1"/>
    </xf>
    <xf fontId="22" fillId="0" borderId="23" numFmtId="0" xfId="0" applyNumberFormat="1"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NumberFormat="1" applyFont="1" applyFill="1" applyBorder="1">
      <alignment vertical="center" wrapText="1"/>
    </xf>
    <xf fontId="48" fillId="0" borderId="0" numFmtId="0" xfId="0" applyNumberFormat="1" applyFont="1">
      <alignment horizontal="center"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12"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5" numFmtId="0" xfId="0" applyNumberFormat="1" applyFont="1" applyBorder="1">
      <alignment horizontal="left" vertical="center" wrapText="1"/>
    </xf>
    <xf fontId="42" fillId="0" borderId="0" numFmtId="0" xfId="0" applyNumberFormat="1" applyFont="1">
      <alignment horizontal="center" vertical="center" wrapText="1"/>
    </xf>
    <xf fontId="22" fillId="0" borderId="0" numFmtId="0" xfId="0" applyNumberFormat="1" applyFont="1">
      <alignment horizontal="center" vertical="center" wrapText="1"/>
    </xf>
    <xf fontId="45" fillId="0" borderId="19" numFmtId="501" xfId="0" applyNumberFormat="1" applyFont="1" applyBorder="1">
      <alignment horizontal="center" vertical="center" wrapText="1"/>
    </xf>
    <xf fontId="45" fillId="0" borderId="19" numFmtId="501" xfId="0" applyNumberFormat="1" applyFont="1" applyBorder="1">
      <alignment horizontal="center" vertical="center" wrapText="1"/>
    </xf>
    <xf fontId="45" fillId="0" borderId="20" numFmtId="501" xfId="0" applyNumberFormat="1" applyFont="1" applyBorder="1">
      <alignment horizontal="center" vertical="center" wrapText="1"/>
    </xf>
    <xf fontId="48" fillId="0" borderId="0" numFmtId="0" xfId="0" applyNumberFormat="1" applyFont="1">
      <alignment horizontal="center" vertical="center"/>
    </xf>
    <xf fontId="22" fillId="0" borderId="12" numFmtId="501" xfId="0" applyNumberFormat="1" applyFont="1" applyBorder="1">
      <alignment horizontal="center" vertical="center" wrapText="1"/>
    </xf>
    <xf fontId="22" fillId="0" borderId="36" numFmtId="501" xfId="0" applyNumberFormat="1" applyFont="1" applyBorder="1">
      <alignment horizontal="center" vertical="center" wrapText="1"/>
    </xf>
    <xf fontId="22" fillId="0" borderId="12" numFmtId="501" xfId="0" applyNumberFormat="1" applyFont="1" applyBorder="1">
      <alignment horizontal="center"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NumberFormat="1"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NumberFormat="1" applyFont="1">
      <alignment vertical="center" wrapText="1"/>
    </xf>
    <xf fontId="37" fillId="35" borderId="0" numFmtId="0" xfId="0" applyNumberFormat="1" applyFont="1" applyFill="1">
      <alignment horizontal="center" vertical="center" wrapText="1"/>
    </xf>
    <xf fontId="2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NumberFormat="1" applyFont="1" applyFill="1">
      <alignment horizontal="center" vertical="center" wrapText="1"/>
    </xf>
    <xf fontId="32" fillId="35" borderId="0" numFmtId="0" xfId="0" applyNumberFormat="1" applyFont="1" applyFill="1"/>
    <xf fontId="32" fillId="0" borderId="0" numFmtId="49" xfId="0" applyNumberFormat="1" applyFont="1">
      <alignment vertical="top"/>
    </xf>
    <xf fontId="22" fillId="35" borderId="12" numFmtId="0" xfId="0" applyNumberFormat="1"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22" fillId="0" borderId="0" numFmtId="0" xfId="0" applyNumberFormat="1" applyFont="1"/>
    <xf fontId="37" fillId="35" borderId="0" numFmtId="0" xfId="0" applyNumberFormat="1" applyFont="1" applyFill="1">
      <alignment horizontal="center" vertical="center"/>
    </xf>
    <xf fontId="22" fillId="35" borderId="0" numFmtId="0" xfId="0" applyNumberFormat="1" applyFont="1" applyFill="1"/>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64" fillId="0" borderId="0" numFmtId="0" xfId="0" applyNumberFormat="1" applyFont="1"/>
    <xf fontId="22" fillId="0" borderId="12" numFmtId="0" xfId="0" applyNumberFormat="1" applyFont="1" applyBorder="1">
      <alignment horizontal="center" vertical="center" wrapText="1"/>
    </xf>
    <xf fontId="22" fillId="35" borderId="17" numFmtId="0" xfId="0" applyNumberFormat="1" applyFont="1" applyFill="1" applyBorder="1">
      <alignment horizontal="center" vertical="center"/>
    </xf>
    <xf fontId="22" fillId="0" borderId="17" numFmtId="49" xfId="0" applyNumberFormat="1" applyFont="1" applyBorder="1">
      <alignment horizontal="left"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NumberFormat="1" applyFont="1">
      <alignment horizontal="center" vertical="center"/>
    </xf>
    <xf fontId="22" fillId="0" borderId="0" numFmtId="0" xfId="0" applyNumberFormat="1"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22" fillId="36"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NumberFormat="1" applyFont="1" applyBorder="1">
      <alignment horizontal="center" vertical="center" wrapText="1"/>
    </xf>
    <xf fontId="81" fillId="0" borderId="17" numFmtId="14" xfId="0" applyNumberFormat="1" applyFont="1" applyBorder="1">
      <alignment horizontal="center" vertical="center" wrapText="1"/>
    </xf>
    <xf fontId="75" fillId="0" borderId="12" numFmtId="0" xfId="0" applyNumberFormat="1" applyFont="1" applyBorder="1">
      <alignment horizontal="left" indent="1" vertical="center" wrapText="1"/>
    </xf>
    <xf fontId="81" fillId="0" borderId="17" numFmtId="0" xfId="0" applyNumberFormat="1" applyFont="1" applyBorder="1">
      <alignment horizontal="center" vertical="center" wrapText="1"/>
    </xf>
    <xf fontId="22" fillId="0" borderId="12" numFmtId="49" xfId="0" applyNumberFormat="1" applyFont="1" applyBorder="1">
      <alignment horizontal="center" vertical="center" wrapText="1"/>
    </xf>
    <xf fontId="74" fillId="0" borderId="0" numFmtId="0" xfId="0" applyNumberFormat="1" applyFont="1">
      <alignment vertical="center"/>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top"/>
    </xf>
    <xf fontId="0" fillId="0" borderId="12" numFmtId="49" xfId="0" applyNumberFormat="1" applyFont="1" applyBorder="1">
      <alignment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36" fillId="0" borderId="12" numFmtId="0" xfId="0" applyNumberFormat="1"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37" fillId="35" borderId="0" numFmtId="0" xfId="0" applyNumberFormat="1" applyFont="1" applyFill="1">
      <alignment vertical="top" wrapText="1"/>
    </xf>
    <xf fontId="22" fillId="35" borderId="14" numFmtId="0" xfId="0" applyNumberFormat="1" applyFont="1" applyFill="1" applyBorder="1">
      <alignment horizontal="center" vertical="center" wrapText="1"/>
    </xf>
    <xf fontId="48" fillId="35" borderId="12" numFmtId="0" xfId="0" applyNumberFormat="1"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23" numFmtId="0" xfId="0" applyNumberFormat="1" applyFont="1" applyBorder="1">
      <alignment horizontal="center" vertical="center" wrapText="1"/>
    </xf>
    <xf fontId="37" fillId="0" borderId="0" numFmtId="49" xfId="0" applyNumberFormat="1" applyFont="1">
      <alignment horizontal="center" vertical="center" wrapText="1"/>
    </xf>
    <xf fontId="0" fillId="39" borderId="12" numFmtId="504"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37" fillId="0" borderId="24" numFmtId="0"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504" xfId="0" applyNumberFormat="1" applyFont="1" applyFill="1" applyBorder="1">
      <alignment horizontal="center" vertical="top" wrapText="1"/>
      <protection locked="0"/>
    </xf>
    <xf fontId="0" fillId="36" borderId="12" numFmtId="504"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NumberFormat="1" applyFont="1" applyBorder="1">
      <alignment horizontal="center" vertical="center" wrapText="1"/>
    </xf>
    <xf fontId="22" fillId="0" borderId="12" numFmtId="0" xfId="0" applyNumberFormat="1"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NumberFormat="1"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0" borderId="22" numFmtId="0" xfId="0" applyNumberFormat="1"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NumberFormat="1"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NumberFormat="1" applyFont="1" applyBorder="1">
      <alignment horizontal="center" vertical="center"/>
    </xf>
    <xf fontId="45" fillId="40" borderId="12" numFmtId="0" xfId="0" applyNumberFormat="1"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NumberFormat="1"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NumberFormat="1"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NumberFormat="1" applyFont="1" applyBorder="1">
      <alignment horizontal="left" indent="1"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0" fillId="0" borderId="0" numFmtId="49" xfId="0" applyNumberFormat="1" applyFont="1">
      <alignment vertical="top"/>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40" fillId="0" borderId="12" numFmtId="0" xfId="0" applyNumberFormat="1" applyFont="1" applyBorder="1">
      <alignment horizontal="left" indent="1" vertical="center"/>
    </xf>
    <xf fontId="47" fillId="0" borderId="0" numFmtId="0" xfId="0" applyNumberFormat="1" applyFont="1">
      <alignment horizontal="center" vertical="top"/>
    </xf>
    <xf fontId="22" fillId="0" borderId="23" numFmtId="49" xfId="0" applyNumberFormat="1" applyFont="1" applyBorder="1">
      <alignment horizontal="center" vertical="center" wrapText="1"/>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NumberFormat="1"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NumberFormat="1" applyFont="1" applyBorder="1">
      <alignment horizontal="left" vertical="center" wrapText="1"/>
    </xf>
    <xf fontId="0" fillId="0" borderId="12" numFmtId="49" xfId="0" applyNumberFormat="1" applyFont="1" applyBorder="1">
      <alignment horizontal="center" vertical="center"/>
    </xf>
    <xf fontId="0" fillId="0" borderId="12" numFmtId="0" xfId="0" applyNumberFormat="1"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12" numFmtId="0" xfId="0" applyNumberFormat="1" applyFont="1" applyBorder="1">
      <alignment horizontal="center" vertical="center"/>
    </xf>
    <xf fontId="22" fillId="40" borderId="12" numFmtId="0" xfId="0" applyNumberFormat="1"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NumberFormat="1"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NumberFormat="1" applyFont="1" applyFill="1" applyBorder="1">
      <alignment vertical="center"/>
    </xf>
    <xf fontId="0" fillId="0" borderId="36" numFmtId="49" xfId="0" applyNumberFormat="1" applyFont="1" applyBorder="1">
      <alignment horizontal="left" vertical="top"/>
    </xf>
    <xf fontId="22" fillId="40" borderId="36" numFmtId="0" xfId="0" applyNumberFormat="1"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NumberFormat="1"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40" fillId="37" borderId="29" numFmtId="0" xfId="0" applyNumberFormat="1" applyFont="1" applyFill="1" applyBorder="1">
      <alignment horizontal="left" vertical="center"/>
    </xf>
    <xf fontId="0" fillId="36" borderId="36" numFmtId="49" xfId="0" applyNumberFormat="1" applyFont="1" applyFill="1" applyBorder="1">
      <alignment vertical="top"/>
      <protection locked="0"/>
    </xf>
    <xf fontId="0" fillId="0" borderId="0" numFmtId="0" xfId="0" applyNumberFormat="1" applyFont="1">
      <alignment vertical="center"/>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NumberFormat="1" applyFont="1" applyBorder="1">
      <alignment horizontal="center" vertical="center"/>
    </xf>
    <xf fontId="0" fillId="0" borderId="0" numFmtId="0" xfId="0" applyNumberFormat="1" applyFont="1">
      <alignment horizontal="center" vertical="center"/>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27" numFmtId="0" xfId="0" applyNumberFormat="1"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NumberFormat="1"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NumberFormat="1"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NumberFormat="1"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NumberFormat="1" applyFont="1" applyBorder="1">
      <alignment horizontal="left" vertical="center" wrapText="1"/>
    </xf>
    <xf fontId="22" fillId="0" borderId="36" numFmtId="49" xfId="0" applyNumberFormat="1" applyFont="1" applyBorder="1">
      <alignment horizontal="left" vertical="center" wrapText="1"/>
    </xf>
    <xf fontId="22" fillId="40" borderId="36" numFmtId="0" xfId="0" applyNumberFormat="1"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22" fillId="0" borderId="36" numFmtId="49" xfId="0" applyNumberFormat="1" applyFont="1" applyBorder="1">
      <alignment horizontal="center" vertical="center" wrapText="1"/>
    </xf>
    <xf fontId="40" fillId="37" borderId="37"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NumberFormat="1" applyFont="1" applyFill="1" applyBorder="1">
      <alignment vertical="center"/>
    </xf>
    <xf fontId="40" fillId="0" borderId="36" numFmtId="0" xfId="0" applyNumberFormat="1"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NumberFormat="1"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NumberFormat="1" applyFont="1" applyFill="1" applyBorder="1">
      <alignment horizontal="center" vertical="top" wrapText="1"/>
    </xf>
    <xf fontId="95" fillId="41" borderId="12" numFmtId="0" xfId="0" applyNumberFormat="1"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NumberFormat="1"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NumberFormat="1" applyFont="1" applyFill="1" applyBorder="1">
      <alignment horizontal="center" vertical="center" wrapText="1"/>
    </xf>
    <xf fontId="95" fillId="41" borderId="12" numFmtId="0" xfId="0" applyNumberFormat="1"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NumberFormat="1"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NumberFormat="1"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NumberFormat="1" applyFont="1" applyBorder="1">
      <alignment vertical="top" wrapText="1"/>
    </xf>
    <xf fontId="91" fillId="0" borderId="12" numFmtId="49" xfId="0" applyNumberFormat="1" applyFont="1" applyBorder="1">
      <alignment horizontal="left" vertical="top" wrapText="1"/>
    </xf>
    <xf fontId="91" fillId="0" borderId="14" numFmtId="0" xfId="0" applyNumberFormat="1" applyFont="1" applyBorder="1">
      <alignment horizontal="center" vertical="center" wrapText="1"/>
    </xf>
    <xf fontId="91" fillId="0" borderId="14" numFmtId="0" xfId="0" applyNumberFormat="1" applyFont="1" applyBorder="1">
      <alignment horizontal="center" vertical="center"/>
    </xf>
    <xf fontId="91" fillId="0" borderId="12" numFmtId="49" xfId="0" applyNumberFormat="1" applyFont="1" applyBorder="1">
      <alignment horizontal="center" vertical="center" wrapText="1"/>
    </xf>
    <xf fontId="91" fillId="0" borderId="12" numFmtId="0" xfId="0" applyNumberFormat="1" applyFont="1" applyBorder="1">
      <alignment vertical="center" wrapText="1"/>
    </xf>
    <xf fontId="95" fillId="0" borderId="14" numFmtId="49" xfId="0" applyNumberFormat="1" applyFont="1" applyBorder="1">
      <alignment horizontal="left" vertical="top" wrapText="1"/>
    </xf>
    <xf fontId="91" fillId="0" borderId="12" numFmtId="0" xfId="0" applyNumberFormat="1" applyFont="1" applyBorder="1">
      <alignment horizontal="center"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36" numFmtId="49" xfId="0" applyNumberFormat="1" applyFont="1" applyBorder="1">
      <alignment horizontal="left" vertical="top" wrapText="1"/>
    </xf>
    <xf fontId="95" fillId="0" borderId="36" numFmtId="0" xfId="0" applyNumberFormat="1"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NumberFormat="1" applyFont="1">
      <alignment vertical="top" wrapText="1"/>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0" fillId="0" borderId="0" numFmtId="0" xfId="0" applyNumberFormat="1" applyFont="1">
      <alignment horizontal="left" vertical="center"/>
    </xf>
    <xf fontId="0" fillId="35" borderId="12" numFmtId="0" xfId="0" applyNumberFormat="1" applyFont="1" applyFill="1" applyBorder="1">
      <alignment horizontal="right" indent="1" vertical="center" wrapText="1"/>
    </xf>
    <xf fontId="0" fillId="0" borderId="14" numFmtId="0" xfId="0" applyNumberFormat="1" applyFont="1" applyBorder="1">
      <alignment vertical="center"/>
    </xf>
    <xf fontId="22" fillId="0" borderId="0" numFmtId="0" xfId="0" applyNumberFormat="1" applyFont="1">
      <alignment horizontal="left" vertical="center" wrapText="1"/>
    </xf>
    <xf fontId="22" fillId="0" borderId="0" numFmtId="0" xfId="0" applyNumberFormat="1" applyFont="1">
      <alignment horizontal="righ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2" numFmtId="504"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NumberFormat="1"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top"/>
    </xf>
    <xf fontId="0" fillId="0" borderId="0" numFmtId="0" xfId="0" applyNumberFormat="1" applyFont="1">
      <alignment vertical="top"/>
    </xf>
    <xf fontId="0" fillId="35" borderId="0" numFmtId="49" xfId="0" applyNumberFormat="1" applyFont="1" applyFill="1">
      <alignment vertical="top"/>
    </xf>
    <xf fontId="0" fillId="35" borderId="0" numFmtId="49" xfId="0" applyNumberFormat="1" applyFont="1" applyFill="1">
      <alignment vertical="top"/>
    </xf>
    <xf fontId="0" fillId="0" borderId="0" numFmtId="0" xfId="0" applyNumberFormat="1" applyFont="1"/>
    <xf fontId="1" fillId="0" borderId="0" numFmtId="0" xfId="0" applyNumberFormat="1" applyFont="1"/>
    <xf fontId="29" fillId="0" borderId="0" numFmtId="0" xfId="0" applyNumberFormat="1"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NumberFormat="1" applyFont="1" applyBorder="1">
      <alignment vertical="top" wrapText="1"/>
    </xf>
    <xf fontId="46" fillId="0" borderId="18" numFmtId="0" xfId="0" applyNumberFormat="1" applyFont="1" applyBorder="1">
      <alignment vertical="top" wrapText="1"/>
    </xf>
    <xf fontId="0" fillId="0" borderId="0" numFmtId="0" xfId="0" applyNumberFormat="1" applyFont="1">
      <alignment vertical="top"/>
    </xf>
    <xf fontId="0" fillId="0" borderId="12" numFmtId="0" xfId="0" applyNumberFormat="1"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NumberFormat="1" applyFont="1">
      <alignment vertical="center" wrapText="1"/>
    </xf>
    <xf fontId="102" fillId="0" borderId="0" numFmtId="0" xfId="0" applyNumberFormat="1" applyFont="1">
      <alignment horizontal="left" vertical="center" wrapText="1"/>
    </xf>
    <xf fontId="117" fillId="0" borderId="0" numFmtId="49" xfId="0" applyNumberFormat="1" applyFont="1">
      <alignment wrapText="1"/>
    </xf>
    <xf fontId="102" fillId="0" borderId="0" numFmtId="0" xfId="0" applyNumberFormat="1" applyFont="1">
      <alignment vertical="center"/>
    </xf>
    <xf fontId="46" fillId="0" borderId="0" numFmtId="0" xfId="0" applyNumberFormat="1" applyFont="1">
      <alignment horizontal="left" vertical="top" wrapText="1"/>
    </xf>
    <xf fontId="22" fillId="0" borderId="0" numFmtId="49" xfId="0" applyNumberFormat="1" applyFont="1">
      <alignment vertical="top" wrapText="1"/>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66" fillId="0" borderId="0" numFmtId="0" xfId="0" applyNumberFormat="1" applyFont="1">
      <alignment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0" fillId="53" borderId="60" numFmtId="0" xfId="0" applyNumberFormat="1" applyFont="1" applyFill="1" applyBorder="1">
      <alignment horizontal="center"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46" fillId="46" borderId="0" numFmtId="0" xfId="0" applyNumberFormat="1" applyFont="1" applyFill="1">
      <alignment horizontal="right" indent="1"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120" fillId="0" borderId="0" numFmtId="0" xfId="0" applyNumberFormat="1" applyFont="1"/>
    <xf fontId="120" fillId="0" borderId="38" numFmtId="0" xfId="0" applyNumberFormat="1" applyFont="1" applyBorder="1">
      <alignment wrapText="1"/>
    </xf>
    <xf fontId="120" fillId="0" borderId="0" numFmtId="0" xfId="0" applyNumberFormat="1" applyFont="1">
      <alignment vertical="top"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66" fillId="0" borderId="0" numFmtId="49" xfId="0" applyNumberFormat="1" applyFont="1">
      <alignment vertical="top" wrapText="1"/>
    </xf>
    <xf fontId="29" fillId="0" borderId="0" numFmtId="0" xfId="0" applyNumberFormat="1" applyFont="1"/>
    <xf fontId="63" fillId="0" borderId="0" numFmtId="0" xfId="0" applyNumberFormat="1" applyFont="1">
      <alignment vertical="center" wrapText="1"/>
    </xf>
    <xf fontId="91" fillId="0" borderId="0" numFmtId="0" xfId="0" applyNumberFormat="1" applyFont="1">
      <alignment horizontal="left"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32" fillId="0" borderId="0" numFmtId="0" xfId="0" applyNumberFormat="1" applyFont="1">
      <alignment horizontal="center" vertical="center" wrapText="1"/>
    </xf>
    <xf fontId="32"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NumberFormat="1"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NumberFormat="1" applyFont="1">
      <alignment vertical="center" wrapText="1"/>
    </xf>
    <xf fontId="60" fillId="0" borderId="0" numFmtId="0" xfId="0" applyNumberFormat="1" applyFont="1">
      <alignment vertical="center" wrapText="1"/>
    </xf>
    <xf fontId="91" fillId="0" borderId="0" numFmtId="0" xfId="0" applyNumberFormat="1" applyFont="1">
      <alignment horizontal="lef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60" fillId="0" borderId="0" numFmtId="0" xfId="0" applyNumberFormat="1" applyFont="1">
      <alignment vertical="center" wrapText="1"/>
    </xf>
    <xf fontId="34" fillId="35" borderId="0" numFmtId="0" xfId="0" applyNumberFormat="1" applyFont="1" applyFill="1">
      <alignment vertical="center"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50" fillId="35" borderId="0" numFmtId="0" xfId="0" applyNumberFormat="1" applyFont="1" applyFill="1">
      <alignment vertical="center" wrapText="1"/>
    </xf>
    <xf fontId="96"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22" fillId="35" borderId="26" numFmtId="0" xfId="0" applyNumberFormat="1" applyFont="1" applyFill="1" applyBorder="1">
      <alignment horizontal="right" indent="1" vertical="center" wrapText="1"/>
    </xf>
    <xf fontId="0" fillId="34" borderId="12" numFmtId="0" xfId="0" applyNumberFormat="1"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22" fillId="35" borderId="0" numFmtId="0" xfId="0" applyNumberFormat="1" applyFont="1" applyFill="1">
      <alignment horizontal="center" vertical="center" wrapText="1"/>
    </xf>
    <xf fontId="88" fillId="0" borderId="0" numFmtId="0" xfId="0" applyNumberFormat="1" applyFont="1">
      <alignment horizontal="center" vertical="center" wrapText="1"/>
    </xf>
    <xf fontId="22" fillId="0" borderId="0" numFmtId="0" xfId="0" applyNumberFormat="1" applyFont="1">
      <alignment vertical="center" wrapText="1"/>
    </xf>
    <xf fontId="33" fillId="0" borderId="0" numFmtId="0" xfId="0" applyNumberFormat="1" applyFont="1">
      <alignment vertical="center" wrapText="1"/>
    </xf>
    <xf fontId="34" fillId="35" borderId="0" numFmtId="0" xfId="0" applyNumberFormat="1" applyFont="1" applyFill="1">
      <alignment vertical="center" wrapText="1"/>
    </xf>
    <xf fontId="22" fillId="35" borderId="26" numFmtId="0" xfId="0" applyNumberFormat="1" applyFont="1" applyFill="1" applyBorder="1">
      <alignment horizontal="right" indent="1" vertical="center" wrapText="1"/>
    </xf>
    <xf fontId="22" fillId="39" borderId="12" numFmtId="0" xfId="0" applyNumberFormat="1" applyFont="1" applyFill="1" applyBorder="1">
      <alignment horizontal="left" indent="1" vertical="top" wrapText="1"/>
      <protection locked="0"/>
    </xf>
    <xf fontId="22" fillId="0" borderId="0" numFmtId="0" xfId="0" applyNumberFormat="1" applyFont="1">
      <alignment horizontal="left" vertical="center" wrapText="1"/>
    </xf>
    <xf fontId="47"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22" fillId="40" borderId="12" numFmtId="49" xfId="0" applyNumberFormat="1" applyFont="1" applyFill="1" applyBorder="1">
      <alignment horizontal="left" indent="1" vertical="center" wrapText="1"/>
    </xf>
    <xf fontId="60" fillId="0" borderId="0" numFmtId="0" xfId="0" applyNumberFormat="1" applyFont="1">
      <alignment vertical="center" wrapText="1"/>
    </xf>
    <xf fontId="93" fillId="0" borderId="12" numFmtId="14" xfId="0" applyNumberFormat="1" applyFont="1" applyBorder="1">
      <alignment horizontal="center" vertical="center" wrapText="1"/>
    </xf>
    <xf fontId="0" fillId="39" borderId="12" numFmtId="504" xfId="0" applyNumberFormat="1" applyFont="1" applyFill="1" applyBorder="1">
      <alignment horizontal="left" indent="1" vertical="center" wrapText="1"/>
      <protection locked="0"/>
    </xf>
    <xf fontId="53" fillId="0" borderId="0" numFmtId="0" xfId="0" applyNumberFormat="1" applyFont="1">
      <alignment horizontal="left" indent="1" vertical="center"/>
    </xf>
    <xf fontId="22" fillId="35" borderId="0" numFmtId="0" xfId="0" applyNumberFormat="1"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504"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39" borderId="12" numFmtId="504" xfId="0" applyNumberFormat="1" applyFont="1" applyFill="1" applyBorder="1">
      <alignment horizontal="left" indent="1" vertical="center" wrapText="1"/>
      <protection locked="0"/>
    </xf>
    <xf fontId="0" fillId="35" borderId="0" numFmtId="0" xfId="0" applyNumberFormat="1" applyFont="1" applyFill="1">
      <alignment horizontal="right" indent="1" vertical="center" wrapText="1"/>
    </xf>
    <xf fontId="96" fillId="0" borderId="0" numFmtId="0" xfId="0" applyNumberFormat="1" applyFont="1">
      <alignment horizontal="left" vertical="center" wrapText="1"/>
    </xf>
    <xf fontId="0" fillId="39" borderId="12" numFmtId="504" xfId="0" applyNumberFormat="1" applyFont="1" applyFill="1" applyBorder="1">
      <alignment horizontal="left" indent="1" vertical="center" wrapText="1"/>
      <protection locked="0"/>
    </xf>
    <xf fontId="22" fillId="35" borderId="0" numFmtId="0" xfId="0" applyNumberFormat="1" applyFont="1" applyFill="1">
      <alignment horizontal="right" indent="1" vertical="center" wrapText="1"/>
    </xf>
    <xf fontId="22" fillId="0" borderId="0" numFmtId="0" xfId="0" applyNumberFormat="1" applyFont="1">
      <alignment horizontal="center" vertical="center" wrapText="1"/>
    </xf>
    <xf fontId="22" fillId="35" borderId="0" numFmtId="0" xfId="0" applyNumberFormat="1" applyFont="1" applyFill="1">
      <alignment horizontal="center" vertical="center" wrapText="1"/>
    </xf>
    <xf fontId="0" fillId="35" borderId="0" numFmtId="0" xfId="0" applyNumberFormat="1" applyFont="1" applyFill="1">
      <alignment horizontal="left" indent="1" vertical="center" wrapText="1"/>
    </xf>
    <xf fontId="22" fillId="39" borderId="12" numFmtId="49"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22" fillId="0" borderId="12" numFmtId="49" xfId="0" applyNumberFormat="1" applyFont="1" applyBorder="1">
      <alignment horizontal="left" indent="1"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NumberFormat="1" applyFont="1" applyFill="1" applyBorder="1">
      <alignment horizontal="right" indent="1" vertical="center" wrapText="1"/>
    </xf>
    <xf fontId="22" fillId="0" borderId="0" numFmtId="0" xfId="0" applyNumberFormat="1" applyFont="1">
      <alignment vertical="center"/>
    </xf>
    <xf fontId="22" fillId="35" borderId="0" numFmtId="14" xfId="0" applyNumberFormat="1" applyFont="1" applyFill="1">
      <alignment horizontal="left" vertical="center" wrapText="1"/>
    </xf>
    <xf fontId="22" fillId="39" borderId="12" numFmtId="0" xfId="0" applyNumberFormat="1" applyFont="1" applyFill="1" applyBorder="1">
      <alignment horizontal="left" indent="1" vertical="center" wrapText="1"/>
      <protection locked="0"/>
    </xf>
    <xf fontId="61" fillId="35" borderId="0" numFmtId="0" xfId="0" applyNumberFormat="1" applyFont="1" applyFill="1">
      <alignment horizontal="right" indent="1" vertical="center" wrapText="1"/>
    </xf>
    <xf fontId="61" fillId="35" borderId="0" numFmtId="0" xfId="0" applyNumberFormat="1"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32" fillId="0" borderId="0" numFmtId="0" xfId="0" applyNumberFormat="1" applyFont="1">
      <alignment horizontal="left" vertical="center" wrapText="1"/>
    </xf>
    <xf fontId="124" fillId="0" borderId="12" numFmtId="49" xfId="0" applyNumberFormat="1" applyFont="1" applyBorder="1">
      <alignment horizontal="left" indent="1" vertical="center" wrapText="1"/>
    </xf>
    <xf fontId="32" fillId="0" borderId="0" numFmtId="0" xfId="0" applyNumberFormat="1" applyFont="1">
      <alignment horizontal="left" vertical="center" wrapText="1"/>
    </xf>
    <xf fontId="92" fillId="0" borderId="0" numFmtId="14" xfId="0" applyNumberFormat="1" applyFont="1">
      <alignment horizontal="center" vertical="center" wrapText="1"/>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7"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vertical="center" wrapText="1"/>
    </xf>
    <xf fontId="22" fillId="40" borderId="12" numFmtId="0" xfId="0" applyNumberFormat="1" applyFont="1" applyFill="1" applyBorder="1">
      <alignment horizontal="left" indent="1" vertical="center" wrapText="1"/>
    </xf>
    <xf fontId="0" fillId="0" borderId="11" numFmtId="504" xfId="0" applyNumberFormat="1" applyFont="1" applyBorder="1">
      <alignment horizontal="left" indent="1" vertical="center" wrapText="1"/>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NumberFormat="1"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NumberFormat="1" applyFont="1">
      <alignment horizontal="left" indent="4" vertical="center" wrapText="1"/>
    </xf>
    <xf fontId="22" fillId="0" borderId="0" numFmtId="0" xfId="0" applyNumberFormat="1"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NumberFormat="1" applyFont="1">
      <alignment vertical="top" wrapText="1"/>
    </xf>
    <xf fontId="33" fillId="0" borderId="0" numFmtId="0" xfId="0" applyNumberFormat="1" applyFont="1">
      <alignment vertical="center" wrapText="1"/>
    </xf>
    <xf fontId="91" fillId="0" borderId="0" numFmtId="0" xfId="0" applyNumberFormat="1" applyFont="1">
      <alignment horizontal="left" vertical="center" wrapText="1"/>
    </xf>
    <xf fontId="32" fillId="0" borderId="0" numFmtId="0" xfId="0" applyNumberFormat="1" applyFont="1">
      <alignment horizontal="left" vertical="center" wrapText="1"/>
    </xf>
    <xf fontId="33" fillId="0" borderId="0" numFmtId="0" xfId="0" applyNumberFormat="1" applyFont="1">
      <alignment vertical="center" wrapText="1"/>
    </xf>
    <xf fontId="22" fillId="0" borderId="0" numFmtId="0" xfId="0" applyNumberFormat="1" applyFont="1">
      <alignment horizontal="center" vertical="center" wrapText="1"/>
    </xf>
    <xf fontId="32" fillId="0" borderId="0" numFmtId="0" xfId="0" applyNumberFormat="1" applyFont="1">
      <alignment horizontal="center" vertical="center" wrapText="1"/>
    </xf>
    <xf fontId="47" fillId="0" borderId="0" numFmtId="0" xfId="0" applyNumberFormat="1" applyFont="1">
      <alignment vertical="center" wrapText="1"/>
    </xf>
    <xf fontId="48" fillId="0" borderId="0" numFmtId="0" xfId="0" applyNumberFormat="1" applyFont="1">
      <alignment vertical="center" wrapText="1"/>
    </xf>
    <xf fontId="72" fillId="0" borderId="0" numFmtId="0" xfId="0" applyNumberFormat="1" applyFont="1">
      <alignment vertical="center" wrapText="1"/>
    </xf>
    <xf fontId="48"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wrapText="1"/>
    </xf>
    <xf fontId="48" fillId="0" borderId="0" numFmtId="0" xfId="0" applyNumberFormat="1" applyFont="1">
      <alignment horizontal="left" indent="1" vertical="center" wrapText="1"/>
    </xf>
    <xf fontId="48" fillId="0" borderId="0" numFmtId="0" xfId="0" applyNumberFormat="1" applyFont="1">
      <alignment horizontal="left" indent="1" vertical="center"/>
    </xf>
    <xf fontId="48" fillId="0" borderId="0" numFmtId="0" xfId="0" applyNumberFormat="1" applyFont="1">
      <alignment vertical="center" wrapText="1"/>
    </xf>
    <xf fontId="56" fillId="0" borderId="0" numFmtId="0" xfId="0" applyNumberFormat="1" applyFont="1">
      <alignment vertical="center" wrapText="1"/>
    </xf>
    <xf fontId="22"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xf>
    <xf fontId="48" fillId="0" borderId="0" numFmtId="0" xfId="0" applyNumberFormat="1" applyFont="1">
      <alignment vertical="center"/>
    </xf>
    <xf fontId="55" fillId="0" borderId="0" numFmtId="0" xfId="0" applyNumberFormat="1" applyFont="1">
      <alignment vertical="center"/>
    </xf>
    <xf fontId="42" fillId="0" borderId="0" numFmtId="0" xfId="0" applyNumberFormat="1" applyFont="1">
      <alignment vertical="center" wrapText="1"/>
    </xf>
    <xf fontId="22" fillId="0" borderId="15" numFmtId="0" xfId="0" applyNumberFormat="1" applyFont="1" applyBorder="1">
      <alignment horizontal="left" indent="1"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NumberFormat="1" applyFont="1">
      <alignment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2" numFmtId="501" xfId="0" applyNumberFormat="1" applyFont="1" applyBorder="1">
      <alignment horizontal="center" vertical="center" wrapText="1"/>
    </xf>
    <xf fontId="36" fillId="0" borderId="0" numFmtId="0" xfId="0" applyNumberFormat="1"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NumberFormat="1" applyFont="1">
      <alignment vertical="center"/>
    </xf>
    <xf fontId="47" fillId="0" borderId="0" numFmtId="0" xfId="0" applyNumberFormat="1" applyFont="1">
      <alignment vertical="center"/>
    </xf>
    <xf fontId="54" fillId="0" borderId="0" numFmtId="0" xfId="0" applyNumberFormat="1"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NumberFormat="1" applyFont="1" applyBorder="1">
      <alignment vertical="center"/>
    </xf>
    <xf fontId="2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NumberFormat="1" applyFont="1">
      <alignment vertical="center"/>
    </xf>
    <xf fontId="48" fillId="0" borderId="0" numFmtId="0" xfId="0" applyNumberFormat="1" applyFont="1">
      <alignment vertical="center"/>
    </xf>
    <xf fontId="42" fillId="0" borderId="0" numFmtId="0" xfId="0" applyNumberFormat="1" applyFont="1">
      <alignment vertical="center" wrapText="1"/>
    </xf>
    <xf fontId="0" fillId="0" borderId="0" numFmtId="49" xfId="0" applyNumberFormat="1" applyFont="1">
      <alignment vertical="top"/>
    </xf>
    <xf fontId="36" fillId="0" borderId="24" numFmtId="0" xfId="0" applyNumberFormat="1" applyFont="1" applyBorder="1">
      <alignment vertical="top" wrapText="1"/>
    </xf>
    <xf fontId="22" fillId="0" borderId="23" numFmtId="0" xfId="0" applyNumberFormat="1" applyFont="1" applyBorder="1">
      <alignment horizontal="center" vertical="center" wrapText="1"/>
    </xf>
    <xf fontId="48" fillId="0" borderId="23" numFmtId="0" xfId="0" applyNumberFormat="1"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NumberFormat="1"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center" wrapText="1"/>
    </xf>
    <xf fontId="36" fillId="0" borderId="0" numFmtId="0" xfId="0" applyNumberFormat="1"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NumberFormat="1" applyFont="1">
      <alignment horizontal="center"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94" fillId="0" borderId="0" numFmtId="0" xfId="0" applyNumberFormat="1" applyFont="1">
      <alignment vertical="center" wrapText="1"/>
    </xf>
    <xf fontId="51" fillId="0" borderId="0" numFmtId="0" xfId="0" applyNumberFormat="1" applyFont="1">
      <alignment horizontal="center" vertical="center" wrapText="1"/>
    </xf>
    <xf fontId="45" fillId="0" borderId="0" numFmtId="0" xfId="0" applyNumberFormat="1" applyFont="1">
      <alignment vertical="center" wrapText="1"/>
    </xf>
    <xf fontId="0" fillId="0" borderId="0" numFmtId="49" xfId="0" applyNumberFormat="1" applyFont="1">
      <alignment vertical="top"/>
    </xf>
    <xf fontId="37" fillId="0" borderId="0" numFmtId="0" xfId="0" applyNumberFormat="1" applyFont="1">
      <alignment horizontal="center" vertical="center" wrapText="1"/>
    </xf>
    <xf fontId="48" fillId="0" borderId="0" numFmtId="0" xfId="0" applyNumberFormat="1" applyFont="1">
      <alignment vertical="center"/>
    </xf>
    <xf fontId="55" fillId="0" borderId="0" numFmtId="0" xfId="0" applyNumberFormat="1" applyFont="1">
      <alignment vertical="center"/>
    </xf>
    <xf fontId="0" fillId="0" borderId="0" numFmtId="0" xfId="0" applyNumberFormat="1" applyFont="1">
      <alignment vertical="center"/>
    </xf>
    <xf fontId="22" fillId="0" borderId="0" numFmtId="0" xfId="0" applyNumberFormat="1" applyFont="1">
      <alignment vertical="center"/>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7" fillId="0" borderId="0" numFmtId="0" xfId="0" applyNumberFormat="1" applyFont="1">
      <alignment vertical="center"/>
    </xf>
    <xf fontId="41" fillId="0" borderId="0" numFmtId="0" xfId="0" applyNumberFormat="1" applyFont="1">
      <alignment vertical="center"/>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horizontal="center" vertical="center" wrapText="1"/>
    </xf>
    <xf fontId="22" fillId="0" borderId="0" numFmtId="0" xfId="0" applyNumberFormat="1" applyFont="1">
      <alignment vertical="center" wrapText="1"/>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0" fillId="0" borderId="0" numFmtId="0" xfId="0" applyNumberFormat="1" applyFont="1">
      <alignment horizontal="left" indent="2" vertical="center" wrapText="1"/>
    </xf>
    <xf fontId="0" fillId="0" borderId="0" numFmtId="0" xfId="0" applyNumberFormat="1" applyFont="1">
      <alignment horizontal="left" indent="2" vertical="center"/>
    </xf>
    <xf fontId="31" fillId="0" borderId="0" numFmtId="0" xfId="0" applyNumberFormat="1" applyFont="1">
      <alignment vertical="center"/>
    </xf>
    <xf fontId="22" fillId="42" borderId="0" numFmtId="0" xfId="0" applyNumberFormat="1" applyFont="1" applyFill="1">
      <alignment horizontal="center" vertical="center" wrapText="1"/>
    </xf>
    <xf fontId="22" fillId="0" borderId="0" numFmtId="0" xfId="0" applyNumberFormat="1" applyFont="1">
      <alignment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75" fillId="0" borderId="12" numFmtId="0" xfId="0" applyNumberFormat="1" applyFont="1" applyBorder="1">
      <alignment horizontal="center" vertical="center" wrapText="1"/>
    </xf>
    <xf fontId="22" fillId="0" borderId="0" numFmtId="0" xfId="0" applyNumberFormat="1" applyFont="1">
      <alignment horizontal="center" vertical="center" wrapText="1"/>
    </xf>
    <xf fontId="8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47" fillId="0" borderId="22" numFmtId="0" xfId="0" applyNumberFormat="1" applyFont="1" applyBorder="1">
      <alignment vertical="center"/>
    </xf>
    <xf fontId="0" fillId="0" borderId="0" numFmtId="0" xfId="0" applyNumberFormat="1"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NumberFormat="1" applyFont="1" applyBorder="1">
      <alignment vertical="center"/>
    </xf>
    <xf fontId="48" fillId="0" borderId="0" numFmtId="0" xfId="0" applyNumberFormat="1" applyFont="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NumberFormat="1" applyFont="1" applyFill="1" applyBorder="1">
      <alignment vertical="center"/>
    </xf>
    <xf fontId="0" fillId="0" borderId="0" numFmtId="49" xfId="0" applyNumberFormat="1" applyFont="1">
      <alignment vertical="top"/>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NumberFormat="1" applyFont="1" applyBorder="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NumberFormat="1"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NumberFormat="1" applyFont="1">
      <alignment vertical="center"/>
    </xf>
    <xf fontId="47" fillId="0" borderId="0" numFmtId="0" xfId="0" applyNumberFormat="1" applyFont="1">
      <alignment vertical="center"/>
    </xf>
    <xf fontId="22"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49" fillId="0" borderId="0" numFmtId="0" xfId="0" applyNumberFormat="1" applyFont="1">
      <alignment vertical="center"/>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64" fillId="0" borderId="0" numFmtId="0" xfId="0" applyNumberFormat="1" applyFont="1">
      <alignment vertical="center" wrapText="1"/>
    </xf>
    <xf fontId="46" fillId="0" borderId="0" numFmtId="0" xfId="0" applyNumberFormat="1" applyFont="1">
      <alignment vertical="center" wrapText="1"/>
    </xf>
    <xf fontId="46" fillId="0" borderId="0" numFmtId="0" xfId="0" applyNumberFormat="1" applyFont="1">
      <alignment vertical="center" wrapText="1"/>
    </xf>
    <xf fontId="108" fillId="0" borderId="0" numFmtId="0" xfId="0" applyNumberFormat="1" applyFont="1">
      <alignment vertical="center"/>
    </xf>
    <xf fontId="41" fillId="0" borderId="0" numFmtId="0" xfId="0" applyNumberFormat="1" applyFont="1">
      <alignment vertical="center"/>
    </xf>
    <xf fontId="22" fillId="0" borderId="27" numFmtId="0" xfId="0" applyNumberFormat="1" applyFont="1" applyBorder="1">
      <alignment horizontal="left" indent="1" vertical="center"/>
    </xf>
    <xf fontId="67" fillId="0" borderId="0" numFmtId="0" xfId="0" applyNumberFormat="1" applyFont="1">
      <alignment vertical="center"/>
    </xf>
    <xf fontId="48" fillId="0" borderId="0" numFmtId="0" xfId="0" applyNumberFormat="1" applyFont="1">
      <alignment vertical="center"/>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67" fillId="0" borderId="0" numFmtId="0" xfId="0" applyNumberFormat="1" applyFont="1">
      <alignment vertical="center"/>
    </xf>
    <xf fontId="22" fillId="0" borderId="0" numFmtId="0" xfId="0" applyNumberFormat="1" applyFont="1">
      <alignment vertical="center"/>
    </xf>
    <xf fontId="67" fillId="0" borderId="0" numFmtId="0" xfId="0" applyNumberFormat="1" applyFont="1">
      <alignment vertical="center"/>
    </xf>
    <xf fontId="31" fillId="0" borderId="0" numFmtId="0" xfId="0" applyNumberFormat="1" applyFont="1">
      <alignment vertical="center"/>
    </xf>
    <xf fontId="41" fillId="0" borderId="0" numFmtId="0" xfId="0" applyNumberFormat="1" applyFont="1">
      <alignment vertical="center"/>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NumberFormat="1" applyFont="1">
      <alignment vertical="center"/>
    </xf>
    <xf fontId="37" fillId="0" borderId="0" numFmtId="0" xfId="0" applyNumberFormat="1" applyFont="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NumberFormat="1" applyFont="1">
      <alignment vertical="center"/>
    </xf>
    <xf fontId="0" fillId="0" borderId="0" numFmtId="49" xfId="0" applyNumberFormat="1" applyFont="1">
      <alignment vertical="center"/>
    </xf>
    <xf fontId="0" fillId="0" borderId="12" numFmtId="0" xfId="0" applyNumberFormat="1" applyFont="1" applyBorder="1">
      <alignment horizontal="center" vertical="top"/>
    </xf>
    <xf fontId="22" fillId="0" borderId="12" numFmtId="0" xfId="0" applyNumberFormat="1" applyFont="1" applyBorder="1">
      <alignment horizontal="left" vertical="top" wrapText="1"/>
    </xf>
    <xf fontId="22" fillId="40" borderId="17" numFmtId="0" xfId="0" applyNumberFormat="1" applyFont="1" applyFill="1" applyBorder="1">
      <alignment horizontal="center" vertical="top" wrapText="1"/>
    </xf>
    <xf fontId="22" fillId="40" borderId="12" numFmtId="0" xfId="0" applyNumberFormat="1" applyFont="1" applyFill="1" applyBorder="1">
      <alignment horizontal="left" vertical="top" wrapText="1"/>
    </xf>
    <xf fontId="0" fillId="0" borderId="12" numFmtId="0" xfId="0" applyNumberFormat="1"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40" borderId="12" numFmtId="0" xfId="0" applyNumberFormat="1" applyFont="1" applyFill="1" applyBorder="1">
      <alignment horizontal="left" vertical="center" wrapText="1"/>
      <protection locked="0"/>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0" xfId="0" applyNumberFormat="1" applyFont="1">
      <alignment horizontal="left" indent="1" vertical="center"/>
    </xf>
    <xf fontId="0"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center" vertical="top" wrapText="1"/>
    </xf>
    <xf fontId="22" fillId="40" borderId="36"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protection locked="0"/>
    </xf>
    <xf fontId="22" fillId="40" borderId="23"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NumberFormat="1" applyFont="1" applyFill="1" applyBorder="1">
      <alignment horizontal="center" vertical="top" wrapText="1"/>
    </xf>
    <xf fontId="0" fillId="40" borderId="12" numFmtId="49" xfId="0" applyNumberFormat="1" applyFont="1" applyFill="1" applyBorder="1">
      <alignment horizontal="left" vertical="top"/>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22" fillId="39" borderId="12" numFmtId="0" xfId="0" applyNumberFormat="1"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NumberFormat="1" applyFont="1">
      <alignment vertical="center"/>
    </xf>
    <xf fontId="22" fillId="39" borderId="12" numFmtId="0" xfId="0" applyNumberFormat="1" applyFont="1" applyFill="1" applyBorder="1">
      <alignment horizontal="left" vertical="top" wrapText="1"/>
      <protection locked="0"/>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39" borderId="12" numFmtId="0" xfId="0" applyNumberFormat="1" applyFont="1" applyFill="1" applyBorder="1">
      <alignment horizontal="left" vertical="top"/>
      <protection locked="0"/>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0" fillId="0" borderId="0" numFmtId="0" xfId="0" applyNumberFormat="1" applyFont="1">
      <alignment vertical="center"/>
    </xf>
    <xf fontId="0" fillId="0" borderId="22" numFmtId="0" xfId="0" applyNumberFormat="1" applyFont="1" applyBorder="1">
      <alignment horizontal="center" vertical="center"/>
    </xf>
    <xf fontId="0" fillId="0" borderId="0" numFmtId="0" xfId="0" applyNumberFormat="1"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vertical="center"/>
    </xf>
    <xf fontId="0" fillId="0" borderId="17" numFmtId="0" xfId="0" applyNumberFormat="1" applyFont="1" applyBorder="1">
      <alignment horizontal="center" vertical="top"/>
    </xf>
    <xf fontId="22" fillId="0" borderId="17" numFmtId="0" xfId="0" applyNumberFormat="1" applyFont="1" applyBorder="1">
      <alignment horizontal="left" vertical="top" wrapText="1"/>
    </xf>
    <xf fontId="0" fillId="0" borderId="0" numFmtId="0" xfId="0" applyNumberFormat="1" applyFont="1">
      <alignment vertical="center"/>
    </xf>
    <xf fontId="0" fillId="0" borderId="36" numFmtId="0" xfId="0" applyNumberFormat="1" applyFont="1" applyBorder="1">
      <alignment horizontal="center" vertical="top"/>
    </xf>
    <xf fontId="22" fillId="0" borderId="36" numFmtId="0" xfId="0" applyNumberFormat="1" applyFont="1" applyBorder="1">
      <alignment horizontal="left" vertical="top" wrapText="1"/>
    </xf>
    <xf fontId="0" fillId="0" borderId="23" numFmtId="0" xfId="0" applyNumberFormat="1" applyFont="1" applyBorder="1">
      <alignment horizontal="center" vertical="top"/>
    </xf>
    <xf fontId="22" fillId="0" borderId="23" numFmtId="0" xfId="0" applyNumberFormat="1"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0" fillId="0" borderId="0" numFmtId="0" xfId="0" applyNumberFormat="1" applyFont="1">
      <alignment horizontal="left" vertical="top" wrapText="1"/>
    </xf>
    <xf fontId="0" fillId="0" borderId="0" numFmtId="0" xfId="0" applyNumberFormat="1" applyFont="1">
      <alignment vertical="top" wrapText="1"/>
    </xf>
    <xf fontId="0" fillId="0" borderId="0" numFmtId="0" xfId="0" applyNumberFormat="1" applyFont="1">
      <alignment vertical="center"/>
    </xf>
    <xf fontId="0" fillId="0" borderId="0" numFmtId="0" xfId="0" applyNumberFormat="1"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8" fillId="0" borderId="0" numFmtId="0" xfId="0" applyNumberFormat="1" applyFont="1">
      <alignment vertical="center"/>
    </xf>
    <xf fontId="0" fillId="0" borderId="0" numFmtId="0" xfId="0" applyNumberFormat="1" applyFont="1">
      <alignment vertical="center"/>
    </xf>
    <xf fontId="48" fillId="0" borderId="0" numFmtId="49" xfId="0" applyNumberFormat="1" applyFont="1">
      <alignment vertical="top"/>
    </xf>
    <xf fontId="48" fillId="0" borderId="0" numFmtId="49" xfId="0" applyNumberFormat="1" applyFont="1">
      <alignment horizontal="center" vertical="center"/>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67" fillId="0" borderId="0" numFmtId="49" xfId="0" applyNumberFormat="1" applyFont="1">
      <alignment vertical="top"/>
    </xf>
    <xf fontId="32" fillId="0" borderId="0" numFmtId="0" xfId="0" applyNumberFormat="1" applyFont="1">
      <alignment vertical="center" wrapText="1"/>
    </xf>
    <xf fontId="22" fillId="0" borderId="0" numFmtId="0" xfId="0" applyNumberFormat="1" applyFont="1">
      <alignment vertical="center" wrapText="1"/>
    </xf>
    <xf fontId="37" fillId="0" borderId="0" numFmtId="0" xfId="0" applyNumberFormat="1" applyFont="1">
      <alignment horizontal="center" vertical="center" wrapText="1"/>
    </xf>
    <xf fontId="22" fillId="0" borderId="19" numFmtId="0" xfId="0" applyNumberFormat="1" applyFont="1" applyBorder="1">
      <alignment horizontal="left" indent="1" vertical="center" wrapText="1"/>
    </xf>
    <xf fontId="46" fillId="0" borderId="0" numFmtId="0" xfId="0" applyNumberFormat="1" applyFont="1">
      <alignment horizontal="left" indent="1" vertical="center" wrapText="1"/>
    </xf>
    <xf fontId="42" fillId="0" borderId="0" numFmtId="0" xfId="0" applyNumberFormat="1" applyFont="1">
      <alignment vertical="center"/>
    </xf>
    <xf fontId="113" fillId="0" borderId="0" numFmtId="0" xfId="0" applyNumberFormat="1" applyFont="1">
      <alignment vertical="center" wrapText="1"/>
    </xf>
    <xf fontId="114"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vertical="center" wrapText="1"/>
    </xf>
    <xf fontId="22" fillId="0" borderId="27" numFmtId="0" xfId="0" applyNumberFormat="1" applyFont="1" applyBorder="1">
      <alignment horizontal="left" indent="1" vertical="center" wrapText="1"/>
    </xf>
    <xf fontId="42" fillId="0" borderId="0" numFmtId="0" xfId="0" applyNumberFormat="1" applyFont="1">
      <alignment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NumberFormat="1" applyFont="1">
      <alignment horizontal="center" vertical="center"/>
    </xf>
    <xf fontId="22"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NumberFormat="1" applyFont="1">
      <alignment vertical="center"/>
    </xf>
    <xf fontId="40" fillId="0" borderId="22"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37" numFmtId="0" xfId="0" applyNumberFormat="1"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0" numFmtId="0" xfId="0" applyNumberFormat="1" applyFont="1">
      <alignment horizontal="left" vertical="center" wrapText="1"/>
    </xf>
    <xf fontId="22" fillId="0" borderId="14" numFmtId="0" xfId="0" applyNumberFormat="1" applyFont="1" applyBorder="1">
      <alignment horizontal="left" vertical="center" wrapText="1"/>
    </xf>
    <xf fontId="32" fillId="0" borderId="0" numFmtId="49" xfId="0" applyNumberFormat="1" applyFont="1">
      <alignment vertical="top"/>
    </xf>
    <xf fontId="22" fillId="35" borderId="0" numFmtId="0" xfId="0" applyNumberFormat="1" applyFont="1" applyFill="1"/>
    <xf fontId="0" fillId="35" borderId="0" numFmtId="0" xfId="0" applyNumberFormat="1" applyFont="1" applyFill="1"/>
    <xf fontId="61" fillId="35" borderId="0" numFmtId="0" xfId="0" applyNumberFormat="1" applyFont="1" applyFill="1"/>
    <xf fontId="48" fillId="35" borderId="0" numFmtId="0" xfId="0" applyNumberFormat="1" applyFont="1" applyFill="1"/>
    <xf fontId="61" fillId="35" borderId="0" numFmtId="0" xfId="0" applyNumberFormat="1" applyFont="1" applyFill="1">
      <alignment horizontal="center"/>
    </xf>
    <xf fontId="61" fillId="35" borderId="0" numFmtId="0" xfId="0" applyNumberFormat="1" applyFont="1" applyFill="1"/>
    <xf fontId="90" fillId="0" borderId="0" numFmtId="0" xfId="0" applyNumberFormat="1" applyFont="1">
      <alignment vertical="center"/>
    </xf>
    <xf fontId="89" fillId="0" borderId="0" numFmtId="0" xfId="0" applyNumberFormat="1" applyFont="1">
      <alignment vertical="center"/>
    </xf>
    <xf fontId="73" fillId="35" borderId="0" numFmtId="0" xfId="0" applyNumberFormat="1" applyFont="1" applyFill="1">
      <alignment horizontal="right" vertical="center"/>
    </xf>
    <xf fontId="22" fillId="35" borderId="0" numFmtId="0" xfId="0" applyNumberFormat="1" applyFont="1" applyFill="1">
      <alignment vertical="center" wrapText="1"/>
    </xf>
    <xf fontId="48" fillId="35" borderId="0" numFmtId="0" xfId="0" applyNumberFormat="1" applyFont="1" applyFill="1">
      <alignment vertical="center" wrapText="1"/>
    </xf>
    <xf fontId="22" fillId="35" borderId="0" numFmtId="0" xfId="0" applyNumberFormat="1" applyFont="1" applyFill="1">
      <alignment horizontal="center" vertical="center" wrapText="1"/>
    </xf>
    <xf fontId="93" fillId="35" borderId="0" numFmtId="0" xfId="0" applyNumberFormat="1"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36" fillId="35" borderId="0" numFmtId="0" xfId="0" applyNumberFormat="1" applyFont="1" applyFill="1">
      <alignment horizontal="center" vertical="center"/>
    </xf>
    <xf fontId="48" fillId="0" borderId="12" numFmtId="49" xfId="0" applyNumberFormat="1" applyFont="1" applyBorder="1">
      <alignment horizontal="center" vertical="center"/>
    </xf>
    <xf fontId="48" fillId="0" borderId="12" numFmtId="0" xfId="0" applyNumberFormat="1" applyFont="1" applyBorder="1">
      <alignment vertical="center" wrapText="1"/>
    </xf>
    <xf fontId="48" fillId="0" borderId="12" numFmtId="0" xfId="0" applyNumberFormat="1" applyFont="1" applyBorder="1">
      <alignment horizontal="left" vertical="center" wrapText="1"/>
    </xf>
    <xf fontId="65" fillId="35" borderId="0" numFmtId="0" xfId="0" applyNumberFormat="1" applyFont="1" applyFill="1"/>
    <xf fontId="0" fillId="35" borderId="12" numFmtId="49" xfId="0" applyNumberFormat="1" applyFont="1" applyFill="1" applyBorder="1">
      <alignment horizontal="center" vertical="center"/>
    </xf>
    <xf fontId="0" fillId="35" borderId="12" numFmtId="0" xfId="0" applyNumberFormat="1" applyFont="1" applyFill="1" applyBorder="1">
      <alignment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vertical="center" wrapText="1"/>
    </xf>
    <xf fontId="0" fillId="35" borderId="12" numFmtId="0" xfId="0" applyNumberFormat="1"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NumberFormat="1"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NumberFormat="1" applyFont="1" applyFill="1" applyBorder="1">
      <alignment horizontal="center" vertical="center" wrapText="1"/>
    </xf>
    <xf fontId="90" fillId="0" borderId="0" numFmtId="0" xfId="0" applyNumberFormat="1" applyFont="1">
      <alignment vertical="center" wrapText="1"/>
    </xf>
    <xf fontId="0" fillId="35" borderId="12" numFmtId="0" xfId="0" applyNumberFormat="1" applyFont="1" applyFill="1" applyBorder="1">
      <alignment horizontal="center" vertical="center"/>
    </xf>
    <xf fontId="0" fillId="35" borderId="12" numFmtId="0" xfId="0" applyNumberFormat="1" applyFont="1" applyFill="1" applyBorder="1">
      <alignment horizontal="left" indent="2" vertical="center" wrapText="1"/>
    </xf>
    <xf fontId="0" fillId="0" borderId="12" numFmtId="49" xfId="0" applyNumberFormat="1" applyFont="1" applyBorder="1">
      <alignment horizontal="left" vertical="center" wrapText="1"/>
    </xf>
    <xf fontId="0" fillId="0" borderId="12" numFmtId="504" xfId="0" applyNumberFormat="1" applyFont="1" applyBorder="1">
      <alignment horizontal="left" indent="1" vertical="center" wrapText="1"/>
    </xf>
    <xf fontId="22" fillId="35" borderId="0" numFmtId="49" xfId="0" applyNumberFormat="1" applyFont="1" applyFill="1">
      <alignment vertical="center" wrapText="1"/>
    </xf>
    <xf fontId="22" fillId="35" borderId="24" numFmtId="0" xfId="0" applyNumberFormat="1" applyFont="1" applyFill="1" applyBorder="1">
      <alignment vertical="center" wrapText="1"/>
    </xf>
    <xf fontId="22" fillId="37" borderId="14" numFmtId="0" xfId="0" applyNumberFormat="1" applyFont="1" applyFill="1" applyBorder="1">
      <alignment horizontal="center"/>
    </xf>
    <xf fontId="40" fillId="37" borderId="15" numFmtId="49" xfId="0" applyNumberFormat="1" applyFont="1" applyFill="1" applyBorder="1">
      <alignment horizontal="left" indent="1" vertic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48" fillId="35" borderId="0" numFmtId="0" xfId="0" applyNumberFormat="1" applyFont="1" applyFill="1"/>
    <xf fontId="48" fillId="35" borderId="12" numFmtId="49" xfId="0" applyNumberFormat="1" applyFont="1" applyFill="1" applyBorder="1">
      <alignment horizontal="center" vertical="center"/>
    </xf>
    <xf fontId="48" fillId="35" borderId="12" numFmtId="0" xfId="0" applyNumberFormat="1" applyFont="1" applyFill="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1"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NumberFormat="1"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NumberFormat="1" applyFont="1" applyFill="1" applyBorder="1">
      <alignment horizontal="left" vertical="center" wrapText="1"/>
    </xf>
    <xf fontId="22" fillId="35" borderId="17" numFmtId="0" xfId="0" applyNumberFormat="1"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NumberFormat="1" applyFont="1" applyFill="1" applyBorder="1">
      <alignment horizontal="left" vertical="top" wrapText="1"/>
    </xf>
    <xf fontId="37" fillId="35" borderId="0" numFmtId="0" xfId="0" applyNumberFormat="1"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NumberFormat="1" applyFont="1" applyFill="1" applyBorder="1">
      <alignment horizontal="left" vertical="top" wrapText="1"/>
    </xf>
    <xf fontId="52" fillId="35" borderId="0" numFmtId="0" xfId="0" applyNumberFormat="1"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NumberFormat="1"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NumberFormat="1" applyFont="1" applyFill="1" applyBorder="1">
      <alignment vertical="top" wrapText="1"/>
    </xf>
    <xf fontId="22" fillId="35" borderId="0" numFmtId="49" xfId="0" applyNumberFormat="1" applyFont="1" applyFill="1">
      <alignment horizontal="center" vertical="center" wrapText="1"/>
    </xf>
    <xf fontId="0" fillId="35" borderId="14" numFmtId="0" xfId="0" applyNumberFormat="1" applyFont="1" applyFill="1" applyBorder="1">
      <alignment horizontal="left" vertical="center" wrapText="1"/>
    </xf>
    <xf fontId="0" fillId="35" borderId="23" numFmtId="0" xfId="0" applyNumberFormat="1" applyFont="1" applyFill="1" applyBorder="1">
      <alignment vertical="center" wrapText="1"/>
    </xf>
    <xf fontId="76" fillId="35" borderId="0" numFmtId="0" xfId="0" applyNumberFormat="1" applyFont="1" applyFill="1"/>
    <xf fontId="22" fillId="0" borderId="0" numFmtId="0" xfId="0" applyNumberFormat="1" applyFont="1">
      <alignment vertical="top" wrapText="1"/>
    </xf>
    <xf fontId="48" fillId="0" borderId="0" numFmtId="0" xfId="0" applyNumberFormat="1" applyFont="1">
      <alignment vertical="center" wrapText="1"/>
    </xf>
    <xf fontId="45" fillId="0" borderId="0" numFmtId="0" xfId="0" applyNumberFormat="1" applyFont="1">
      <alignment horizontal="right" vertical="top" wrapText="1"/>
    </xf>
    <xf fontId="45" fillId="0" borderId="0" numFmtId="0" xfId="0" applyNumberFormat="1" applyFont="1">
      <alignment horizontal="left" indent="1" vertical="top" wrapText="1"/>
    </xf>
    <xf fontId="45" fillId="0" borderId="0" numFmtId="0" xfId="0" applyNumberFormat="1" applyFont="1">
      <alignment vertical="center" wrapText="1"/>
    </xf>
    <xf fontId="76" fillId="35" borderId="0" numFmtId="0" xfId="0" applyNumberFormat="1" applyFont="1" applyFill="1"/>
    <xf fontId="75" fillId="35" borderId="0" numFmtId="0" xfId="0" applyNumberFormat="1" applyFont="1" applyFill="1">
      <alignment horizontal="center"/>
    </xf>
    <xf fontId="75" fillId="35" borderId="0" numFmtId="0" xfId="0" applyNumberFormat="1" applyFont="1" applyFill="1"/>
    <xf fontId="77" fillId="35" borderId="0" numFmtId="0" xfId="0" applyNumberFormat="1" applyFont="1" applyFill="1">
      <alignment horizontal="right" vertical="center"/>
    </xf>
    <xf fontId="78" fillId="35" borderId="0" numFmtId="0" xfId="0" applyNumberFormat="1" applyFont="1" applyFill="1">
      <alignment vertical="center"/>
    </xf>
    <xf fontId="77" fillId="35" borderId="0" numFmtId="0" xfId="0" applyNumberFormat="1" applyFont="1" applyFill="1">
      <alignment horizontal="right" vertical="top"/>
    </xf>
    <xf fontId="78" fillId="35" borderId="0" numFmtId="0" xfId="0" applyNumberFormat="1" applyFont="1" applyFill="1">
      <alignment vertical="center" wrapText="1"/>
    </xf>
    <xf fontId="0" fillId="35" borderId="0" numFmtId="0" xfId="0" applyNumberFormat="1" applyFont="1" applyFill="1">
      <alignment horizontal="center"/>
    </xf>
    <xf fontId="22" fillId="35" borderId="0" numFmtId="0" xfId="0" applyNumberFormat="1" applyFont="1" applyFill="1"/>
    <xf fontId="0" fillId="35" borderId="0" numFmtId="0" xfId="0" applyNumberFormat="1" applyFont="1" applyFill="1"/>
    <xf fontId="0" fillId="35" borderId="0" numFmtId="0" xfId="0" applyNumberFormat="1" applyFont="1" applyFill="1">
      <alignment horizontal="center"/>
    </xf>
    <xf fontId="47"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46" fillId="0" borderId="0" numFmtId="0" xfId="0" applyNumberFormat="1" applyFont="1">
      <alignment horizontal="left" indent="3" vertical="center" wrapText="1"/>
    </xf>
    <xf fontId="64" fillId="0" borderId="0" numFmtId="0" xfId="0" applyNumberFormat="1" applyFont="1">
      <alignment horizontal="center" vertical="center" wrapText="1"/>
    </xf>
    <xf fontId="64" fillId="0" borderId="0" numFmtId="0" xfId="0" applyNumberFormat="1" applyFont="1">
      <alignment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58" fillId="0" borderId="0" numFmtId="0" xfId="0" applyNumberFormat="1" applyFont="1">
      <alignment vertical="center" wrapText="1"/>
    </xf>
    <xf fontId="79" fillId="35" borderId="0" numFmtId="0" xfId="0" applyNumberFormat="1" applyFont="1" applyFill="1">
      <alignment horizontal="center" vertical="center" wrapText="1"/>
    </xf>
    <xf fontId="60" fillId="0" borderId="0" numFmtId="0" xfId="0" applyNumberFormat="1" applyFont="1">
      <alignment horizontal="left" indent="1" vertical="center" wrapText="1"/>
    </xf>
    <xf fontId="22" fillId="0" borderId="0" numFmtId="0" xfId="0" applyNumberFormat="1" applyFont="1">
      <alignment horizontal="right" vertical="center"/>
    </xf>
    <xf fontId="48" fillId="0" borderId="0" numFmtId="0" xfId="0" applyNumberFormat="1" applyFont="1">
      <alignment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0" numFmtId="0" xfId="0" applyNumberFormat="1" applyFont="1" applyFill="1">
      <alignment horizontal="center" vertical="center" wrapText="1"/>
    </xf>
    <xf fontId="36" fillId="35" borderId="0" numFmtId="49" xfId="0" applyNumberFormat="1" applyFont="1" applyFill="1">
      <alignment horizontal="center" vertical="center" wrapText="1"/>
    </xf>
    <xf fontId="72" fillId="0" borderId="0" numFmtId="0" xfId="0" applyNumberFormat="1" applyFont="1">
      <alignmen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NumberFormat="1"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NumberFormat="1" applyFont="1" applyBorder="1">
      <alignment horizontal="left" vertical="top" wrapText="1"/>
    </xf>
    <xf fontId="50" fillId="37" borderId="14" numFmtId="49" xfId="0" applyNumberFormat="1" applyFont="1" applyFill="1" applyBorder="1">
      <alignment horizontal="center" vertical="center"/>
    </xf>
    <xf fontId="40" fillId="37" borderId="15" numFmtId="0" xfId="0" applyNumberFormat="1"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NumberFormat="1" applyFont="1" applyBorder="1">
      <alignment horizontal="left" vertical="top"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0" fillId="0" borderId="37"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48" fillId="0" borderId="0" numFmtId="0" xfId="0" applyNumberFormat="1" applyFont="1">
      <alignment vertical="center"/>
    </xf>
    <xf fontId="22" fillId="0" borderId="0" numFmtId="0" xfId="0" applyNumberFormat="1" applyFont="1">
      <alignment vertical="center" wrapText="1"/>
    </xf>
    <xf fontId="0" fillId="0" borderId="30" numFmtId="49" xfId="0" applyNumberFormat="1" applyFont="1" applyBorder="1">
      <alignment horizontal="center" vertical="center" wrapText="1"/>
    </xf>
    <xf fontId="22" fillId="40" borderId="27" numFmtId="0" xfId="0" applyNumberFormat="1" applyFont="1" applyFill="1" applyBorder="1">
      <alignment horizontal="left" vertical="center" wrapText="1"/>
    </xf>
    <xf fontId="48" fillId="0" borderId="0" numFmtId="0" xfId="0" applyNumberFormat="1" applyFont="1">
      <alignmen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22" fillId="0" borderId="19" numFmtId="0" xfId="0" applyNumberFormat="1" applyFont="1" applyBorder="1">
      <alignment horizontal="left" indent="1" vertical="top" wrapText="1"/>
    </xf>
    <xf fontId="64" fillId="0" borderId="0" numFmtId="0" xfId="0" applyNumberFormat="1" applyFont="1">
      <alignment vertical="center" wrapText="1"/>
    </xf>
    <xf fontId="58" fillId="0" borderId="0" numFmtId="0" xfId="0" applyNumberFormat="1" applyFont="1">
      <alignment vertical="center" wrapText="1"/>
    </xf>
    <xf fontId="60" fillId="0" borderId="0" numFmtId="0" xfId="0" applyNumberFormat="1" applyFont="1">
      <alignment vertical="center" wrapText="1"/>
    </xf>
    <xf fontId="22" fillId="0" borderId="23" numFmtId="0"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6" fillId="0" borderId="0" numFmtId="0" xfId="0" applyNumberFormat="1" applyFont="1">
      <alignment horizontal="center" vertical="center" wrapText="1"/>
    </xf>
    <xf fontId="60" fillId="0" borderId="0" numFmtId="4" xfId="0" applyNumberFormat="1" applyFont="1">
      <alignment horizontal="right"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NumberFormat="1"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NumberFormat="1" applyFont="1" applyBorder="1">
      <alignment horizontal="left" vertical="top"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37" fillId="35" borderId="0" numFmtId="0" xfId="0" applyNumberFormat="1" applyFont="1" applyFill="1">
      <alignment vertical="top" wrapText="1"/>
    </xf>
    <xf fontId="48" fillId="35" borderId="23" numFmtId="0" xfId="0" applyNumberFormat="1"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NumberFormat="1" applyFont="1">
      <alignment horizontal="center" vertical="center" wrapText="1"/>
    </xf>
    <xf fontId="45" fillId="0" borderId="0" numFmtId="0" xfId="0" applyNumberFormat="1" applyFont="1">
      <alignment vertical="top" wrapText="1"/>
    </xf>
    <xf fontId="22" fillId="0" borderId="0" numFmtId="0" xfId="0" applyNumberFormat="1" applyFont="1">
      <alignment horizontal="right" vertical="top" wrapText="1"/>
    </xf>
    <xf fontId="45" fillId="0" borderId="0" numFmtId="0" xfId="0" applyNumberFormat="1" applyFont="1">
      <alignment vertical="top"/>
    </xf>
    <xf fontId="2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horizontal="left" indent="1" vertical="center"/>
    </xf>
    <xf fontId="47" fillId="0" borderId="12" numFmtId="0" xfId="0" applyNumberFormat="1" applyFont="1" applyBorder="1">
      <alignment horizontal="center" vertical="center"/>
    </xf>
    <xf fontId="47" fillId="0" borderId="0" numFmtId="0" xfId="0" applyNumberFormat="1" applyFont="1">
      <alignment horizontal="center" vertical="center"/>
    </xf>
    <xf fontId="47"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2" numFmtId="0" xfId="0" applyNumberFormat="1" applyFont="1" applyBorder="1">
      <alignment horizontal="left" indent="6"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45" fillId="0" borderId="12" numFmtId="0" xfId="0" applyNumberFormat="1" applyFont="1" applyBorder="1">
      <alignment vertical="top" wrapText="1"/>
    </xf>
    <xf fontId="47" fillId="0" borderId="14" numFmtId="0" xfId="0" applyNumberFormat="1" applyFont="1" applyBorder="1">
      <alignment horizontal="center" vertical="center"/>
    </xf>
    <xf fontId="22" fillId="0" borderId="0" numFmtId="0" xfId="0" applyNumberFormat="1" applyFont="1">
      <alignment horizontal="center"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22" fillId="35" borderId="12" numFmtId="0" xfId="0" applyNumberFormat="1" applyFont="1" applyFill="1" applyBorder="1">
      <alignment horizontal="left" indent="1" vertical="center" wrapText="1"/>
    </xf>
    <xf fontId="37" fillId="0" borderId="0" numFmtId="0" xfId="0" applyNumberFormat="1" applyFont="1">
      <alignment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47" fillId="0" borderId="12" numFmtId="0" xfId="0" applyNumberFormat="1" applyFont="1" applyBorder="1">
      <alignment horizontal="center" vertical="center" wrapText="1"/>
    </xf>
    <xf fontId="47"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24" numFmtId="0"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47" fillId="0" borderId="14" numFmtId="0" xfId="0" applyNumberFormat="1" applyFont="1" applyBorder="1">
      <alignment horizontal="center" vertical="center" wrapText="1"/>
    </xf>
    <xf fontId="47" fillId="0" borderId="0" numFmtId="0" xfId="0" applyNumberFormat="1" applyFont="1">
      <alignment vertical="center" wrapText="1"/>
    </xf>
    <xf fontId="48" fillId="0" borderId="24" numFmtId="0" xfId="0" applyNumberFormat="1" applyFont="1" applyBorder="1">
      <alignment vertical="center" wrapText="1"/>
    </xf>
    <xf fontId="22" fillId="35" borderId="12" numFmtId="0" xfId="0" applyNumberFormat="1" applyFont="1" applyFill="1" applyBorder="1">
      <alignment horizontal="left" indent="5" vertical="center" wrapText="1"/>
    </xf>
    <xf fontId="22" fillId="40" borderId="12" numFmtId="0" xfId="0" applyNumberFormat="1"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502" xfId="0" applyNumberFormat="1" applyFont="1" applyFill="1" applyBorder="1">
      <alignment horizontal="right" vertical="center" wrapText="1"/>
      <protection locked="0"/>
    </xf>
    <xf fontId="0" fillId="39" borderId="12" numFmtId="504"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502" xfId="0" applyNumberFormat="1" applyFont="1" applyFill="1" applyBorder="1">
      <alignment horizontal="right" vertical="center" wrapText="1"/>
      <protection locked="0"/>
    </xf>
    <xf fontId="0" fillId="39" borderId="12" numFmtId="504" xfId="0" applyNumberFormat="1" applyFont="1" applyFill="1" applyBorder="1">
      <alignment horizontal="center" vertical="center" wrapText="1"/>
      <protection locked="0"/>
    </xf>
    <xf fontId="45" fillId="0" borderId="17" numFmtId="0" xfId="0" applyNumberFormat="1"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NumberFormat="1"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3" numFmtId="49" xfId="0" applyNumberFormat="1" applyFont="1" applyFill="1" applyBorder="1">
      <alignment horizontal="center" vertical="center" wrapText="1"/>
    </xf>
    <xf fontId="45" fillId="0" borderId="23" numFmtId="0" xfId="0" applyNumberFormat="1"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0" xfId="0" applyNumberFormat="1"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19" numFmtId="49" xfId="0" applyNumberFormat="1" applyFont="1" applyBorder="1">
      <alignment horizontal="center" vertical="center" wrapText="1"/>
    </xf>
    <xf fontId="48" fillId="0" borderId="0" numFmtId="0" xfId="0" applyNumberFormat="1"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502" xfId="0" applyNumberFormat="1" applyFont="1" applyBorder="1">
      <alignment horizontal="right" vertical="center" wrapText="1"/>
    </xf>
    <xf fontId="47" fillId="0" borderId="12" numFmtId="504"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NumberFormat="1" applyFont="1">
      <alignment vertical="center" wrapText="1"/>
    </xf>
    <xf fontId="47" fillId="0" borderId="0" numFmtId="0" xfId="0" applyNumberFormat="1" applyFont="1">
      <alignment horizontal="left" vertical="center" wrapText="1"/>
    </xf>
    <xf fontId="47" fillId="0" borderId="0" numFmtId="0" xfId="0" applyNumberFormat="1" applyFont="1">
      <alignment vertical="center" wrapText="1"/>
    </xf>
    <xf fontId="47" fillId="0" borderId="12" numFmtId="49" xfId="0" applyNumberFormat="1" applyFont="1" applyBorder="1">
      <alignment vertical="center" wrapText="1"/>
    </xf>
    <xf fontId="47" fillId="0" borderId="0" numFmtId="0" xfId="0" applyNumberFormat="1" applyFont="1">
      <alignment vertical="center" wrapText="1"/>
    </xf>
    <xf fontId="47" fillId="0" borderId="0" numFmtId="0" xfId="0" applyNumberFormat="1" applyFont="1">
      <alignment vertical="center"/>
    </xf>
    <xf fontId="39" fillId="35" borderId="0" numFmtId="0" xfId="0" applyNumberFormat="1" applyFont="1" applyFill="1">
      <alignment vertical="center" wrapText="1"/>
    </xf>
    <xf fontId="22" fillId="35" borderId="0" numFmtId="0" xfId="0" applyNumberFormat="1" applyFont="1" applyFill="1">
      <alignment horizontal="left" vertical="center" wrapText="1"/>
    </xf>
    <xf fontId="22" fillId="35" borderId="0" numFmtId="0" xfId="0" applyNumberFormat="1" applyFont="1" applyFill="1">
      <alignment vertical="center" wrapText="1"/>
    </xf>
    <xf fontId="22" fillId="0" borderId="19" numFmtId="0" xfId="0" applyNumberFormat="1" applyFont="1" applyBorder="1">
      <alignment horizontal="left" indent="1" vertical="top" wrapText="1"/>
    </xf>
    <xf fontId="46" fillId="0" borderId="0" numFmtId="0" xfId="0" applyNumberFormat="1" applyFont="1">
      <alignment vertical="center" wrapText="1"/>
    </xf>
    <xf fontId="22" fillId="0" borderId="19" numFmtId="0" xfId="0" applyNumberFormat="1" applyFont="1" applyBorder="1">
      <alignment horizontal="left" indent="1" vertical="top" wrapText="1"/>
    </xf>
    <xf fontId="22" fillId="0" borderId="27" numFmtId="0" xfId="0" applyNumberFormat="1" applyFont="1" applyBorder="1">
      <alignment horizontal="left" indent="1" vertical="center" wrapText="1"/>
    </xf>
    <xf fontId="22" fillId="0" borderId="27" numFmtId="0" xfId="0" applyNumberFormat="1" applyFont="1" applyBorder="1">
      <alignment horizontal="left" indent="1" vertical="center" wrapText="1"/>
    </xf>
    <xf fontId="50" fillId="35" borderId="0" numFmtId="0" xfId="0" applyNumberFormat="1" applyFont="1" applyFill="1">
      <alignment horizontal="center" vertical="center" wrapText="1"/>
    </xf>
    <xf fontId="50" fillId="35" borderId="0" numFmtId="0" xfId="0" applyNumberFormat="1" applyFont="1" applyFill="1">
      <alignment horizontal="center" vertical="center" wrapText="1"/>
    </xf>
    <xf fontId="47" fillId="0" borderId="0" numFmtId="0" xfId="0" applyNumberFormat="1" applyFont="1">
      <alignment vertical="center"/>
    </xf>
    <xf fontId="47" fillId="0" borderId="0" numFmtId="0" xfId="0" applyNumberFormat="1" applyFont="1">
      <alignment horizontal="center" vertical="center"/>
    </xf>
    <xf fontId="0" fillId="35" borderId="12" numFmtId="0" xfId="0" applyNumberFormat="1" applyFont="1" applyFill="1" applyBorder="1">
      <alignment horizontal="right" indent="1" vertical="center" wrapText="1"/>
    </xf>
    <xf fontId="0" fillId="0" borderId="15" numFmtId="0" xfId="0" applyNumberFormat="1" applyFont="1" applyBorder="1">
      <alignment vertical="center"/>
    </xf>
    <xf fontId="22" fillId="34" borderId="12" numFmtId="0" xfId="0" applyNumberFormat="1" applyFont="1" applyFill="1" applyBorder="1">
      <alignment horizontal="left" indent="1" vertical="center" wrapText="1"/>
    </xf>
    <xf fontId="22" fillId="0" borderId="0" numFmtId="0" xfId="0" applyNumberFormat="1" applyFont="1">
      <alignment vertical="center" wrapText="1"/>
    </xf>
    <xf fontId="22" fillId="34" borderId="12" numFmtId="0" xfId="0" applyNumberFormat="1" applyFont="1" applyFill="1" applyBorder="1">
      <alignment horizontal="left" indent="1" vertical="center" wrapText="1"/>
    </xf>
    <xf fontId="6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34" borderId="12" numFmtId="504" xfId="0" applyNumberFormat="1" applyFont="1" applyFill="1" applyBorder="1">
      <alignment horizontal="left" indent="1" vertical="center" wrapText="1"/>
    </xf>
    <xf fontId="22" fillId="34" borderId="12" numFmtId="504"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wrapText="1"/>
    </xf>
    <xf fontId="48" fillId="0" borderId="0" numFmtId="0" xfId="0" applyNumberFormat="1" applyFont="1">
      <alignment vertical="center" wrapText="1"/>
    </xf>
    <xf fontId="22" fillId="35" borderId="27" numFmtId="0" xfId="0" applyNumberFormat="1" applyFont="1" applyFill="1" applyBorder="1">
      <alignment vertical="center" wrapText="1"/>
    </xf>
    <xf fontId="37" fillId="0" borderId="27" numFmtId="0" xfId="0" applyNumberFormat="1" applyFont="1" applyBorder="1">
      <alignment horizontal="center" vertical="center" wrapText="1"/>
    </xf>
    <xf fontId="37" fillId="0" borderId="27"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7" numFmtId="0" xfId="0" applyNumberFormat="1" applyFont="1" applyBorder="1">
      <alignmen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NumberFormat="1" applyFont="1" applyBorder="1">
      <alignment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7"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0" fillId="37" borderId="36" numFmtId="49" xfId="0" applyNumberFormat="1" applyFont="1" applyFill="1" applyBorder="1">
      <alignment horizontal="center" textRotation="90" vertical="center" wrapText="1"/>
    </xf>
    <xf fontId="47" fillId="0" borderId="0" numFmtId="0" xfId="0" applyNumberFormat="1" applyFont="1">
      <alignment vertical="center"/>
    </xf>
    <xf fontId="22" fillId="0" borderId="23" numFmtId="0" xfId="0" applyNumberFormat="1" applyFont="1" applyBorder="1">
      <alignment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107" fillId="35" borderId="0" numFmtId="0" xfId="0" applyNumberFormat="1"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7" numFmtId="504"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0" borderId="12" numFmtId="0" xfId="0" applyNumberFormat="1" applyFont="1" applyBorder="1">
      <alignment horizontal="center" vertical="center"/>
    </xf>
    <xf fontId="22"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4" numFmtId="0" xfId="0" applyNumberFormat="1" applyFont="1" applyBorder="1">
      <alignment horizontal="center" vertical="center"/>
    </xf>
    <xf fontId="22" fillId="0" borderId="0" numFmtId="0" xfId="0" applyNumberFormat="1" applyFont="1">
      <alignment horizontal="center" vertical="center" wrapText="1"/>
    </xf>
    <xf fontId="22" fillId="35" borderId="12" numFmtId="0" xfId="0" applyNumberFormat="1" applyFont="1" applyFill="1" applyBorder="1">
      <alignment horizontal="left" indent="1" vertical="center" wrapText="1"/>
    </xf>
    <xf fontId="22"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vertical="center" wrapText="1"/>
    </xf>
    <xf fontId="22" fillId="0" borderId="12" numFmtId="49" xfId="0" applyNumberFormat="1" applyFont="1" applyBorder="1">
      <alignment horizontal="lef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0" xfId="0" applyNumberFormat="1" applyFont="1">
      <alignment vertical="center" wrapText="1"/>
    </xf>
    <xf fontId="48" fillId="0" borderId="0" numFmtId="0" xfId="0" applyNumberFormat="1" applyFont="1">
      <alignment vertical="center"/>
    </xf>
    <xf fontId="48" fillId="0" borderId="0" numFmtId="0" xfId="0" applyNumberFormat="1" applyFont="1">
      <alignment vertical="center" wrapText="1"/>
    </xf>
    <xf fontId="72" fillId="0" borderId="0" numFmtId="49" xfId="0" applyNumberFormat="1" applyFont="1">
      <alignment horizontal="left" vertical="center"/>
    </xf>
    <xf fontId="22" fillId="0" borderId="0" numFmtId="0" xfId="0" applyNumberFormat="1"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NumberFormat="1" applyFont="1">
      <alignment vertical="center"/>
    </xf>
    <xf fontId="22" fillId="0" borderId="0" numFmtId="0" xfId="0" applyNumberFormat="1" applyFont="1">
      <alignment horizontal="center" vertical="center"/>
    </xf>
    <xf fontId="22" fillId="0" borderId="0" numFmtId="0" xfId="0" applyNumberFormat="1" applyFont="1">
      <alignment horizontal="right" vertical="center" wrapText="1"/>
    </xf>
    <xf fontId="22" fillId="0" borderId="17" numFmtId="0" xfId="0" applyNumberFormat="1" applyFont="1" applyBorder="1">
      <alignmen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72" fillId="0" borderId="0" numFmtId="0" xfId="0" applyNumberFormat="1" applyFont="1">
      <alignment vertical="center" wrapText="1"/>
    </xf>
    <xf fontId="0" fillId="39" borderId="17" numFmtId="504" xfId="0" applyNumberFormat="1" applyFont="1" applyFill="1" applyBorder="1">
      <alignment horizontal="center" vertical="center" wrapText="1"/>
      <protection locked="0"/>
    </xf>
    <xf fontId="72" fillId="0" borderId="0" numFmtId="0" xfId="0" applyNumberFormat="1" applyFont="1">
      <alignment horizontal="left" indent="1" vertical="center"/>
    </xf>
    <xf fontId="72" fillId="0" borderId="0" numFmtId="0" xfId="0" applyNumberFormat="1" applyFont="1">
      <alignment horizontal="center" vertical="center"/>
    </xf>
    <xf fontId="22" fillId="0" borderId="0" numFmtId="0" xfId="0" applyNumberFormat="1" applyFont="1">
      <alignment horizontal="left" indent="1" vertical="center"/>
    </xf>
    <xf fontId="22" fillId="0" borderId="0" numFmtId="49" xfId="0" applyNumberFormat="1" applyFont="1">
      <alignment horizontal="left" vertical="center"/>
    </xf>
    <xf fontId="22" fillId="0" borderId="12" numFmtId="502" xfId="0" applyNumberFormat="1" applyFont="1" applyBorder="1">
      <alignment horizontal="right" vertical="center" wrapText="1"/>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48" fillId="0" borderId="12" numFmtId="0" xfId="0" applyNumberFormat="1" applyFont="1" applyBorder="1">
      <alignment vertical="center" wrapText="1"/>
    </xf>
    <xf fontId="48" fillId="0" borderId="23"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vertical="center"/>
    </xf>
    <xf fontId="80" fillId="35" borderId="0" numFmtId="0" xfId="0" applyNumberFormat="1" applyFont="1" applyFill="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NumberFormat="1" applyFont="1">
      <alignment horizontal="left" vertical="top" wrapText="1"/>
    </xf>
    <xf fontId="47" fillId="0" borderId="0" numFmtId="0" xfId="0" applyNumberFormat="1" applyFont="1">
      <alignment vertical="top" wrapText="1"/>
    </xf>
    <xf fontId="22" fillId="35" borderId="17" numFmtId="0" xfId="0" applyNumberFormat="1" applyFont="1" applyFill="1" applyBorder="1">
      <alignment horizontal="left" vertical="center"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5" borderId="12"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5" fillId="0" borderId="13" numFmtId="0" xfId="0" applyNumberFormat="1" applyFont="1" applyBorder="1">
      <alignment vertical="top"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3" numFmtId="0" xfId="0" applyNumberFormat="1" applyFont="1" applyBorder="1">
      <alignment vertical="top" wrapText="1"/>
    </xf>
    <xf fontId="22" fillId="40" borderId="12"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502" xfId="0" applyNumberFormat="1" applyFont="1" applyFill="1" applyBorder="1">
      <alignment horizontal="right" vertical="center" wrapText="1"/>
      <protection locked="0"/>
    </xf>
    <xf fontId="0" fillId="39" borderId="23" numFmtId="504"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0" borderId="0" numFmtId="0" xfId="0" applyNumberFormat="1" applyFont="1">
      <alignment horizontal="left" vertical="center" wrapText="1"/>
    </xf>
    <xf fontId="22" fillId="40" borderId="20" numFmtId="0" xfId="0" applyNumberFormat="1" applyFont="1" applyFill="1" applyBorder="1">
      <alignment horizontal="left" vertical="center" wrapText="1"/>
    </xf>
    <xf fontId="22" fillId="0" borderId="0" numFmtId="0" xfId="0" applyNumberFormat="1" applyFont="1">
      <alignment horizontal="center" vertical="center" wrapText="1"/>
    </xf>
    <xf fontId="22" fillId="36" borderId="14" numFmtId="502"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NumberFormat="1" applyFont="1" applyBorder="1">
      <alignment vertical="top" wrapText="1"/>
    </xf>
    <xf fontId="22" fillId="36" borderId="12" numFmtId="0" xfId="0" applyNumberFormat="1"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5"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56" fillId="0" borderId="0" numFmtId="0" xfId="0" applyNumberFormat="1" applyFont="1">
      <alignment vertical="center" wrapText="1"/>
    </xf>
    <xf fontId="48" fillId="0" borderId="12" numFmtId="0" xfId="0" applyNumberFormat="1" applyFont="1" applyBorder="1">
      <alignment horizontal="left" indent="5"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NumberFormat="1"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NumberFormat="1" applyFont="1" applyFill="1" applyBorder="1">
      <alignment horizontal="left" indent="1" vertical="center" wrapText="1"/>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NumberFormat="1"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502"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502"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NumberFormat="1"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24"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502" xfId="0" applyNumberFormat="1" applyFont="1" applyBorder="1">
      <alignment horizontal="right" vertical="center" wrapText="1"/>
    </xf>
    <xf fontId="48" fillId="0" borderId="12" numFmtId="504"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left" vertical="center"/>
    </xf>
    <xf fontId="47" fillId="0" borderId="0" numFmtId="49" xfId="0" applyNumberFormat="1" applyFont="1">
      <alignment horizontal="left" vertical="center"/>
    </xf>
    <xf fontId="47" fillId="0" borderId="0" numFmtId="0" xfId="0" applyNumberFormat="1" applyFont="1">
      <alignment horizontal="left" vertical="center"/>
    </xf>
    <xf fontId="69" fillId="0" borderId="0" numFmtId="0" xfId="0" applyNumberFormat="1" applyFont="1">
      <alignment horizontal="left" vertical="center"/>
    </xf>
    <xf fontId="47" fillId="0" borderId="0" numFmtId="0" xfId="0" applyNumberFormat="1" applyFont="1">
      <alignment horizontal="left" vertical="center"/>
    </xf>
    <xf fontId="48" fillId="0" borderId="0" numFmtId="0" xfId="0" applyNumberFormat="1" applyFont="1">
      <alignment horizontal="left" vertical="center"/>
    </xf>
    <xf fontId="69" fillId="35" borderId="0" numFmtId="0" xfId="0" applyNumberFormat="1" applyFont="1" applyFill="1">
      <alignment vertical="center" wrapText="1"/>
    </xf>
    <xf fontId="22" fillId="35" borderId="3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22" fillId="0" borderId="19" numFmtId="0" xfId="0" applyNumberFormat="1" applyFont="1" applyBorder="1">
      <alignment horizontal="center" vertical="center" wrapText="1"/>
    </xf>
    <xf fontId="22" fillId="35" borderId="22"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22" fillId="34" borderId="12" numFmtId="0" xfId="0" applyNumberFormat="1" applyFont="1" applyFill="1" applyBorder="1">
      <alignment horizontal="center" vertical="center" wrapText="1"/>
    </xf>
    <xf fontId="22" fillId="0" borderId="27"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NumberFormat="1" applyFont="1">
      <alignment horizontal="left" vertical="top" wrapText="1"/>
    </xf>
    <xf fontId="69" fillId="0" borderId="0" numFmtId="0"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NumberFormat="1"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NumberFormat="1" applyFont="1">
      <alignment horizontal="center" vertical="center"/>
    </xf>
    <xf fontId="47" fillId="0" borderId="0" numFmtId="0" xfId="0" applyNumberFormat="1" applyFont="1">
      <alignment horizontal="center" vertical="center" wrapText="1"/>
    </xf>
    <xf fontId="110" fillId="0" borderId="0" numFmtId="0" xfId="0" applyNumberFormat="1" applyFont="1">
      <alignment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34" borderId="15" numFmtId="0" xfId="0" applyNumberFormat="1" applyFont="1" applyFill="1" applyBorder="1">
      <alignment horizontal="left" vertical="center" wrapText="1"/>
    </xf>
    <xf fontId="47" fillId="0" borderId="0" numFmtId="0" xfId="0" applyNumberFormat="1" applyFont="1">
      <alignment horizontal="center" vertical="center" wrapText="1"/>
    </xf>
    <xf fontId="48" fillId="0" borderId="15" numFmtId="0" xfId="0" applyNumberFormat="1" applyFont="1" applyBorder="1">
      <alignment horizontal="left" vertical="center" wrapText="1"/>
    </xf>
    <xf fontId="22" fillId="0" borderId="12" numFmtId="0" xfId="0" applyNumberFormat="1" applyFont="1" applyBorder="1">
      <alignment horizontal="center"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37" fillId="0" borderId="27" numFmtId="0" xfId="0" applyNumberFormat="1" applyFont="1" applyBorder="1">
      <alignment horizontal="center" vertical="center" wrapText="1"/>
    </xf>
    <xf fontId="22" fillId="39" borderId="13"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8" fillId="0" borderId="0" numFmtId="0" xfId="0" applyNumberFormat="1"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NumberFormat="1" applyFont="1">
      <alignment horizontal="center" vertical="center"/>
    </xf>
    <xf fontId="48" fillId="0" borderId="0" numFmtId="0" xfId="0" applyNumberFormat="1" applyFont="1">
      <alignment horizontal="left" indent="1" vertical="center" wrapText="1"/>
    </xf>
    <xf fontId="22" fillId="35" borderId="12" numFmtId="0" xfId="0" applyNumberFormat="1" applyFont="1" applyFill="1" applyBorder="1">
      <alignment horizontal="center" vertical="center" wrapText="1"/>
    </xf>
    <xf fontId="48" fillId="0" borderId="19" numFmtId="0" xfId="0" applyNumberFormat="1" applyFont="1" applyBorder="1">
      <alignment horizontal="left" vertical="center" wrapText="1"/>
    </xf>
    <xf fontId="22" fillId="0" borderId="0" numFmtId="0" xfId="0" applyNumberFormat="1" applyFont="1">
      <alignment horizontal="left" vertical="top" wrapText="1"/>
    </xf>
    <xf fontId="47"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22" fillId="0" borderId="12" numFmtId="0" xfId="0" applyNumberFormat="1" applyFont="1" applyBorder="1">
      <alignment horizontal="center" vertical="center" wrapText="1"/>
    </xf>
    <xf fontId="22" fillId="0" borderId="12" numFmtId="0" xfId="0" applyNumberFormat="1" applyFont="1" applyBorder="1">
      <alignment vertical="center" wrapText="1"/>
    </xf>
    <xf fontId="84" fillId="0" borderId="0" numFmtId="0" xfId="0" applyNumberFormat="1" applyFont="1">
      <alignment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NumberFormat="1"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NumberFormat="1" applyFont="1" applyBorder="1">
      <alignment horizontal="center" vertical="center" wrapText="1"/>
    </xf>
    <xf fontId="22" fillId="0" borderId="13" numFmtId="0" xfId="0" applyNumberFormat="1" applyFont="1" applyBorder="1">
      <alignment vertical="top" wrapText="1"/>
    </xf>
    <xf fontId="54" fillId="0" borderId="0" numFmtId="0" xfId="0" applyNumberFormat="1" applyFont="1">
      <alignment vertical="center" wrapText="1"/>
    </xf>
    <xf fontId="22" fillId="0" borderId="13" numFmtId="0" xfId="0" applyNumberFormat="1" applyFont="1" applyBorder="1">
      <alignment horizontal="center" vertical="center" wrapText="1"/>
    </xf>
    <xf fontId="22" fillId="36" borderId="12" numFmtId="503" xfId="0" applyNumberFormat="1" applyFont="1" applyFill="1" applyBorder="1">
      <alignment horizontal="right" vertical="center" wrapText="1"/>
      <protection locked="0"/>
    </xf>
    <xf fontId="22" fillId="0" borderId="20" numFmtId="0" xfId="0" applyNumberFormat="1" applyFont="1" applyBorder="1">
      <alignment vertical="center" wrapText="1"/>
    </xf>
    <xf fontId="32" fillId="0" borderId="0" numFmtId="0" xfId="0" applyNumberFormat="1" applyFont="1">
      <alignment vertical="center" wrapText="1"/>
    </xf>
    <xf fontId="46" fillId="0" borderId="0" numFmtId="0" xfId="0" applyNumberFormat="1" applyFont="1">
      <alignment vertical="center" wrapText="1"/>
    </xf>
    <xf fontId="22" fillId="0" borderId="0" numFmtId="0" xfId="0" applyNumberFormat="1" applyFont="1">
      <alignment horizontal="left" indent="3" vertical="center" wrapText="1"/>
    </xf>
    <xf fontId="97" fillId="35" borderId="0" numFmtId="0" xfId="0" applyNumberFormat="1" applyFont="1" applyFill="1">
      <alignment horizontal="right" vertical="center"/>
    </xf>
    <xf fontId="22"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NumberFormat="1" applyFont="1">
      <alignment horizontal="center" vertical="center" wrapText="1"/>
    </xf>
    <xf fontId="22" fillId="37" borderId="14" numFmtId="49" xfId="0" applyNumberFormat="1" applyFont="1" applyFill="1" applyBorder="1">
      <alignment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12" numFmtId="0" xfId="0" applyNumberFormat="1"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503" xfId="0" applyNumberFormat="1" applyFont="1" applyFill="1" applyBorder="1">
      <alignment horizontal="right" vertical="center" wrapText="1"/>
      <protection locked="0"/>
    </xf>
    <xf fontId="47" fillId="0" borderId="0" numFmtId="0" xfId="0" applyNumberFormat="1" applyFont="1">
      <alignment horizontal="left" vertical="center" wrapText="1"/>
    </xf>
    <xf fontId="91" fillId="0" borderId="0" numFmtId="49" xfId="0" applyNumberFormat="1" applyFont="1">
      <alignment horizontal="left" vertical="center" wrapText="1"/>
    </xf>
    <xf fontId="48" fillId="0" borderId="0" numFmtId="0" xfId="0" applyNumberFormat="1" applyFont="1">
      <alignment horizontal="left" vertical="center" wrapText="1"/>
    </xf>
    <xf fontId="22" fillId="0" borderId="0" numFmtId="49" xfId="0" applyNumberFormat="1" applyFont="1">
      <alignment horizontal="left" vertical="center" wrapText="1"/>
    </xf>
    <xf fontId="54" fillId="0" borderId="0" numFmtId="0" xfId="0" applyNumberFormat="1" applyFont="1">
      <alignment horizontal="left" vertical="center" wrapText="1"/>
    </xf>
    <xf fontId="32" fillId="0" borderId="0" numFmtId="0" xfId="0" applyNumberFormat="1" applyFont="1">
      <alignment horizontal="left" vertical="center" wrapText="1"/>
    </xf>
    <xf fontId="22" fillId="40" borderId="12" numFmtId="49" xfId="0" applyNumberFormat="1" applyFont="1" applyFill="1" applyBorder="1">
      <alignment horizontal="left" vertical="center" wrapText="1"/>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22" fillId="0" borderId="17" numFmtId="0" xfId="0" applyNumberFormat="1" applyFont="1" applyBorder="1">
      <alignment horizontal="center" vertical="center" wrapText="1"/>
    </xf>
    <xf fontId="22" fillId="0" borderId="14" numFmtId="0" xfId="0" applyNumberFormat="1" applyFont="1" applyBorder="1">
      <alignment horizontal="left" indent="2" vertical="center" wrapText="1"/>
    </xf>
    <xf fontId="22" fillId="0" borderId="12" numFmtId="0" xfId="0" applyNumberFormat="1"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NumberFormat="1" applyFont="1" applyBorder="1">
      <alignment horizontal="left" indent="1"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NumberFormat="1" applyFont="1">
      <alignment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39" borderId="13" numFmtId="503" xfId="0" applyNumberFormat="1" applyFont="1" applyFill="1" applyBorder="1">
      <alignment horizontal="right" vertical="center" wrapText="1"/>
      <protection locked="0"/>
    </xf>
    <xf fontId="84"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47"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34" borderId="13" numFmtId="503" xfId="0" applyNumberFormat="1" applyFont="1" applyFill="1" applyBorder="1">
      <alignment horizontal="right" vertical="center" wrapText="1"/>
    </xf>
    <xf fontId="22" fillId="34" borderId="12" numFmtId="503"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NumberFormat="1"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NumberFormat="1" applyFont="1" applyBorder="1">
      <alignment vertical="top"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9" borderId="17" numFmtId="503" xfId="0" applyNumberFormat="1" applyFont="1" applyFill="1" applyBorder="1">
      <alignment horizontal="right" vertical="center" wrapText="1"/>
      <protection locked="0"/>
    </xf>
    <xf fontId="48" fillId="0" borderId="23" numFmtId="0" xfId="0" applyNumberFormat="1" applyFont="1" applyBorder="1">
      <alignment horizontal="left" indent="1" vertical="center" wrapText="1"/>
    </xf>
    <xf fontId="48" fillId="0" borderId="17" numFmtId="0" xfId="0" applyNumberFormat="1" applyFont="1" applyBorder="1">
      <alignment horizontal="center" vertical="center" wrapText="1"/>
    </xf>
    <xf fontId="37" fillId="0" borderId="0" numFmtId="0" xfId="0" applyNumberFormat="1"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23" numFmtId="0" xfId="0" applyNumberFormat="1" applyFont="1" applyBorder="1">
      <alignment vertical="top" wrapText="1"/>
    </xf>
    <xf fontId="48" fillId="0" borderId="17" numFmtId="0" xfId="0" applyNumberFormat="1"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horizontal="left" vertical="top" wrapText="1"/>
    </xf>
    <xf fontId="54" fillId="0" borderId="0" numFmtId="0" xfId="0" applyNumberFormat="1" applyFont="1">
      <alignment vertical="center"/>
    </xf>
    <xf fontId="91" fillId="0" borderId="0" numFmtId="0" xfId="0" applyNumberFormat="1" applyFont="1">
      <alignment vertical="center" wrapText="1"/>
    </xf>
    <xf fontId="91" fillId="0" borderId="0" numFmtId="49" xfId="0" applyNumberFormat="1" applyFont="1">
      <alignment horizontal="center" vertical="center" wrapText="1"/>
    </xf>
    <xf fontId="54" fillId="0" borderId="0" numFmtId="0" xfId="0" applyNumberFormat="1" applyFont="1">
      <alignment vertical="center" wrapText="1"/>
    </xf>
    <xf fontId="22" fillId="0" borderId="19" numFmtId="0" xfId="0" applyNumberFormat="1" applyFont="1" applyBorder="1">
      <alignment vertical="center" wrapText="1"/>
    </xf>
    <xf fontId="22"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27" numFmtId="0" xfId="0" applyNumberFormat="1" applyFont="1" applyBorder="1">
      <alignment vertical="center" wrapText="1"/>
    </xf>
    <xf fontId="48" fillId="0" borderId="0" numFmtId="0" xfId="0" applyNumberFormat="1" applyFont="1">
      <alignment vertical="center" wrapText="1"/>
    </xf>
    <xf fontId="32" fillId="0" borderId="0" numFmtId="0" xfId="0" applyNumberFormat="1" applyFont="1">
      <alignment vertical="center" wrapText="1"/>
    </xf>
    <xf fontId="50" fillId="0" borderId="0" numFmtId="0" xfId="0" applyNumberFormat="1" applyFont="1">
      <alignment horizontal="center" vertical="center" wrapText="1"/>
    </xf>
    <xf fontId="63" fillId="0" borderId="0" numFmtId="49" xfId="0" applyNumberFormat="1" applyFont="1">
      <alignment horizontal="center" vertical="center" wrapText="1"/>
    </xf>
    <xf fontId="72" fillId="0" borderId="0" numFmtId="0" xfId="0" applyNumberFormat="1" applyFont="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63" fillId="0" borderId="0" numFmtId="0" xfId="0" applyNumberFormat="1" applyFont="1">
      <alignment vertical="center" wrapText="1"/>
    </xf>
    <xf fontId="71" fillId="0" borderId="0" numFmtId="0" xfId="0" applyNumberFormat="1" applyFont="1">
      <alignment vertical="center" wrapText="1"/>
    </xf>
    <xf fontId="22" fillId="0" borderId="12" numFmtId="0" xfId="0" applyNumberFormat="1"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0" fillId="34" borderId="12" numFmtId="0" xfId="0" applyNumberFormat="1" applyFont="1" applyFill="1" applyBorder="1">
      <alignment horizontal="left" indent="1" vertical="center" wrapText="1"/>
    </xf>
    <xf fontId="22" fillId="0" borderId="13" numFmtId="0" xfId="0" applyNumberFormat="1"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NumberFormat="1" applyFont="1">
      <alignment horizontal="center"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8"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23" numFmtId="0" xfId="0" applyNumberFormat="1" applyFont="1" applyBorder="1">
      <alignment horizontal="left" vertical="center" wrapText="1"/>
    </xf>
    <xf fontId="22" fillId="0" borderId="23" numFmtId="2" xfId="0" applyNumberFormat="1" applyFont="1" applyBorder="1">
      <alignment horizontal="center" vertical="center" wrapText="1"/>
    </xf>
    <xf fontId="22" fillId="0" borderId="12" numFmtId="0" xfId="0" applyNumberFormat="1" applyFont="1" applyBorder="1">
      <alignment horizontal="left" vertical="center" wrapText="1"/>
    </xf>
    <xf fontId="48" fillId="0" borderId="22" numFmtId="49" xfId="0" applyNumberFormat="1" applyFont="1" applyBorder="1">
      <alignment vertical="top"/>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22" numFmtId="0" xfId="0" applyNumberFormat="1"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NumberFormat="1" applyFont="1" applyBorder="1">
      <alignment horizontal="left" vertical="center" wrapText="1"/>
    </xf>
    <xf fontId="22" fillId="0" borderId="12" numFmtId="0" xfId="0" applyNumberFormat="1" applyFont="1" applyBorder="1">
      <alignment horizontal="left" vertical="center" wrapText="1"/>
    </xf>
    <xf fontId="47" fillId="0" borderId="0" numFmtId="0" xfId="0" applyNumberFormat="1" applyFont="1">
      <alignment horizontal="center" vertical="top"/>
    </xf>
    <xf fontId="48" fillId="0" borderId="0" numFmtId="0" xfId="0" applyNumberFormat="1"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45" fillId="0" borderId="0" numFmtId="0" xfId="0" applyNumberFormat="1" applyFont="1">
      <alignment horizontal="left" vertical="top" wrapText="1"/>
    </xf>
    <xf fontId="32" fillId="0" borderId="0" numFmtId="49" xfId="0" applyNumberFormat="1" applyFont="1">
      <alignment horizontal="center" vertical="center" wrapText="1"/>
    </xf>
    <xf fontId="47" fillId="55" borderId="12" numFmtId="0" xfId="0" applyNumberFormat="1" applyFont="1" applyFill="1" applyBorder="1">
      <alignment horizontal="left" vertical="center" wrapText="1"/>
    </xf>
    <xf fontId="22" fillId="54" borderId="12" numFmtId="0" xfId="0" applyNumberFormat="1"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NumberFormat="1"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9"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91"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NumberFormat="1"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17" numFmtId="0" xfId="0" applyNumberFormat="1"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58" numFmtId="49" xfId="0" applyNumberFormat="1" applyFont="1" applyBorder="1">
      <alignment horizontal="center" vertical="center" wrapText="1"/>
    </xf>
    <xf fontId="22" fillId="0" borderId="15" numFmtId="0"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NumberFormat="1" applyFont="1" applyBorder="1">
      <alignment horizontal="left" vertical="center" wrapText="1"/>
    </xf>
    <xf fontId="22" fillId="0" borderId="37"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NumberFormat="1"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NumberFormat="1" applyFont="1" applyBorder="1">
      <alignment vertical="top" wrapText="1"/>
    </xf>
    <xf fontId="22" fillId="35" borderId="0" numFmtId="0" xfId="0" applyNumberFormat="1" applyFont="1" applyFill="1">
      <alignment horizontal="right" vertical="center" wrapText="1"/>
    </xf>
    <xf fontId="64" fillId="0" borderId="0" numFmtId="0" xfId="0" applyNumberFormat="1" applyFont="1">
      <alignment vertical="center" wrapText="1"/>
    </xf>
    <xf fontId="22" fillId="35" borderId="0" numFmtId="0" xfId="0" applyNumberFormat="1" applyFont="1" applyFill="1">
      <alignment horizontal="right" vertical="center"/>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0" numFmtId="49" xfId="0" applyNumberFormat="1" applyFont="1">
      <alignment vertical="top"/>
    </xf>
    <xf fontId="22" fillId="37" borderId="14" numFmtId="0" xfId="0" applyNumberFormat="1"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NumberFormat="1" applyFont="1">
      <alignment horizontal="left" vertical="top" wrapText="1"/>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48" fillId="0" borderId="14" numFmtId="0" xfId="0" applyNumberFormat="1" applyFont="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left" indent="1"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NumberFormat="1" applyFont="1" applyBorder="1">
      <alignment horizontal="left" indent="1" vertical="center" wrapText="1"/>
    </xf>
    <xf fontId="22" fillId="0" borderId="17" numFmtId="0"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0" numFmtId="0" xfId="0" applyNumberFormat="1" applyFont="1">
      <alignment horizontal="left" vertical="top"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NumberFormat="1" applyFont="1" applyBorder="1">
      <alignmen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83" fillId="0" borderId="0" numFmtId="0" xfId="0" applyNumberFormat="1" applyFont="1">
      <alignment vertical="center" wrapText="1"/>
    </xf>
    <xf fontId="22" fillId="0" borderId="12" numFmtId="0" xfId="0" applyNumberFormat="1"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vertical="top"/>
    </xf>
    <xf fontId="22" fillId="0" borderId="0" numFmtId="0" xfId="0" applyNumberFormat="1" applyFont="1">
      <alignment vertical="top" wrapText="1"/>
    </xf>
    <xf fontId="22" fillId="0" borderId="0" numFmtId="0" xfId="0" applyNumberFormat="1"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NumberFormat="1"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NumberFormat="1" applyFont="1" applyBorder="1">
      <alignment horizontal="left" vertical="center" wrapText="1"/>
    </xf>
    <xf fontId="53" fillId="0" borderId="15" numFmtId="49" xfId="0" applyNumberFormat="1" applyFont="1" applyBorder="1">
      <alignment horizontal="left" vertical="center" wrapText="1"/>
    </xf>
    <xf fontId="22" fillId="0" borderId="31" numFmtId="0" xfId="0" applyNumberFormat="1"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NumberFormat="1"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36" fillId="0" borderId="24" numFmtId="0" xfId="0" applyNumberFormat="1" applyFont="1" applyBorder="1">
      <alignment horizontal="center" vertical="center" wrapText="1"/>
    </xf>
    <xf fontId="0" fillId="0" borderId="14" numFmtId="0" xfId="0" applyNumberFormat="1" applyFont="1" applyBorder="1">
      <alignment horizontal="center" vertical="center"/>
    </xf>
    <xf fontId="22" fillId="0" borderId="13" numFmtId="0" xfId="0" applyNumberFormat="1" applyFont="1" applyBorder="1">
      <alignment horizontal="center" vertical="center" wrapText="1"/>
    </xf>
    <xf fontId="0" fillId="36" borderId="12" numFmtId="504"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NumberFormat="1" applyFont="1">
      <alignment horizontal="left" vertical="center"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36" fillId="0" borderId="0" numFmtId="0" xfId="0" applyNumberFormat="1"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3" numFmtId="0" xfId="0" applyNumberFormat="1" applyFont="1" applyBorder="1">
      <alignment vertical="center" wrapText="1"/>
    </xf>
    <xf fontId="22" fillId="37" borderId="27" numFmtId="0" xfId="0" applyNumberFormat="1" applyFont="1" applyFill="1" applyBorder="1">
      <alignment vertical="center" wrapText="1"/>
    </xf>
    <xf fontId="36" fillId="0" borderId="0" numFmtId="0" xfId="0" applyNumberFormat="1" applyFont="1">
      <alignment horizontal="center" vertical="center" wrapText="1"/>
    </xf>
    <xf fontId="36" fillId="0" borderId="0" numFmtId="0" xfId="0" applyNumberFormat="1" applyFont="1">
      <alignment horizontal="center" vertical="center" wrapText="1"/>
    </xf>
    <xf fontId="83"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8"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NumberFormat="1" applyFont="1" applyFill="1" applyBorder="1">
      <alignment vertical="center" wrapText="1"/>
    </xf>
    <xf fontId="47" fillId="0" borderId="0" numFmtId="0" xfId="0" applyNumberFormat="1" applyFont="1">
      <alignment vertical="center" wrapText="1"/>
    </xf>
    <xf fontId="47" fillId="0" borderId="0" numFmtId="0" xfId="0" applyNumberFormat="1" applyFont="1">
      <alignment vertical="center" wrapText="1"/>
    </xf>
    <xf fontId="47"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left" indent="3" vertical="center" wrapText="1"/>
    </xf>
    <xf fontId="22" fillId="35" borderId="0" numFmtId="0" xfId="0" applyNumberFormat="1" applyFont="1" applyFill="1">
      <alignment vertic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NumberFormat="1" applyFont="1" applyFill="1" applyBorder="1">
      <alignment horizontal="center" wrapText="1"/>
    </xf>
    <xf fontId="50" fillId="35" borderId="39" numFmtId="0" xfId="0" applyNumberFormat="1" applyFont="1" applyFill="1" applyBorder="1">
      <alignment horizont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22" fillId="0" borderId="0" numFmtId="49" xfId="0" applyNumberFormat="1" applyFont="1">
      <alignment vertical="top"/>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22" fillId="0" borderId="38" numFmtId="0" xfId="0" applyNumberFormat="1" applyFont="1" applyBorder="1">
      <alignmen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NumberFormat="1" applyFont="1" applyFill="1">
      <alignment vertical="center" wrapText="1"/>
    </xf>
    <xf fontId="0" fillId="0" borderId="12" numFmtId="0" xfId="0" applyNumberFormat="1" applyFont="1" applyBorder="1">
      <alignment horizontal="center" vertical="center" wrapText="1"/>
    </xf>
    <xf fontId="22" fillId="0" borderId="0" numFmtId="49" xfId="0" applyNumberFormat="1" applyFont="1">
      <alignment vertical="top"/>
    </xf>
    <xf fontId="22" fillId="0" borderId="0" numFmtId="0" xfId="0" applyNumberFormat="1" applyFont="1">
      <alignment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xf>
    <xf fontId="22" fillId="0" borderId="0" numFmtId="0" xfId="0" applyNumberFormat="1"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NumberFormat="1" applyFont="1">
      <alignment horizontal="left" vertical="center" wrapText="1"/>
    </xf>
    <xf fontId="22" fillId="0" borderId="0" numFmtId="0" xfId="0" applyNumberFormat="1" applyFont="1">
      <alignment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19" numFmtId="0" xfId="0" applyNumberFormat="1"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NumberFormat="1" applyFont="1" applyBorder="1">
      <alignment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22" fillId="0" borderId="38" numFmtId="0" xfId="0" applyNumberFormat="1"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NumberFormat="1"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NumberFormat="1" applyFont="1" applyBorder="1">
      <alignment horizontal="left" vertical="top" wrapText="1"/>
    </xf>
    <xf fontId="22" fillId="0" borderId="0" numFmtId="49" xfId="0" applyNumberFormat="1" applyFont="1">
      <alignment horizontal="center" vertical="top" wrapText="1"/>
    </xf>
    <xf fontId="22" fillId="0" borderId="0" numFmtId="49" xfId="0" applyNumberFormat="1" applyFont="1">
      <alignment horizontal="center" vertical="center" wrapText="1"/>
    </xf>
    <xf fontId="32" fillId="0" borderId="0" numFmtId="49" xfId="0" applyNumberFormat="1" applyFont="1">
      <alignment horizontal="center" vertical="center"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45" fillId="0" borderId="0" numFmtId="0"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NumberFormat="1" applyFont="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35" borderId="13"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45" fillId="0" borderId="0" numFmtId="0" xfId="0" applyNumberFormat="1" applyFont="1">
      <alignment vertical="center" wrapText="1"/>
    </xf>
    <xf fontId="94" fillId="0" borderId="0" numFmtId="49" xfId="0" applyNumberFormat="1" applyFont="1">
      <alignment vertical="center" wrapText="1"/>
    </xf>
    <xf fontId="45" fillId="0" borderId="0" numFmtId="49" xfId="0" applyNumberFormat="1" applyFont="1">
      <alignment vertical="center" wrapText="1"/>
    </xf>
    <xf fontId="99" fillId="0" borderId="0" numFmtId="49" xfId="0" applyNumberFormat="1" applyFont="1">
      <alignment vertical="center" wrapText="1"/>
    </xf>
    <xf fontId="99" fillId="0" borderId="0" numFmtId="49" xfId="0" applyNumberFormat="1" applyFont="1">
      <alignment vertical="center" wrapText="1"/>
    </xf>
    <xf fontId="36"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0" borderId="14" numFmtId="0" xfId="0" applyNumberFormat="1" applyFont="1" applyBorder="1">
      <alignment horizontal="center" vertical="center" wrapText="1"/>
    </xf>
    <xf fontId="22" fillId="0" borderId="12" numFmtId="0" xfId="0" applyNumberFormat="1"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NumberFormat="1" applyFont="1" applyBorder="1">
      <alignment vertical="top" wrapText="1"/>
    </xf>
    <xf fontId="22" fillId="0" borderId="12" numFmtId="0" xfId="0" applyNumberFormat="1"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NumberFormat="1"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NumberFormat="1" applyFont="1" applyFill="1">
      <alignment vertical="center" wrapText="1"/>
    </xf>
    <xf fontId="22" fillId="35" borderId="0" numFmtId="0" xfId="0" applyNumberFormat="1" applyFont="1" applyFill="1">
      <alignment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0" numFmtId="49" xfId="0" applyNumberFormat="1" applyFont="1">
      <alignment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22" fillId="35" borderId="0" numFmtId="0" xfId="0" applyNumberFormat="1" applyFont="1" applyFill="1">
      <alignment horizontal="center" vertical="center" wrapText="1"/>
    </xf>
    <xf fontId="22" fillId="0" borderId="0" numFmtId="49" xfId="0" applyNumberFormat="1" applyFont="1">
      <alignment vertical="center" wrapText="1"/>
    </xf>
    <xf fontId="22"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NumberFormat="1"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NumberFormat="1" applyFont="1">
      <alignment vertical="center" wrapText="1"/>
    </xf>
    <xf fontId="39" fillId="35" borderId="0" numFmtId="0" xfId="0" applyNumberFormat="1" applyFont="1" applyFill="1">
      <alignment vertical="center" wrapText="1"/>
    </xf>
    <xf fontId="44" fillId="37" borderId="15" numFmtId="49" xfId="0" applyNumberFormat="1" applyFont="1" applyFill="1" applyBorder="1">
      <alignment horizontal="center" vertical="top"/>
    </xf>
    <xf fontId="48" fillId="0" borderId="0" numFmtId="0" xfId="0" applyNumberFormat="1" applyFont="1">
      <alignment vertical="center"/>
    </xf>
    <xf fontId="22" fillId="0" borderId="0" numFmtId="0" xfId="0" applyNumberFormat="1" applyFont="1">
      <alignment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35" borderId="12" numFmtId="0" xfId="0" applyNumberFormat="1" applyFont="1" applyFill="1" applyBorder="1">
      <alignment horizontal="center" vertical="center" wrapText="1"/>
    </xf>
    <xf fontId="0" fillId="0" borderId="12" numFmtId="0" xfId="0" applyNumberFormat="1"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NumberFormat="1"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NumberFormat="1" applyFont="1" applyBorder="1">
      <alignment vertical="top" wrapText="1"/>
    </xf>
    <xf fontId="40" fillId="37" borderId="15" numFmtId="49" xfId="0" applyNumberFormat="1" applyFont="1" applyFill="1" applyBorder="1">
      <alignment horizontal="left" indent="1" vertical="center"/>
    </xf>
    <xf fontId="22" fillId="0" borderId="23" numFmtId="0" xfId="0" applyNumberFormat="1" applyFont="1" applyBorder="1">
      <alignment vertical="top"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22" fillId="0" borderId="0" numFmtId="0" xfId="0" applyNumberFormat="1" applyFont="1">
      <alignment vertical="top" wrapText="1"/>
    </xf>
    <xf fontId="22" fillId="0" borderId="0" numFmtId="49" xfId="0" applyNumberFormat="1" applyFont="1">
      <alignment vertical="center" wrapText="1"/>
    </xf>
    <xf fontId="39" fillId="0" borderId="0" numFmtId="0" xfId="0" applyNumberFormat="1" applyFont="1">
      <alignment vertical="center" wrapText="1"/>
    </xf>
    <xf fontId="47" fillId="0" borderId="0" numFmtId="49" xfId="0" applyNumberFormat="1" applyFont="1">
      <alignment vertical="top"/>
    </xf>
    <xf fontId="0" fillId="39" borderId="12" numFmtId="0" xfId="0" applyNumberFormat="1"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vertical="center" wrapText="1"/>
      <protection locked="0"/>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NumberFormat="1" applyFont="1" applyBorder="1">
      <alignment horizontal="left" vertical="center" wrapText="1"/>
    </xf>
    <xf fontId="0" fillId="39" borderId="12" numFmtId="504"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22" fillId="0" borderId="12" numFmtId="0" xfId="0" applyNumberFormat="1" applyFont="1" applyBorder="1">
      <alignment vertical="top" wrapText="1"/>
    </xf>
    <xf fontId="40" fillId="37" borderId="15" numFmtId="49" xfId="0" applyNumberFormat="1" applyFont="1" applyFill="1" applyBorder="1">
      <alignment horizontal="left" indent="2" vertical="center"/>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NumberFormat="1" applyFont="1" applyBorder="1">
      <alignment horizontal="center" vertical="center" wrapText="1"/>
    </xf>
    <xf fontId="0" fillId="39" borderId="13" numFmtId="504" xfId="0" applyNumberFormat="1" applyFont="1" applyFill="1" applyBorder="1">
      <alignment horizontal="left" vertical="center" wrapText="1"/>
      <protection locked="0"/>
    </xf>
    <xf fontId="0" fillId="39" borderId="14" numFmtId="504" xfId="0" applyNumberFormat="1" applyFont="1" applyFill="1" applyBorder="1">
      <alignment horizontal="left" vertical="center" wrapText="1"/>
      <protection locked="0"/>
    </xf>
    <xf fontId="22" fillId="40" borderId="12" numFmtId="0" xfId="0" applyNumberFormat="1" applyFont="1" applyFill="1" applyBorder="1">
      <alignment horizontal="left" vertical="center" wrapText="1"/>
    </xf>
    <xf fontId="0" fillId="0" borderId="36"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horizontal="left" indent="1" vertical="center" wrapText="1"/>
    </xf>
    <xf fontId="22" fillId="0" borderId="0" numFmtId="0" xfId="0" applyNumberFormat="1" applyFont="1">
      <alignment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left" indent="1" vertical="top" wrapText="1"/>
    </xf>
    <xf fontId="46" fillId="0" borderId="0" numFmtId="0" xfId="0" applyNumberFormat="1" applyFont="1">
      <alignment vertical="center" wrapText="1"/>
    </xf>
    <xf fontId="0" fillId="35" borderId="14" numFmtId="0" xfId="0" applyNumberFormat="1" applyFont="1" applyFill="1" applyBorder="1">
      <alignment horizontal="right" indent="1" vertical="center" wrapText="1"/>
    </xf>
    <xf fontId="71" fillId="0" borderId="0" numFmtId="0" xfId="0" applyNumberFormat="1"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22" fillId="0" borderId="12" numFmtId="0" xfId="0" applyNumberFormat="1" applyFont="1" applyBorder="1">
      <alignment horizontal="left" vertical="center" wrapText="1"/>
    </xf>
    <xf fontId="39" fillId="35" borderId="0" numFmtId="0" xfId="0" applyNumberFormat="1" applyFont="1" applyFill="1">
      <alignment horizontal="center" vertical="top" wrapText="1"/>
    </xf>
    <xf fontId="0" fillId="34" borderId="14"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9" borderId="13" numFmtId="504" xfId="0" applyNumberFormat="1" applyFont="1" applyFill="1" applyBorder="1">
      <alignment horizontal="left" vertical="center" wrapText="1"/>
      <protection locked="0"/>
    </xf>
    <xf fontId="0" fillId="39" borderId="14" numFmtId="504" xfId="0" applyNumberFormat="1" applyFont="1" applyFill="1" applyBorder="1">
      <alignment horizontal="left" vertical="center" wrapText="1"/>
      <protection locked="0"/>
    </xf>
    <xf fontId="0" fillId="0" borderId="13" numFmtId="0" xfId="0" applyNumberFormat="1"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5" borderId="14" numFmtId="49" xfId="0" applyNumberFormat="1" applyFont="1" applyFill="1" applyBorder="1">
      <alignment horizontal="center" vertical="center" wrapText="1"/>
    </xf>
    <xf fontId="27" fillId="39" borderId="12" numFmtId="49" xfId="0" applyNumberFormat="1" applyFont="1" applyFill="1" applyBorder="1">
      <alignment horizontal="left" vertical="center" wrapText="1"/>
      <protection locked="0"/>
    </xf>
    <xf fontId="22" fillId="0" borderId="0" numFmtId="49" xfId="0" applyNumberFormat="1" applyFont="1">
      <alignment vertical="top"/>
    </xf>
    <xf fontId="22" fillId="0" borderId="0" numFmtId="0" xfId="0" applyNumberFormat="1" applyFont="1">
      <alignment vertical="top" wrapText="1"/>
    </xf>
    <xf fontId="39" fillId="0" borderId="0" numFmtId="0" xfId="0" applyNumberFormat="1" applyFont="1">
      <alignment vertical="center" wrapText="1"/>
    </xf>
    <xf fontId="22" fillId="0" borderId="36" numFmtId="0" xfId="0" applyNumberFormat="1" applyFont="1" applyBorder="1">
      <alignment vertical="center" wrapText="1"/>
    </xf>
    <xf fontId="0" fillId="39" borderId="12" numFmtId="4" xfId="0" applyNumberFormat="1" applyFont="1" applyFill="1" applyBorder="1">
      <alignment horizontal="right" vertical="center" wrapText="1"/>
      <protection locked="0"/>
    </xf>
    <xf fontId="0" fillId="0" borderId="36" numFmtId="0" xfId="0" applyNumberFormat="1" applyFont="1" applyBorder="1">
      <alignment horizontal="center" vertical="center" wrapText="1"/>
    </xf>
    <xf fontId="71" fillId="0" borderId="0" numFmtId="0" xfId="0" applyNumberFormat="1" applyFont="1">
      <alignment vertical="center" wrapText="1"/>
    </xf>
    <xf fontId="48" fillId="0" borderId="0" numFmtId="0" xfId="0" applyNumberFormat="1" applyFont="1">
      <alignment vertical="center"/>
    </xf>
    <xf fontId="22" fillId="0" borderId="36" numFmtId="0" xfId="0" applyNumberFormat="1"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NumberFormat="1" applyFont="1">
      <alignment horizontal="right" vertical="top" wrapText="1"/>
    </xf>
    <xf fontId="22" fillId="0" borderId="0" numFmtId="49" xfId="0" applyNumberFormat="1" applyFont="1">
      <alignment vertical="top" wrapText="1"/>
    </xf>
    <xf fontId="22" fillId="0" borderId="0" numFmtId="0" xfId="0" applyNumberFormat="1" applyFont="1">
      <alignment vertical="top" wrapText="1"/>
    </xf>
    <xf fontId="22" fillId="0" borderId="0" numFmtId="49" xfId="0" applyNumberFormat="1" applyFont="1">
      <alignment vertical="top"/>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0" borderId="19" numFmtId="0" xfId="0" applyNumberFormat="1" applyFont="1" applyBorder="1">
      <alignment vertical="center" wrapText="1"/>
    </xf>
    <xf fontId="22" fillId="0" borderId="19" numFmtId="0" xfId="0" applyNumberFormat="1" applyFont="1" applyBorder="1">
      <alignment horizontal="left" vertical="top" wrapText="1"/>
    </xf>
    <xf fontId="22" fillId="0" borderId="0" numFmtId="49" xfId="0" applyNumberFormat="1" applyFont="1">
      <alignment vertical="center" wrapText="1"/>
    </xf>
    <xf fontId="83"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NumberFormat="1"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horizontal="center" vertical="top"/>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14" numFmtId="0" xfId="0" applyNumberFormat="1"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0" fillId="48" borderId="0" numFmtId="0" xfId="0" applyNumberFormat="1"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NumberFormat="1" applyFont="1">
      <alignment vertical="center"/>
    </xf>
    <xf fontId="0" fillId="48" borderId="0" numFmtId="0" xfId="0" applyNumberFormat="1" applyFont="1" applyFill="1">
      <alignment horizontal="left" vertical="center"/>
    </xf>
    <xf fontId="0" fillId="0" borderId="0" numFmtId="0" xfId="0" applyNumberFormat="1" applyFont="1">
      <alignment horizontal="righ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horizontal="right" vertical="top"/>
    </xf>
    <xf fontId="0" fillId="0" borderId="0" numFmtId="0" xfId="0" applyNumberFormat="1" applyFont="1">
      <alignment vertical="top"/>
    </xf>
    <xf fontId="22" fillId="0" borderId="14" numFmtId="49" xfId="0" applyNumberFormat="1" applyFont="1" applyBorder="1">
      <alignment vertical="top"/>
    </xf>
    <xf fontId="0" fillId="48" borderId="0" numFmtId="0" xfId="0" applyNumberFormat="1" applyFont="1" applyFill="1">
      <alignment horizontal="right" vertical="center"/>
    </xf>
    <xf fontId="0" fillId="0" borderId="0" numFmtId="0" xfId="0" applyNumberFormat="1" applyFont="1">
      <alignment horizontal="left" vertical="center"/>
    </xf>
    <xf fontId="0" fillId="48" borderId="0" numFmtId="0" xfId="0" applyNumberFormat="1" applyFont="1" applyFill="1">
      <alignment horizontal="right" vertical="center"/>
    </xf>
    <xf fontId="0" fillId="48" borderId="0" numFmtId="0" xfId="0" applyNumberFormat="1" applyFont="1" applyFill="1">
      <alignment horizontal="left" vertical="center"/>
    </xf>
    <xf fontId="54" fillId="48" borderId="0" numFmtId="0" xfId="0" applyNumberFormat="1" applyFont="1" applyFill="1">
      <alignment horizontal="left" vertical="center"/>
    </xf>
    <xf fontId="0" fillId="0" borderId="0" numFmtId="0" xfId="0" applyNumberFormat="1" applyFont="1">
      <alignment vertical="center"/>
    </xf>
    <xf fontId="22" fillId="0" borderId="0" numFmtId="0" xfId="0" applyNumberFormat="1" applyFont="1">
      <alignment vertical="top"/>
    </xf>
    <xf fontId="54" fillId="0" borderId="0" numFmtId="0" xfId="0" applyNumberFormat="1"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NumberFormat="1" applyFont="1" applyBorder="1">
      <alignment horizontal="left" vertical="center"/>
    </xf>
    <xf fontId="54" fillId="48" borderId="0" numFmtId="0" xfId="0" applyNumberFormat="1" applyFont="1" applyFill="1">
      <alignment horizontal="left" vertical="center"/>
    </xf>
    <xf fontId="22" fillId="0" borderId="17" numFmtId="49" xfId="0" applyNumberFormat="1" applyFont="1" applyBorder="1">
      <alignment horizontal="righ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NumberFormat="1" applyFont="1" applyFill="1">
      <alignment horizontal="left" vertical="center"/>
    </xf>
    <xf fontId="0" fillId="48" borderId="10" numFmtId="0" xfId="0" applyNumberFormat="1"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NumberFormat="1"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0" fillId="41" borderId="12" numFmtId="0" xfId="0" applyNumberFormat="1"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NumberFormat="1" applyFont="1" applyFill="1" applyBorder="1">
      <alignment horizontal="center" vertical="top"/>
    </xf>
    <xf fontId="22" fillId="34" borderId="30" numFmtId="0" xfId="0" applyNumberFormat="1" applyFont="1" applyFill="1" applyBorder="1">
      <alignment horizontal="left" vertical="top"/>
    </xf>
    <xf fontId="0" fillId="0" borderId="32" numFmtId="0" xfId="0" applyNumberFormat="1" applyFont="1" applyBorder="1">
      <alignment horizontal="center" vertical="center"/>
    </xf>
    <xf fontId="0" fillId="0" borderId="34" numFmtId="0" xfId="0" applyNumberFormat="1" applyFont="1" applyBorder="1">
      <alignment horizontal="center" vertical="center"/>
    </xf>
    <xf fontId="22" fillId="0" borderId="12" numFmtId="0" xfId="0" applyNumberFormat="1" applyFont="1" applyBorder="1">
      <alignment horizontal="left" vertical="top"/>
    </xf>
    <xf fontId="22" fillId="0" borderId="0" numFmtId="49" xfId="0" applyNumberFormat="1" applyFont="1">
      <alignment horizontal="left" vertical="top"/>
    </xf>
    <xf fontId="0" fillId="0" borderId="33" numFmtId="0" xfId="0" applyNumberFormat="1"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NumberFormat="1" applyFont="1" applyFill="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4" borderId="12" numFmtId="0" xfId="0" applyNumberFormat="1" applyFont="1" applyFill="1" applyBorder="1">
      <alignment horizontal="left" vertical="center" wrapText="1"/>
    </xf>
    <xf fontId="68" fillId="35" borderId="0" numFmtId="0" xfId="0" applyNumberFormat="1" applyFont="1" applyFill="1"/>
    <xf fontId="22" fillId="35" borderId="12" numFmtId="0" xfId="0" applyNumberFormat="1" applyFont="1" applyFill="1" applyBorder="1">
      <alignment horizontal="left"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NumberFormat="1" applyFont="1" applyFill="1">
      <alignment horizontal="center" vertical="center" wrapText="1"/>
    </xf>
    <xf fontId="22" fillId="35" borderId="24" numFmtId="0" xfId="0" applyNumberFormat="1" applyFont="1" applyFill="1" applyBorder="1">
      <alignment horizontal="center" vertical="center" wrapText="1"/>
    </xf>
    <xf fontId="0" fillId="35" borderId="17" numFmtId="0" xfId="0" applyNumberFormat="1" applyFont="1" applyFill="1" applyBorder="1">
      <alignment horizontal="left" vertical="top" wrapText="1"/>
    </xf>
    <xf fontId="67" fillId="35" borderId="0" numFmtId="0" xfId="0" applyNumberFormat="1" applyFont="1" applyFill="1"/>
    <xf fontId="72" fillId="35" borderId="0" numFmtId="0" xfId="0" applyNumberFormat="1" applyFont="1" applyFill="1">
      <alignment vertical="center" wrapText="1"/>
    </xf>
    <xf fontId="48" fillId="35" borderId="12" numFmtId="0" xfId="0" applyNumberFormat="1" applyFont="1" applyFill="1" applyBorder="1">
      <alignment horizontal="center" vertical="center"/>
    </xf>
    <xf fontId="0" fillId="35" borderId="36" numFmtId="0" xfId="0" applyNumberFormat="1" applyFont="1" applyFill="1" applyBorder="1">
      <alignment horizontal="left" vertical="top" wrapText="1"/>
    </xf>
    <xf fontId="67" fillId="35" borderId="0" numFmtId="0" xfId="0" applyNumberFormat="1" applyFont="1" applyFill="1"/>
    <xf fontId="0" fillId="35" borderId="23" numFmtId="0" xfId="0" applyNumberFormat="1" applyFont="1" applyFill="1" applyBorder="1">
      <alignment horizontal="left" vertical="top" wrapText="1"/>
    </xf>
    <xf fontId="84" fillId="35" borderId="0" numFmtId="0" xfId="0" applyNumberFormat="1" applyFont="1" applyFill="1"/>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NumberFormat="1" applyFont="1" applyFill="1" applyBorder="1">
      <alignmen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12" fillId="0" borderId="0" numFmtId="0" xfId="0" applyNumberFormat="1" applyFont="1">
      <alignment vertical="center"/>
    </xf>
    <xf fontId="37"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7" numFmtId="501" xfId="0" applyNumberFormat="1" applyFont="1" applyBorder="1">
      <alignment horizontal="center" vertical="center" wrapText="1"/>
    </xf>
    <xf fontId="22" fillId="0" borderId="17" numFmtId="501"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NumberFormat="1" applyFont="1">
      <alignment vertical="center" wrapText="1"/>
    </xf>
    <xf fontId="0" fillId="0" borderId="0" numFmtId="49" xfId="0" applyNumberFormat="1" applyFont="1">
      <alignment vertical="top"/>
    </xf>
    <xf fontId="22" fillId="0" borderId="14"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0" fillId="39" borderId="15" numFmtId="504" xfId="0" applyNumberFormat="1" applyFont="1" applyFill="1" applyBorder="1">
      <alignment horizontal="left" indent="1" vertical="center" wrapText="1"/>
      <protection locked="0"/>
    </xf>
    <xf fontId="22" fillId="39" borderId="12" numFmtId="505" xfId="0" applyNumberFormat="1" applyFont="1" applyFill="1" applyBorder="1">
      <alignment horizontal="left" indent="1" vertical="center" wrapText="1"/>
      <protection locked="0"/>
    </xf>
    <xf fontId="48" fillId="0" borderId="0" numFmtId="504" xfId="0" applyNumberFormat="1" applyFont="1">
      <alignment horizontal="center" vertical="center" wrapText="1"/>
    </xf>
    <xf fontId="22" fillId="0" borderId="17" numFmtId="501"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5" numFmtId="501" xfId="0" applyNumberFormat="1" applyFont="1" applyBorder="1">
      <alignment horizontal="center" vertical="center" wrapText="1"/>
    </xf>
    <xf fontId="22" fillId="0" borderId="13" numFmtId="501"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23" numFmtId="0" xfId="0" applyNumberFormat="1" applyFont="1" applyBorder="1">
      <alignment horizontal="center" vertical="center" wrapText="1"/>
    </xf>
    <xf fontId="22" fillId="34" borderId="23" numFmtId="0" xfId="0" applyNumberFormat="1"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NumberFormat="1" applyFont="1" applyBorder="1">
      <alignment horizontal="left" vertical="top" wrapText="1"/>
    </xf>
    <xf fontId="22" fillId="0" borderId="12"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indent="1" vertical="center" wrapText="1"/>
    </xf>
    <xf fontId="22" fillId="0" borderId="23" numFmtId="501" xfId="0" applyNumberFormat="1" applyFont="1" applyBorder="1">
      <alignment horizontal="center" vertical="center" wrapText="1"/>
    </xf>
    <xf fontId="22" fillId="0" borderId="23" numFmtId="0" xfId="0" applyNumberFormat="1"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NumberFormat="1" applyFont="1" applyFill="1" applyBorder="1">
      <alignment vertical="center" wrapText="1"/>
    </xf>
    <xf fontId="48" fillId="0" borderId="0" numFmtId="0" xfId="0" applyNumberFormat="1" applyFont="1">
      <alignment horizontal="center"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12"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5" numFmtId="0" xfId="0" applyNumberFormat="1" applyFont="1" applyBorder="1">
      <alignment horizontal="left" vertical="center" wrapText="1"/>
    </xf>
    <xf fontId="42" fillId="0" borderId="0" numFmtId="0" xfId="0" applyNumberFormat="1" applyFont="1">
      <alignment horizontal="center" vertical="center" wrapText="1"/>
    </xf>
    <xf fontId="22" fillId="0" borderId="0" numFmtId="0" xfId="0" applyNumberFormat="1" applyFont="1">
      <alignment horizontal="center" vertical="center" wrapText="1"/>
    </xf>
    <xf fontId="45" fillId="0" borderId="19" numFmtId="501" xfId="0" applyNumberFormat="1" applyFont="1" applyBorder="1">
      <alignment horizontal="center" vertical="center" wrapText="1"/>
    </xf>
    <xf fontId="45" fillId="0" borderId="19" numFmtId="501" xfId="0" applyNumberFormat="1" applyFont="1" applyBorder="1">
      <alignment horizontal="center" vertical="center" wrapText="1"/>
    </xf>
    <xf fontId="45" fillId="0" borderId="20" numFmtId="501" xfId="0" applyNumberFormat="1" applyFont="1" applyBorder="1">
      <alignment horizontal="center" vertical="center" wrapText="1"/>
    </xf>
    <xf fontId="48" fillId="0" borderId="0" numFmtId="0" xfId="0" applyNumberFormat="1" applyFont="1">
      <alignment horizontal="center" vertical="center"/>
    </xf>
    <xf fontId="42" fillId="0" borderId="0" numFmtId="0" xfId="0" applyNumberFormat="1" applyFont="1">
      <alignment horizontal="center" vertical="center" wrapText="1"/>
    </xf>
    <xf fontId="22" fillId="0" borderId="12" numFmtId="501" xfId="0" applyNumberFormat="1" applyFont="1" applyBorder="1">
      <alignment horizontal="center" vertical="center" wrapText="1"/>
    </xf>
    <xf fontId="22" fillId="0" borderId="36" numFmtId="501" xfId="0" applyNumberFormat="1" applyFont="1" applyBorder="1">
      <alignment horizontal="center" vertical="center" wrapText="1"/>
    </xf>
    <xf fontId="22" fillId="0" borderId="12" numFmtId="501" xfId="0" applyNumberFormat="1" applyFont="1" applyBorder="1">
      <alignment horizontal="center"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NumberFormat="1"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NumberFormat="1" applyFont="1">
      <alignment vertical="center" wrapText="1"/>
    </xf>
    <xf fontId="37" fillId="35" borderId="0" numFmtId="0" xfId="0" applyNumberFormat="1" applyFont="1" applyFill="1">
      <alignment horizontal="center" vertical="center" wrapText="1"/>
    </xf>
    <xf fontId="2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NumberFormat="1" applyFont="1" applyFill="1">
      <alignment horizontal="center" vertical="center" wrapText="1"/>
    </xf>
    <xf fontId="32" fillId="35" borderId="0" numFmtId="0" xfId="0" applyNumberFormat="1" applyFont="1" applyFill="1"/>
    <xf fontId="32" fillId="0" borderId="0" numFmtId="49" xfId="0" applyNumberFormat="1" applyFont="1">
      <alignment vertical="top"/>
    </xf>
    <xf fontId="22" fillId="35" borderId="12" numFmtId="0" xfId="0" applyNumberFormat="1"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37" fillId="0" borderId="0" numFmtId="49" xfId="0" applyNumberFormat="1" applyFont="1">
      <alignment horizontal="center" vertical="center"/>
    </xf>
    <xf fontId="22" fillId="0" borderId="0" numFmtId="0" xfId="0" applyNumberFormat="1" applyFont="1"/>
    <xf fontId="37" fillId="35" borderId="0" numFmtId="0" xfId="0" applyNumberFormat="1" applyFont="1" applyFill="1">
      <alignment horizontal="center" vertical="center"/>
    </xf>
    <xf fontId="22" fillId="35" borderId="0" numFmtId="0" xfId="0" applyNumberFormat="1" applyFont="1" applyFill="1"/>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64" fillId="0" borderId="0" numFmtId="0" xfId="0" applyNumberFormat="1" applyFont="1"/>
    <xf fontId="22" fillId="0" borderId="12" numFmtId="0" xfId="0" applyNumberFormat="1" applyFont="1" applyBorder="1">
      <alignment horizontal="center" vertical="center" wrapText="1"/>
    </xf>
    <xf fontId="22" fillId="35" borderId="17" numFmtId="0" xfId="0" applyNumberFormat="1" applyFont="1" applyFill="1" applyBorder="1">
      <alignment horizontal="center" vertical="center"/>
    </xf>
    <xf fontId="22" fillId="0" borderId="17" numFmtId="49" xfId="0" applyNumberFormat="1" applyFont="1" applyBorder="1">
      <alignment horizontal="left"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NumberFormat="1" applyFont="1">
      <alignment horizontal="center" vertical="center"/>
    </xf>
    <xf fontId="22" fillId="0" borderId="0" numFmtId="0" xfId="0" applyNumberFormat="1" applyFont="1"/>
    <xf fontId="37" fillId="0" borderId="0" numFmtId="0" xfId="0" applyNumberFormat="1" applyFont="1">
      <alignment horizontal="center" vertical="center"/>
    </xf>
    <xf fontId="22" fillId="0" borderId="0" numFmtId="0" xfId="0" applyNumberFormat="1"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22" fillId="36"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NumberFormat="1" applyFont="1" applyBorder="1">
      <alignment horizontal="center" vertical="center" wrapText="1"/>
    </xf>
    <xf fontId="81" fillId="0" borderId="17" numFmtId="14" xfId="0" applyNumberFormat="1" applyFont="1" applyBorder="1">
      <alignment horizontal="center" vertical="center" wrapText="1"/>
    </xf>
    <xf fontId="75" fillId="0" borderId="12" numFmtId="0" xfId="0" applyNumberFormat="1" applyFont="1" applyBorder="1">
      <alignment horizontal="left" indent="1" vertical="center" wrapText="1"/>
    </xf>
    <xf fontId="81" fillId="0" borderId="17" numFmtId="0" xfId="0" applyNumberFormat="1" applyFont="1" applyBorder="1">
      <alignment horizontal="center" vertical="center" wrapText="1"/>
    </xf>
    <xf fontId="22" fillId="0" borderId="12" numFmtId="49" xfId="0" applyNumberFormat="1" applyFont="1" applyBorder="1">
      <alignment horizontal="center" vertical="center" wrapText="1"/>
    </xf>
    <xf fontId="74" fillId="0" borderId="0" numFmtId="0" xfId="0" applyNumberFormat="1" applyFont="1">
      <alignment vertical="center"/>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top"/>
    </xf>
    <xf fontId="0" fillId="0" borderId="12" numFmtId="49" xfId="0" applyNumberFormat="1" applyFont="1" applyBorder="1">
      <alignment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36" fillId="0" borderId="12" numFmtId="0" xfId="0" applyNumberFormat="1"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49" xfId="0" applyNumberFormat="1" applyFont="1">
      <alignment vertical="top"/>
    </xf>
    <xf fontId="37" fillId="35" borderId="0" numFmtId="0" xfId="0" applyNumberFormat="1" applyFont="1" applyFill="1">
      <alignment vertical="top" wrapText="1"/>
    </xf>
    <xf fontId="22" fillId="35" borderId="14" numFmtId="0" xfId="0" applyNumberFormat="1" applyFont="1" applyFill="1" applyBorder="1">
      <alignment horizontal="center" vertical="center" wrapText="1"/>
    </xf>
    <xf fontId="48" fillId="35" borderId="12" numFmtId="0" xfId="0" applyNumberFormat="1"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23" numFmtId="0" xfId="0" applyNumberFormat="1" applyFont="1" applyBorder="1">
      <alignment horizontal="center" vertical="center" wrapText="1"/>
    </xf>
    <xf fontId="37" fillId="0" borderId="0" numFmtId="49" xfId="0" applyNumberFormat="1" applyFont="1">
      <alignment horizontal="center" vertical="center" wrapText="1"/>
    </xf>
    <xf fontId="0" fillId="39" borderId="12" numFmtId="504"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37" fillId="0" borderId="24" numFmtId="0"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504" xfId="0" applyNumberFormat="1" applyFont="1" applyFill="1" applyBorder="1">
      <alignment horizontal="center" vertical="top" wrapText="1"/>
      <protection locked="0"/>
    </xf>
    <xf fontId="0" fillId="36" borderId="12" numFmtId="504"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NumberFormat="1" applyFont="1" applyBorder="1">
      <alignment horizontal="center" vertical="center" wrapText="1"/>
    </xf>
    <xf fontId="22" fillId="0" borderId="12" numFmtId="0" xfId="0" applyNumberFormat="1"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NumberFormat="1"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0" borderId="22" numFmtId="0" xfId="0" applyNumberFormat="1"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NumberFormat="1"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NumberFormat="1" applyFont="1" applyBorder="1">
      <alignment horizontal="center" vertical="center"/>
    </xf>
    <xf fontId="45" fillId="40" borderId="12" numFmtId="0" xfId="0" applyNumberFormat="1"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NumberFormat="1"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NumberFormat="1"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NumberFormat="1" applyFont="1" applyBorder="1">
      <alignment horizontal="left" indent="1"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0" fillId="0" borderId="0" numFmtId="49" xfId="0" applyNumberFormat="1" applyFont="1">
      <alignment vertical="top"/>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40" fillId="0" borderId="12" numFmtId="0" xfId="0" applyNumberFormat="1" applyFont="1" applyBorder="1">
      <alignment horizontal="left" indent="1" vertical="center"/>
    </xf>
    <xf fontId="47" fillId="0" borderId="0" numFmtId="0" xfId="0" applyNumberFormat="1" applyFont="1">
      <alignment horizontal="center" vertical="top"/>
    </xf>
    <xf fontId="22" fillId="0" borderId="23" numFmtId="49" xfId="0" applyNumberFormat="1" applyFont="1" applyBorder="1">
      <alignment horizontal="center" vertical="center" wrapText="1"/>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NumberFormat="1"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NumberFormat="1" applyFont="1" applyBorder="1">
      <alignment horizontal="left" vertical="center" wrapText="1"/>
    </xf>
    <xf fontId="0" fillId="0" borderId="12" numFmtId="49" xfId="0" applyNumberFormat="1" applyFont="1" applyBorder="1">
      <alignment horizontal="center" vertical="center"/>
    </xf>
    <xf fontId="0" fillId="0" borderId="12" numFmtId="0" xfId="0" applyNumberFormat="1"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37" fillId="0" borderId="0" numFmtId="0" xfId="0" applyNumberFormat="1" applyFont="1">
      <alignment horizontal="center" vertical="center" wrapText="1"/>
    </xf>
    <xf fontId="0" fillId="0" borderId="12" numFmtId="0" xfId="0" applyNumberFormat="1" applyFont="1" applyBorder="1">
      <alignment horizontal="center" vertical="center"/>
    </xf>
    <xf fontId="22" fillId="40" borderId="12" numFmtId="0" xfId="0" applyNumberFormat="1"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NumberFormat="1"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NumberFormat="1" applyFont="1" applyFill="1" applyBorder="1">
      <alignment vertical="center"/>
    </xf>
    <xf fontId="0" fillId="0" borderId="36" numFmtId="49" xfId="0" applyNumberFormat="1" applyFont="1" applyBorder="1">
      <alignment horizontal="left" vertical="top"/>
    </xf>
    <xf fontId="22" fillId="40" borderId="36" numFmtId="0" xfId="0" applyNumberFormat="1"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NumberFormat="1"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40" fillId="37" borderId="29" numFmtId="0" xfId="0" applyNumberFormat="1" applyFont="1" applyFill="1" applyBorder="1">
      <alignment horizontal="left" vertical="center"/>
    </xf>
    <xf fontId="0" fillId="0" borderId="0" numFmtId="49" xfId="0" applyNumberFormat="1" applyFont="1">
      <alignment vertical="top"/>
    </xf>
    <xf fontId="0" fillId="36" borderId="36" numFmtId="49" xfId="0" applyNumberFormat="1" applyFont="1" applyFill="1" applyBorder="1">
      <alignment vertical="top"/>
      <protection locked="0"/>
    </xf>
    <xf fontId="0" fillId="0" borderId="0" numFmtId="0" xfId="0" applyNumberFormat="1" applyFont="1">
      <alignment vertical="center"/>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NumberFormat="1" applyFont="1" applyBorder="1">
      <alignment horizontal="center" vertical="center"/>
    </xf>
    <xf fontId="0" fillId="0" borderId="0" numFmtId="0" xfId="0" applyNumberFormat="1" applyFont="1">
      <alignment horizontal="center" vertical="center"/>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27" numFmtId="0" xfId="0" applyNumberFormat="1"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NumberFormat="1"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NumberFormat="1"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NumberFormat="1"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NumberFormat="1" applyFont="1" applyBorder="1">
      <alignment horizontal="left" vertical="center" wrapText="1"/>
    </xf>
    <xf fontId="22" fillId="0" borderId="36" numFmtId="49" xfId="0" applyNumberFormat="1" applyFont="1" applyBorder="1">
      <alignment horizontal="left" vertical="center" wrapText="1"/>
    </xf>
    <xf fontId="22" fillId="40" borderId="36" numFmtId="0" xfId="0" applyNumberFormat="1"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22" fillId="0" borderId="36" numFmtId="49" xfId="0" applyNumberFormat="1" applyFont="1" applyBorder="1">
      <alignment horizontal="center" vertical="center" wrapText="1"/>
    </xf>
    <xf fontId="40" fillId="37" borderId="37"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NumberFormat="1" applyFont="1" applyFill="1" applyBorder="1">
      <alignment vertical="center"/>
    </xf>
    <xf fontId="40" fillId="0" borderId="36" numFmtId="0" xfId="0" applyNumberFormat="1"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NumberFormat="1"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NumberFormat="1" applyFont="1" applyFill="1" applyBorder="1">
      <alignment horizontal="center" vertical="top" wrapText="1"/>
    </xf>
    <xf fontId="95" fillId="41" borderId="12" numFmtId="0" xfId="0" applyNumberFormat="1"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NumberFormat="1"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NumberFormat="1" applyFont="1" applyFill="1" applyBorder="1">
      <alignment horizontal="center" vertical="center" wrapText="1"/>
    </xf>
    <xf fontId="95" fillId="41" borderId="12" numFmtId="0" xfId="0" applyNumberFormat="1"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NumberFormat="1"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NumberFormat="1"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NumberFormat="1" applyFont="1" applyBorder="1">
      <alignment vertical="top" wrapText="1"/>
    </xf>
    <xf fontId="91" fillId="0" borderId="12" numFmtId="49" xfId="0" applyNumberFormat="1" applyFont="1" applyBorder="1">
      <alignment horizontal="left" vertical="top" wrapText="1"/>
    </xf>
    <xf fontId="91" fillId="0" borderId="14" numFmtId="0" xfId="0" applyNumberFormat="1" applyFont="1" applyBorder="1">
      <alignment horizontal="center" vertical="center" wrapText="1"/>
    </xf>
    <xf fontId="91" fillId="0" borderId="14" numFmtId="0" xfId="0" applyNumberFormat="1" applyFont="1" applyBorder="1">
      <alignment horizontal="center" vertical="center"/>
    </xf>
    <xf fontId="91" fillId="0" borderId="12" numFmtId="49" xfId="0" applyNumberFormat="1" applyFont="1" applyBorder="1">
      <alignment horizontal="center" vertical="center" wrapText="1"/>
    </xf>
    <xf fontId="91" fillId="0" borderId="12" numFmtId="0" xfId="0" applyNumberFormat="1" applyFont="1" applyBorder="1">
      <alignment vertical="center" wrapText="1"/>
    </xf>
    <xf fontId="95" fillId="0" borderId="14" numFmtId="49" xfId="0" applyNumberFormat="1" applyFont="1" applyBorder="1">
      <alignment horizontal="left" vertical="top" wrapText="1"/>
    </xf>
    <xf fontId="91" fillId="0" borderId="12" numFmtId="0" xfId="0" applyNumberFormat="1" applyFont="1" applyBorder="1">
      <alignment horizontal="center"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36" numFmtId="49" xfId="0" applyNumberFormat="1" applyFont="1" applyBorder="1">
      <alignment horizontal="left" vertical="top" wrapText="1"/>
    </xf>
    <xf fontId="95" fillId="0" borderId="36" numFmtId="0" xfId="0" applyNumberFormat="1"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NumberFormat="1" applyFont="1">
      <alignment vertical="top" wrapText="1"/>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0" fillId="0" borderId="0" numFmtId="0" xfId="0" applyNumberFormat="1" applyFont="1">
      <alignment horizontal="left" vertical="center"/>
    </xf>
    <xf fontId="0" fillId="35" borderId="12" numFmtId="0" xfId="0" applyNumberFormat="1" applyFont="1" applyFill="1" applyBorder="1">
      <alignment horizontal="right" indent="1" vertical="center" wrapText="1"/>
    </xf>
    <xf fontId="0" fillId="0" borderId="14" numFmtId="0" xfId="0" applyNumberFormat="1" applyFont="1" applyBorder="1">
      <alignment vertical="center"/>
    </xf>
    <xf fontId="22" fillId="0" borderId="0" numFmtId="0" xfId="0" applyNumberFormat="1" applyFont="1">
      <alignment horizontal="left" vertical="center" wrapText="1"/>
    </xf>
    <xf fontId="22" fillId="0" borderId="0" numFmtId="0" xfId="0" applyNumberFormat="1" applyFont="1">
      <alignment horizontal="righ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2" numFmtId="504"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32" fillId="0" borderId="0" numFmtId="49" xfId="0" applyNumberFormat="1" applyFont="1">
      <alignment vertical="top"/>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NumberFormat="1"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vertical="top"/>
    </xf>
    <xf fontId="0" fillId="35" borderId="0" numFmtId="49" xfId="0" applyNumberFormat="1" applyFont="1" applyFill="1">
      <alignment vertical="top"/>
    </xf>
    <xf fontId="0" fillId="35" borderId="0" numFmtId="49" xfId="0" applyNumberFormat="1" applyFont="1" applyFill="1">
      <alignment vertical="top"/>
    </xf>
    <xf fontId="0" fillId="35" borderId="0" numFmtId="49" xfId="0" applyNumberFormat="1" applyFont="1" applyFill="1">
      <alignment vertical="top"/>
    </xf>
    <xf fontId="0" fillId="0" borderId="0" numFmtId="0" xfId="0" applyNumberFormat="1" applyFont="1"/>
    <xf fontId="1" fillId="0" borderId="0" numFmtId="0" xfId="0" applyNumberFormat="1" applyFont="1"/>
    <xf fontId="29" fillId="0" borderId="0" numFmtId="0" xfId="0" applyNumberFormat="1"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NumberFormat="1" applyFont="1" applyBorder="1">
      <alignment vertical="top" wrapText="1"/>
    </xf>
    <xf fontId="46" fillId="0" borderId="18" numFmtId="0" xfId="0" applyNumberFormat="1" applyFont="1" applyBorder="1">
      <alignment vertical="top" wrapText="1"/>
    </xf>
    <xf fontId="0" fillId="0" borderId="0" numFmtId="0" xfId="0" applyNumberFormat="1" applyFont="1">
      <alignment vertical="top"/>
    </xf>
    <xf fontId="0" fillId="0" borderId="12" numFmtId="0" xfId="0" applyNumberFormat="1"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xf fontId="115" fillId="0" borderId="0" numFmtId="0" xfId="0" applyNumberFormat="1" applyFont="1">
      <alignment wrapText="1"/>
    </xf>
    <xf fontId="66" fillId="0" borderId="0" numFmtId="49" xfId="0" applyNumberFormat="1" applyFont="1">
      <alignment wrapText="1"/>
    </xf>
    <xf fontId="66" fillId="0" borderId="0" numFmtId="49" xfId="0" applyNumberFormat="1" applyFont="1">
      <alignment vertical="center" wrapText="1"/>
    </xf>
    <xf fontId="116" fillId="0" borderId="0" numFmtId="49" xfId="0" applyNumberFormat="1" applyFont="1">
      <alignment wrapText="1"/>
    </xf>
    <xf fontId="102" fillId="0" borderId="0" numFmtId="0" xfId="0" applyNumberFormat="1" applyFont="1">
      <alignment vertical="center" wrapText="1"/>
    </xf>
    <xf fontId="102" fillId="0" borderId="0" numFmtId="0" xfId="0" applyNumberFormat="1" applyFont="1">
      <alignment horizontal="left" vertical="center" wrapText="1"/>
    </xf>
    <xf fontId="117" fillId="0" borderId="0" numFmtId="49" xfId="0" applyNumberFormat="1" applyFont="1">
      <alignment wrapText="1"/>
    </xf>
    <xf fontId="102" fillId="0" borderId="0" numFmtId="0" xfId="0" applyNumberFormat="1" applyFont="1">
      <alignment vertical="center"/>
    </xf>
    <xf fontId="46" fillId="0" borderId="0" numFmtId="0" xfId="0" applyNumberFormat="1" applyFont="1">
      <alignment horizontal="left" vertical="top" wrapText="1"/>
    </xf>
    <xf fontId="22" fillId="0" borderId="0" numFmtId="49" xfId="0" applyNumberFormat="1" applyFont="1">
      <alignment vertical="top" wrapText="1"/>
    </xf>
    <xf fontId="46" fillId="56" borderId="63" numFmtId="0" xfId="0" applyNumberFormat="1" applyFont="1" applyFill="1" applyBorder="1">
      <alignment horizontal="center" vertical="center" wrapText="1"/>
    </xf>
    <xf fontId="46" fillId="56" borderId="64" numFmtId="0" xfId="0" applyNumberFormat="1" applyFont="1" applyFill="1" applyBorder="1">
      <alignment horizontal="center" vertical="center" wrapText="1"/>
    </xf>
    <xf fontId="46" fillId="56" borderId="65" numFmtId="0" xfId="0" applyNumberFormat="1" applyFont="1" applyFill="1" applyBorder="1">
      <alignment horizontal="center" vertical="center" wrapText="1"/>
    </xf>
    <xf fontId="66" fillId="0" borderId="0" numFmtId="0" xfId="0" applyNumberFormat="1" applyFont="1">
      <alignment wrapText="1"/>
    </xf>
    <xf fontId="46" fillId="46" borderId="38" numFmtId="0" xfId="0" applyNumberFormat="1" applyFont="1" applyFill="1" applyBorder="1">
      <alignment horizontal="right" indent="1" vertical="center" wrapText="1"/>
    </xf>
    <xf fontId="46" fillId="46" borderId="66" numFmtId="0" xfId="0" applyNumberFormat="1" applyFont="1" applyFill="1" applyBorder="1">
      <alignment horizontal="right" indent="1" vertical="center" wrapText="1"/>
    </xf>
    <xf fontId="118" fillId="0" borderId="0" numFmtId="0" xfId="0" applyNumberFormat="1" applyFont="1">
      <alignment horizontal="left" vertical="center" wrapText="1"/>
    </xf>
    <xf fontId="119" fillId="0" borderId="0" numFmtId="0" xfId="0" applyNumberFormat="1" applyFont="1">
      <alignment vertical="center" wrapText="1"/>
    </xf>
    <xf fontId="66" fillId="0" borderId="38" numFmtId="0" xfId="0" applyNumberFormat="1" applyFont="1" applyBorder="1">
      <alignment wrapText="1"/>
    </xf>
    <xf fontId="66" fillId="0" borderId="0" numFmtId="0" xfId="0" applyNumberFormat="1" applyFont="1"/>
    <xf fontId="118" fillId="0" borderId="0" numFmtId="0" xfId="0" applyNumberFormat="1" applyFont="1"/>
    <xf fontId="120" fillId="0" borderId="0" numFmtId="0" xfId="0" applyNumberFormat="1" applyFont="1">
      <alignment wrapText="1"/>
    </xf>
    <xf fontId="0" fillId="36" borderId="60" numFmtId="0" xfId="0" applyNumberFormat="1" applyFont="1" applyFill="1" applyBorder="1">
      <alignment horizontal="center" vertical="center" wrapText="1"/>
    </xf>
    <xf fontId="120" fillId="0" borderId="38" numFmtId="0" xfId="0" applyNumberFormat="1" applyFont="1" applyBorder="1">
      <alignment vertical="center" wrapText="1"/>
    </xf>
    <xf fontId="120" fillId="0" borderId="0" numFmtId="0" xfId="0" applyNumberFormat="1" applyFont="1">
      <alignment vertical="center" wrapText="1"/>
    </xf>
    <xf fontId="0" fillId="53" borderId="60" numFmtId="0" xfId="0" applyNumberFormat="1" applyFont="1" applyFill="1" applyBorder="1">
      <alignment horizontal="center" vertical="center" wrapText="1"/>
    </xf>
    <xf fontId="120" fillId="0" borderId="38" numFmtId="0" xfId="0" applyNumberFormat="1" applyFont="1" applyBorder="1">
      <alignment horizontal="left" vertical="center" wrapText="1"/>
    </xf>
    <xf fontId="120" fillId="0" borderId="0" numFmtId="0" xfId="0" applyNumberFormat="1" applyFont="1">
      <alignment horizontal="left" vertical="center" wrapText="1"/>
    </xf>
    <xf fontId="0" fillId="34" borderId="60" numFmtId="0" xfId="0" applyNumberFormat="1" applyFont="1" applyFill="1" applyBorder="1">
      <alignment horizontal="center" vertical="center" wrapText="1"/>
    </xf>
    <xf fontId="0" fillId="39" borderId="60" numFmtId="0" xfId="0" applyNumberFormat="1" applyFont="1" applyFill="1" applyBorder="1">
      <alignment horizontal="center" vertical="center" wrapText="1"/>
    </xf>
    <xf fontId="46" fillId="46" borderId="0" numFmtId="0" xfId="0" applyNumberFormat="1" applyFont="1" applyFill="1">
      <alignment horizontal="right" indent="1" vertical="center" wrapText="1"/>
    </xf>
    <xf fontId="118" fillId="0" borderId="38" numFmtId="0" xfId="0" applyNumberFormat="1" applyFont="1" applyBorder="1">
      <alignment horizontal="left" vertical="center" wrapText="1"/>
    </xf>
    <xf fontId="118" fillId="0" borderId="61" numFmtId="0" xfId="0" applyNumberFormat="1" applyFont="1" applyBorder="1">
      <alignment horizontal="left" vertical="center" wrapText="1"/>
    </xf>
    <xf fontId="46" fillId="46" borderId="60" numFmtId="0" xfId="0" applyNumberFormat="1" applyFont="1" applyFill="1" applyBorder="1">
      <alignment horizontal="right" indent="1" vertical="center" wrapText="1"/>
    </xf>
    <xf fontId="46" fillId="46" borderId="67" numFmtId="0" xfId="0" applyNumberFormat="1" applyFont="1" applyFill="1" applyBorder="1">
      <alignment horizontal="right" indent="1" vertical="center" wrapText="1"/>
    </xf>
    <xf fontId="120" fillId="0" borderId="0" numFmtId="0" xfId="0" applyNumberFormat="1" applyFont="1"/>
    <xf fontId="120" fillId="0" borderId="38" numFmtId="0" xfId="0" applyNumberFormat="1" applyFont="1" applyBorder="1">
      <alignment wrapText="1"/>
    </xf>
    <xf fontId="120" fillId="0" borderId="0" numFmtId="0" xfId="0" applyNumberFormat="1" applyFont="1">
      <alignment vertical="top" wrapText="1"/>
    </xf>
    <xf fontId="46" fillId="46" borderId="62" numFmtId="0" xfId="0" applyNumberFormat="1" applyFont="1" applyFill="1" applyBorder="1">
      <alignment horizontal="right" indent="1" vertical="center" wrapText="1"/>
    </xf>
    <xf fontId="46" fillId="46" borderId="39" numFmtId="0" xfId="0" applyNumberFormat="1" applyFont="1" applyFill="1" applyBorder="1">
      <alignment horizontal="right" indent="1" vertical="center" wrapText="1"/>
    </xf>
    <xf fontId="66" fillId="0" borderId="62" numFmtId="0" xfId="0" applyNumberFormat="1" applyFont="1" applyBorder="1">
      <alignment wrapText="1"/>
    </xf>
    <xf fontId="66" fillId="0" borderId="39" numFmtId="0" xfId="0" applyNumberFormat="1" applyFont="1" applyBorder="1">
      <alignment wrapText="1"/>
    </xf>
    <xf fontId="66" fillId="0" borderId="39" numFmtId="0" xfId="0" applyNumberFormat="1" applyFont="1" applyBorder="1">
      <alignment vertical="center" wrapText="1"/>
    </xf>
    <xf fontId="116" fillId="0" borderId="0" numFmtId="0" xfId="0" applyNumberFormat="1" applyFont="1"/>
    <xf fontId="66" fillId="0" borderId="0" numFmtId="49" xfId="0" applyNumberFormat="1" applyFont="1">
      <alignment vertical="top" wrapText="1"/>
    </xf>
    <xf fontId="29" fillId="0" borderId="0" numFmtId="0" xfId="0" applyNumberFormat="1" applyFont="1"/>
    <xf fontId="63" fillId="0" borderId="0" numFmtId="0" xfId="0" applyNumberFormat="1" applyFont="1">
      <alignment vertical="center" wrapText="1"/>
    </xf>
    <xf fontId="91" fillId="0" borderId="0" numFmtId="0" xfId="0" applyNumberFormat="1" applyFont="1">
      <alignment horizontal="left" vertical="center" wrapText="1"/>
    </xf>
    <xf fontId="63" fillId="0" borderId="0" numFmtId="0" xfId="0" applyNumberFormat="1" applyFont="1">
      <alignment horizontal="left" vertical="center" wrapText="1"/>
    </xf>
    <xf fontId="63" fillId="0" borderId="0" numFmtId="0" xfId="0" applyNumberFormat="1" applyFont="1">
      <alignment vertical="center" wrapText="1"/>
    </xf>
    <xf fontId="32" fillId="0" borderId="0" numFmtId="0" xfId="0" applyNumberFormat="1" applyFont="1">
      <alignment horizontal="center" vertical="center" wrapText="1"/>
    </xf>
    <xf fontId="32"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horizontal="left" vertical="center" wrapText="1"/>
    </xf>
    <xf fontId="22" fillId="0" borderId="0" numFmtId="0" xfId="0" applyNumberFormat="1" applyFont="1">
      <alignment horizontal="left" indent="1" vertical="top"/>
    </xf>
    <xf fontId="66" fillId="0" borderId="0" numFmtId="49" xfId="0" applyNumberFormat="1" applyFont="1">
      <alignment vertical="top"/>
    </xf>
    <xf fontId="22" fillId="0" borderId="0" numFmtId="49" xfId="0" applyNumberFormat="1" applyFont="1">
      <alignment vertical="center" wrapText="1"/>
    </xf>
    <xf fontId="47" fillId="0" borderId="0" numFmtId="49" xfId="0" applyNumberFormat="1" applyFont="1">
      <alignment vertical="center" wrapText="1"/>
    </xf>
    <xf fontId="0" fillId="0" borderId="0" numFmtId="0" xfId="0" applyNumberFormat="1" applyFont="1">
      <alignment horizontal="left" indent="1" vertical="center"/>
    </xf>
    <xf fontId="0" fillId="0" borderId="0" numFmtId="49" xfId="0" applyNumberFormat="1" applyFont="1">
      <alignment vertical="top"/>
    </xf>
    <xf fontId="47" fillId="0" borderId="0" numFmtId="49" xfId="0" applyNumberFormat="1" applyFont="1">
      <alignment vertical="top"/>
    </xf>
    <xf fontId="0" fillId="0" borderId="0" numFmtId="49" xfId="0" applyNumberFormat="1" applyFont="1">
      <alignment vertical="top"/>
    </xf>
    <xf fontId="22" fillId="0" borderId="0" numFmtId="0" xfId="0" applyNumberFormat="1" applyFont="1">
      <alignment vertical="center" wrapText="1"/>
    </xf>
    <xf fontId="60" fillId="0" borderId="0" numFmtId="0" xfId="0" applyNumberFormat="1" applyFont="1">
      <alignment vertical="center" wrapText="1"/>
    </xf>
    <xf fontId="91" fillId="0" borderId="0" numFmtId="0" xfId="0" applyNumberFormat="1" applyFont="1">
      <alignment horizontal="lef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60" fillId="35" borderId="0" numFmtId="0" xfId="0" applyNumberFormat="1" applyFont="1" applyFill="1">
      <alignment vertical="center" wrapText="1"/>
    </xf>
    <xf fontId="60" fillId="0" borderId="0" numFmtId="0" xfId="0" applyNumberFormat="1" applyFont="1">
      <alignment vertical="center" wrapText="1"/>
    </xf>
    <xf fontId="60" fillId="0" borderId="0" numFmtId="0" xfId="0" applyNumberFormat="1" applyFont="1">
      <alignment horizontal="right" vertical="center"/>
    </xf>
    <xf fontId="22"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60" fillId="0" borderId="0" numFmtId="0" xfId="0" applyNumberFormat="1" applyFont="1">
      <alignment vertical="center" wrapText="1"/>
    </xf>
    <xf fontId="34" fillId="35" borderId="0" numFmtId="0" xfId="0" applyNumberFormat="1" applyFont="1" applyFill="1">
      <alignment vertical="center" wrapText="1"/>
    </xf>
    <xf fontId="22" fillId="0" borderId="13" numFmtId="0" xfId="0" applyNumberFormat="1" applyFont="1" applyBorder="1">
      <alignment horizontal="center" vertical="center" wrapText="1"/>
    </xf>
    <xf fontId="22" fillId="0" borderId="14" numFmtId="0" xfId="0" applyNumberFormat="1" applyFont="1" applyBorder="1">
      <alignment horizontal="center" vertical="center" wrapText="1"/>
    </xf>
    <xf fontId="50" fillId="35" borderId="0" numFmtId="0" xfId="0" applyNumberFormat="1" applyFont="1" applyFill="1">
      <alignment vertical="center" wrapText="1"/>
    </xf>
    <xf fontId="96" fillId="0" borderId="0" numFmtId="0" xfId="0" applyNumberFormat="1" applyFont="1">
      <alignment vertical="center" wrapText="1"/>
    </xf>
    <xf fontId="60" fillId="35" borderId="0" numFmtId="0" xfId="0" applyNumberFormat="1" applyFont="1" applyFill="1">
      <alignment horizontal="right" indent="1" vertical="center" wrapText="1"/>
    </xf>
    <xf fontId="62" fillId="35" borderId="0" numFmtId="0" xfId="0" applyNumberFormat="1" applyFont="1" applyFill="1">
      <alignment horizontal="center" vertical="center" wrapText="1"/>
    </xf>
    <xf fontId="22" fillId="35" borderId="26" numFmtId="0" xfId="0" applyNumberFormat="1" applyFont="1" applyFill="1" applyBorder="1">
      <alignment horizontal="right" indent="1" vertical="center" wrapText="1"/>
    </xf>
    <xf fontId="0" fillId="34" borderId="12" numFmtId="0" xfId="0" applyNumberFormat="1" applyFont="1" applyFill="1" applyBorder="1">
      <alignment horizontal="left" indent="1" vertical="center" wrapText="1"/>
    </xf>
    <xf fontId="91" fillId="35" borderId="0" numFmtId="14" xfId="0" applyNumberFormat="1" applyFont="1" applyFill="1">
      <alignment horizontal="left" vertical="center" wrapText="1"/>
    </xf>
    <xf fontId="58" fillId="35" borderId="0" numFmtId="0" xfId="0" applyNumberFormat="1" applyFont="1" applyFill="1">
      <alignment horizontal="center" vertical="center" wrapText="1"/>
    </xf>
    <xf fontId="60" fillId="35" borderId="0" numFmtId="0" xfId="0" applyNumberFormat="1" applyFont="1" applyFill="1">
      <alignment horizontal="left" indent="1" vertical="center" wrapText="1"/>
    </xf>
    <xf fontId="22" fillId="35" borderId="0" numFmtId="0" xfId="0" applyNumberFormat="1" applyFont="1" applyFill="1">
      <alignment horizontal="center" vertical="center" wrapText="1"/>
    </xf>
    <xf fontId="88" fillId="0" borderId="0" numFmtId="0" xfId="0" applyNumberFormat="1" applyFont="1">
      <alignment horizontal="center" vertical="center" wrapText="1"/>
    </xf>
    <xf fontId="22" fillId="0" borderId="0" numFmtId="0" xfId="0" applyNumberFormat="1" applyFont="1">
      <alignment vertical="center" wrapText="1"/>
    </xf>
    <xf fontId="33" fillId="0" borderId="0" numFmtId="0" xfId="0" applyNumberFormat="1" applyFont="1">
      <alignment vertical="center" wrapText="1"/>
    </xf>
    <xf fontId="34" fillId="35" borderId="0" numFmtId="0" xfId="0" applyNumberFormat="1" applyFont="1" applyFill="1">
      <alignment vertical="center" wrapText="1"/>
    </xf>
    <xf fontId="22" fillId="35" borderId="26" numFmtId="0" xfId="0" applyNumberFormat="1" applyFont="1" applyFill="1" applyBorder="1">
      <alignment horizontal="right" indent="1" vertical="center" wrapText="1"/>
    </xf>
    <xf fontId="22" fillId="39" borderId="12" numFmtId="0" xfId="0" applyNumberFormat="1" applyFont="1" applyFill="1" applyBorder="1">
      <alignment horizontal="left" indent="1" vertical="top" wrapText="1"/>
      <protection locked="0"/>
    </xf>
    <xf fontId="22" fillId="0" borderId="0" numFmtId="0" xfId="0" applyNumberFormat="1" applyFont="1">
      <alignment horizontal="left" vertical="center" wrapText="1"/>
    </xf>
    <xf fontId="47" fillId="0" borderId="0" numFmtId="0" xfId="0" applyNumberFormat="1" applyFont="1">
      <alignment vertical="center" wrapText="1"/>
    </xf>
    <xf fontId="58" fillId="0" borderId="0" numFmtId="0" xfId="0" applyNumberFormat="1" applyFont="1">
      <alignment horizontal="left" vertical="center" wrapText="1"/>
    </xf>
    <xf fontId="59" fillId="0" borderId="0" numFmtId="0" xfId="0" applyNumberFormat="1" applyFont="1">
      <alignment vertical="center" wrapText="1"/>
    </xf>
    <xf fontId="22" fillId="40" borderId="12" numFmtId="49" xfId="0" applyNumberFormat="1" applyFont="1" applyFill="1" applyBorder="1">
      <alignment horizontal="left" indent="1" vertical="center" wrapText="1"/>
    </xf>
    <xf fontId="60" fillId="0" borderId="0" numFmtId="0" xfId="0" applyNumberFormat="1" applyFont="1">
      <alignment vertical="center" wrapText="1"/>
    </xf>
    <xf fontId="93" fillId="0" borderId="12" numFmtId="14" xfId="0" applyNumberFormat="1" applyFont="1" applyBorder="1">
      <alignment horizontal="center" vertical="center" wrapText="1"/>
    </xf>
    <xf fontId="0" fillId="39" borderId="12" numFmtId="504" xfId="0" applyNumberFormat="1" applyFont="1" applyFill="1" applyBorder="1">
      <alignment horizontal="left" indent="1" vertical="center" wrapText="1"/>
      <protection locked="0"/>
    </xf>
    <xf fontId="53" fillId="0" borderId="0" numFmtId="0" xfId="0" applyNumberFormat="1" applyFont="1">
      <alignment horizontal="left" indent="1" vertical="center"/>
    </xf>
    <xf fontId="22" fillId="35" borderId="0" numFmtId="0" xfId="0" applyNumberFormat="1" applyFont="1" applyFill="1">
      <alignment vertical="center" wrapText="1"/>
    </xf>
    <xf fontId="93" fillId="0" borderId="12" numFmtId="14" xfId="0" applyNumberFormat="1" applyFont="1" applyBorder="1">
      <alignment horizontal="left" vertical="center" wrapText="1"/>
    </xf>
    <xf fontId="22" fillId="35" borderId="26" numFmtId="49" xfId="0" applyNumberFormat="1" applyFont="1" applyFill="1" applyBorder="1">
      <alignment horizontal="right" indent="1" vertical="center" wrapText="1"/>
    </xf>
    <xf fontId="0" fillId="39" borderId="12" numFmtId="504" xfId="0" applyNumberFormat="1" applyFont="1" applyFill="1" applyBorder="1">
      <alignment horizontal="left" indent="1" vertical="center" wrapText="1"/>
      <protection locked="0"/>
    </xf>
    <xf fontId="47" fillId="0" borderId="0" numFmtId="49" xfId="0" applyNumberFormat="1" applyFont="1">
      <alignment vertical="center" wrapText="1"/>
    </xf>
    <xf fontId="0" fillId="39" borderId="12" numFmtId="0"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0" fillId="39" borderId="12" numFmtId="504" xfId="0" applyNumberFormat="1" applyFont="1" applyFill="1" applyBorder="1">
      <alignment horizontal="left" indent="1" vertical="center" wrapText="1"/>
      <protection locked="0"/>
    </xf>
    <xf fontId="0" fillId="35" borderId="0" numFmtId="0" xfId="0" applyNumberFormat="1" applyFont="1" applyFill="1">
      <alignment horizontal="right" indent="1" vertical="center" wrapText="1"/>
    </xf>
    <xf fontId="96" fillId="0" borderId="0" numFmtId="0" xfId="0" applyNumberFormat="1" applyFont="1">
      <alignment horizontal="left" vertical="center" wrapText="1"/>
    </xf>
    <xf fontId="0" fillId="39" borderId="12" numFmtId="504" xfId="0" applyNumberFormat="1" applyFont="1" applyFill="1" applyBorder="1">
      <alignment horizontal="left" indent="1" vertical="center" wrapText="1"/>
      <protection locked="0"/>
    </xf>
    <xf fontId="22" fillId="35" borderId="0" numFmtId="0" xfId="0" applyNumberFormat="1" applyFont="1" applyFill="1">
      <alignment horizontal="right" indent="1" vertical="center" wrapText="1"/>
    </xf>
    <xf fontId="22" fillId="0" borderId="0" numFmtId="0" xfId="0" applyNumberFormat="1" applyFont="1">
      <alignment horizontal="center" vertical="center" wrapText="1"/>
    </xf>
    <xf fontId="22" fillId="35" borderId="0" numFmtId="0" xfId="0" applyNumberFormat="1" applyFont="1" applyFill="1">
      <alignment horizontal="center" vertical="center" wrapText="1"/>
    </xf>
    <xf fontId="0" fillId="35" borderId="0" numFmtId="0" xfId="0" applyNumberFormat="1" applyFont="1" applyFill="1">
      <alignment horizontal="left" indent="1" vertical="center" wrapText="1"/>
    </xf>
    <xf fontId="22" fillId="39" borderId="12" numFmtId="49" xfId="0" applyNumberFormat="1" applyFont="1" applyFill="1" applyBorder="1">
      <alignment horizontal="left" indent="1" vertical="center" wrapText="1"/>
      <protection locked="0"/>
    </xf>
    <xf fontId="22" fillId="39" borderId="12" numFmtId="49" xfId="0" applyNumberFormat="1" applyFont="1" applyFill="1" applyBorder="1">
      <alignment horizontal="left" indent="1" vertical="center" wrapText="1"/>
      <protection locked="0"/>
    </xf>
    <xf fontId="22" fillId="0" borderId="12" numFmtId="49" xfId="0" applyNumberFormat="1" applyFont="1" applyBorder="1">
      <alignment horizontal="left" indent="1" vertical="center" wrapText="1"/>
    </xf>
    <xf fontId="33" fillId="0" borderId="0" numFmtId="0" xfId="0" applyNumberFormat="1" applyFont="1">
      <alignment horizontal="center" vertical="center" wrapText="1"/>
    </xf>
    <xf fontId="35" fillId="35" borderId="0" numFmtId="0" xfId="0" applyNumberFormat="1" applyFont="1" applyFill="1">
      <alignment horizontal="center" vertical="center" wrapText="1"/>
    </xf>
    <xf fontId="22" fillId="34" borderId="12" numFmtId="49" xfId="0" applyNumberFormat="1" applyFont="1" applyFill="1" applyBorder="1">
      <alignment horizontal="left" indent="1" vertical="center" wrapText="1"/>
    </xf>
    <xf fontId="22" fillId="35" borderId="0" numFmtId="14" xfId="0" applyNumberFormat="1" applyFont="1" applyFill="1">
      <alignment horizontal="center" vertical="center" wrapText="1"/>
    </xf>
    <xf fontId="0" fillId="35" borderId="26" numFmtId="0" xfId="0" applyNumberFormat="1" applyFont="1" applyFill="1" applyBorder="1">
      <alignment horizontal="right" indent="1" vertical="center" wrapText="1"/>
    </xf>
    <xf fontId="22" fillId="0" borderId="0" numFmtId="0" xfId="0" applyNumberFormat="1" applyFont="1">
      <alignment vertical="center"/>
    </xf>
    <xf fontId="22" fillId="35" borderId="0" numFmtId="14" xfId="0" applyNumberFormat="1" applyFont="1" applyFill="1">
      <alignment horizontal="left" vertical="center" wrapText="1"/>
    </xf>
    <xf fontId="22" fillId="39" borderId="12" numFmtId="0" xfId="0" applyNumberFormat="1" applyFont="1" applyFill="1" applyBorder="1">
      <alignment horizontal="left" indent="1" vertical="center" wrapText="1"/>
      <protection locked="0"/>
    </xf>
    <xf fontId="61" fillId="35" borderId="0" numFmtId="0" xfId="0" applyNumberFormat="1" applyFont="1" applyFill="1">
      <alignment horizontal="right" indent="1" vertical="center" wrapText="1"/>
    </xf>
    <xf fontId="61" fillId="35" borderId="0" numFmtId="0" xfId="0" applyNumberFormat="1" applyFont="1" applyFill="1">
      <alignment horizontal="left" indent="1" vertical="center" wrapText="1"/>
    </xf>
    <xf fontId="22" fillId="40" borderId="12" numFmtId="49" xfId="0" applyNumberFormat="1" applyFont="1" applyFill="1" applyBorder="1">
      <alignment horizontal="left" indent="1" vertical="center" wrapText="1"/>
    </xf>
    <xf fontId="60" fillId="35" borderId="0" numFmtId="0" xfId="0" applyNumberFormat="1" applyFont="1" applyFill="1">
      <alignment vertical="center" wrapText="1"/>
    </xf>
    <xf fontId="61" fillId="35" borderId="0" numFmtId="0" xfId="0" applyNumberFormat="1" applyFont="1" applyFill="1">
      <alignment horizontal="right" indent="1" vertical="center" wrapText="1"/>
    </xf>
    <xf fontId="32" fillId="0" borderId="0" numFmtId="0" xfId="0" applyNumberFormat="1" applyFont="1">
      <alignment horizontal="left" vertical="center" wrapText="1"/>
    </xf>
    <xf fontId="124" fillId="0" borderId="12" numFmtId="49" xfId="0" applyNumberFormat="1" applyFont="1" applyBorder="1">
      <alignment horizontal="left" indent="1" vertical="center" wrapText="1"/>
    </xf>
    <xf fontId="32" fillId="0" borderId="0" numFmtId="0" xfId="0" applyNumberFormat="1" applyFont="1">
      <alignment horizontal="left" vertical="center" wrapText="1"/>
    </xf>
    <xf fontId="92" fillId="0" borderId="0" numFmtId="14" xfId="0" applyNumberFormat="1" applyFont="1">
      <alignment horizontal="center" vertical="center" wrapText="1"/>
    </xf>
    <xf fontId="33" fillId="0" borderId="0" numFmtId="0" xfId="0" applyNumberFormat="1" applyFont="1">
      <alignment vertical="center" wrapText="1"/>
    </xf>
    <xf fontId="32" fillId="0" borderId="0" numFmtId="0" xfId="0" applyNumberFormat="1" applyFont="1">
      <alignment horizontal="center"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7" fillId="0" borderId="0" numFmtId="0" xfId="0" applyNumberFormat="1" applyFont="1">
      <alignment vertical="center" wrapText="1"/>
    </xf>
    <xf fontId="83" fillId="0" borderId="0" numFmtId="0" xfId="0" applyNumberFormat="1" applyFont="1">
      <alignment vertical="center" wrapText="1"/>
    </xf>
    <xf fontId="22" fillId="0" borderId="0" numFmtId="0" xfId="0" applyNumberFormat="1" applyFont="1">
      <alignment vertical="center" wrapText="1"/>
    </xf>
    <xf fontId="22" fillId="40" borderId="12" numFmtId="0" xfId="0" applyNumberFormat="1" applyFont="1" applyFill="1" applyBorder="1">
      <alignment horizontal="left" indent="1" vertical="center" wrapText="1"/>
    </xf>
    <xf fontId="0" fillId="0" borderId="11" numFmtId="504" xfId="0" applyNumberFormat="1" applyFont="1" applyBorder="1">
      <alignment horizontal="left" indent="1" vertical="center" wrapText="1"/>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40" borderId="12" numFmtId="49" xfId="0" applyNumberFormat="1" applyFont="1" applyFill="1" applyBorder="1">
      <alignment horizontal="left" indent="1" vertical="center" wrapText="1"/>
    </xf>
    <xf fontId="91" fillId="0" borderId="0" numFmtId="0" xfId="0" applyNumberFormat="1" applyFont="1">
      <alignment horizontal="left" vertical="center" wrapText="1"/>
    </xf>
    <xf fontId="32" fillId="0" borderId="0" numFmtId="49" xfId="0" applyNumberFormat="1" applyFont="1">
      <alignment horizontal="left" vertical="center" wrapText="1"/>
    </xf>
    <xf fontId="34" fillId="35" borderId="0" numFmtId="49" xfId="0" applyNumberFormat="1" applyFont="1" applyFill="1">
      <alignment horizontal="center" vertical="center" wrapText="1"/>
    </xf>
    <xf fontId="22" fillId="0" borderId="0" numFmtId="0" xfId="0" applyNumberFormat="1" applyFont="1">
      <alignment horizontal="left" indent="4" vertical="center" wrapText="1"/>
    </xf>
    <xf fontId="22" fillId="0" borderId="0" numFmtId="0" xfId="0" applyNumberFormat="1" applyFont="1">
      <alignment horizontal="left" indent="1" vertical="center" wrapText="1"/>
    </xf>
    <xf fontId="22" fillId="39" borderId="12" numFmtId="49" xfId="0" applyNumberFormat="1" applyFont="1" applyFill="1" applyBorder="1">
      <alignment horizontal="left" indent="1" vertical="center" wrapText="1"/>
      <protection locked="0"/>
    </xf>
    <xf fontId="0" fillId="0" borderId="0" numFmtId="0" xfId="0" applyNumberFormat="1" applyFont="1">
      <alignment horizontal="center" vertical="center" wrapText="1"/>
    </xf>
    <xf fontId="22" fillId="35" borderId="0" numFmtId="49" xfId="0" applyNumberFormat="1" applyFont="1" applyFill="1">
      <alignment horizontal="right" indent="1" vertical="center" wrapText="1"/>
    </xf>
    <xf fontId="47" fillId="0" borderId="0" numFmtId="49" xfId="0" applyNumberFormat="1" applyFont="1">
      <alignment horizontal="center" vertical="center" wrapText="1"/>
    </xf>
    <xf fontId="22" fillId="0" borderId="0" numFmtId="49" xfId="0" applyNumberFormat="1" applyFont="1">
      <alignment horizontal="center" vertical="center" wrapText="1"/>
    </xf>
    <xf fontId="0" fillId="35" borderId="0" numFmtId="49" xfId="0" applyNumberFormat="1" applyFont="1" applyFill="1">
      <alignment horizontal="right" indent="1" vertical="center" wrapText="1"/>
    </xf>
    <xf fontId="50" fillId="0" borderId="0" numFmtId="0" xfId="0" applyNumberFormat="1" applyFont="1">
      <alignment vertical="top" wrapText="1"/>
    </xf>
    <xf fontId="33" fillId="0" borderId="0" numFmtId="0" xfId="0" applyNumberFormat="1" applyFont="1">
      <alignment vertical="center" wrapText="1"/>
    </xf>
    <xf fontId="91" fillId="0" borderId="0" numFmtId="0" xfId="0" applyNumberFormat="1" applyFont="1">
      <alignment horizontal="left" vertical="center" wrapText="1"/>
    </xf>
    <xf fontId="32" fillId="0" borderId="0" numFmtId="0" xfId="0" applyNumberFormat="1" applyFont="1">
      <alignment horizontal="left" vertical="center" wrapText="1"/>
    </xf>
    <xf fontId="33" fillId="0" borderId="0" numFmtId="0" xfId="0" applyNumberFormat="1" applyFont="1">
      <alignment vertical="center" wrapText="1"/>
    </xf>
    <xf fontId="22" fillId="0" borderId="0" numFmtId="0" xfId="0" applyNumberFormat="1" applyFont="1">
      <alignment horizontal="center" vertical="center" wrapText="1"/>
    </xf>
    <xf fontId="32" fillId="0" borderId="0" numFmtId="0" xfId="0" applyNumberFormat="1" applyFont="1">
      <alignment horizontal="center" vertical="center" wrapText="1"/>
    </xf>
    <xf fontId="47" fillId="0" borderId="0" numFmtId="0" xfId="0" applyNumberFormat="1" applyFont="1">
      <alignment vertical="center" wrapText="1"/>
    </xf>
    <xf fontId="48" fillId="0" borderId="0" numFmtId="0" xfId="0" applyNumberFormat="1" applyFont="1">
      <alignment vertical="center" wrapText="1"/>
    </xf>
    <xf fontId="72" fillId="0" borderId="0" numFmtId="0" xfId="0" applyNumberFormat="1" applyFont="1">
      <alignment vertical="center" wrapText="1"/>
    </xf>
    <xf fontId="48"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wrapText="1"/>
    </xf>
    <xf fontId="48" fillId="0" borderId="0" numFmtId="0" xfId="0" applyNumberFormat="1" applyFont="1">
      <alignment horizontal="left" indent="1" vertical="center" wrapText="1"/>
    </xf>
    <xf fontId="48" fillId="0" borderId="0" numFmtId="0" xfId="0" applyNumberFormat="1" applyFont="1">
      <alignment horizontal="left" indent="1" vertical="center"/>
    </xf>
    <xf fontId="48" fillId="0" borderId="0" numFmtId="0" xfId="0" applyNumberFormat="1" applyFont="1">
      <alignment vertical="center" wrapText="1"/>
    </xf>
    <xf fontId="56" fillId="0" borderId="0" numFmtId="0" xfId="0" applyNumberFormat="1" applyFont="1">
      <alignment vertical="center" wrapText="1"/>
    </xf>
    <xf fontId="22" fillId="0" borderId="0" numFmtId="0" xfId="0" applyNumberFormat="1" applyFont="1">
      <alignment horizontal="left" indent="1" vertical="center" wrapText="1"/>
    </xf>
    <xf fontId="47" fillId="0" borderId="0" numFmtId="0" xfId="0" applyNumberFormat="1" applyFont="1">
      <alignment horizontal="left" indent="1" vertical="center" wrapText="1"/>
    </xf>
    <xf fontId="56" fillId="0" borderId="0" numFmtId="0" xfId="0" applyNumberFormat="1" applyFont="1">
      <alignment horizontal="left" indent="1" vertical="center" wrapText="1"/>
    </xf>
    <xf fontId="57" fillId="0" borderId="0" numFmtId="0" xfId="0" applyNumberFormat="1" applyFont="1">
      <alignment horizontal="left" indent="1" vertical="center"/>
    </xf>
    <xf fontId="56"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xf>
    <xf fontId="48" fillId="0" borderId="0" numFmtId="0" xfId="0" applyNumberFormat="1" applyFont="1">
      <alignment vertical="center"/>
    </xf>
    <xf fontId="55" fillId="0" borderId="0" numFmtId="0" xfId="0" applyNumberFormat="1" applyFont="1">
      <alignment vertical="center"/>
    </xf>
    <xf fontId="42" fillId="0" borderId="0" numFmtId="0" xfId="0" applyNumberFormat="1" applyFont="1">
      <alignment vertical="center" wrapText="1"/>
    </xf>
    <xf fontId="22" fillId="0" borderId="15" numFmtId="0" xfId="0" applyNumberFormat="1" applyFont="1" applyBorder="1">
      <alignment horizontal="left" indent="1" vertical="center" wrapText="1"/>
    </xf>
    <xf fontId="22" fillId="0" borderId="0" numFmtId="4" xfId="0" applyNumberFormat="1" applyFont="1">
      <alignment horizontal="right" vertical="center" wrapText="1"/>
    </xf>
    <xf fontId="22" fillId="0" borderId="0" numFmtId="0" xfId="0" applyNumberFormat="1" applyFont="1">
      <alignment horizontal="left" indent="1" vertical="center" wrapText="1"/>
    </xf>
    <xf fontId="22" fillId="0" borderId="0" numFmtId="49" xfId="0" applyNumberFormat="1" applyFont="1">
      <alignment vertical="top"/>
    </xf>
    <xf fontId="47"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horizontal="center" vertical="center" wrapText="1"/>
    </xf>
    <xf fontId="22" fillId="0" borderId="0" numFmtId="4" xfId="0" applyNumberFormat="1" applyFont="1">
      <alignment horizontal="center" vertical="center" wrapText="1"/>
    </xf>
    <xf fontId="22" fillId="0" borderId="0" numFmtId="0" xfId="0" applyNumberFormat="1" applyFont="1">
      <alignment vertical="center" wrapText="1"/>
    </xf>
    <xf fontId="22" fillId="0" borderId="14"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2" numFmtId="4"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2" numFmtId="501" xfId="0" applyNumberFormat="1" applyFont="1" applyBorder="1">
      <alignment horizontal="center" vertical="center" wrapText="1"/>
    </xf>
    <xf fontId="36" fillId="0" borderId="0" numFmtId="0" xfId="0" applyNumberFormat="1" applyFont="1">
      <alignment horizontal="center" vertical="center" wrapText="1"/>
    </xf>
    <xf fontId="36" fillId="0" borderId="15" numFmtId="49" xfId="0" applyNumberFormat="1" applyFont="1" applyBorder="1">
      <alignment horizontal="center" vertical="center" wrapText="1"/>
    </xf>
    <xf fontId="36" fillId="0" borderId="15" numFmtId="49" xfId="0" applyNumberFormat="1" applyFont="1" applyBorder="1">
      <alignment horizontal="center" vertical="center" wrapText="1"/>
    </xf>
    <xf fontId="47" fillId="0" borderId="0" numFmtId="0" xfId="0" applyNumberFormat="1" applyFont="1">
      <alignment vertical="center"/>
    </xf>
    <xf fontId="47" fillId="0" borderId="0" numFmtId="0" xfId="0" applyNumberFormat="1" applyFont="1">
      <alignment vertical="center"/>
    </xf>
    <xf fontId="54" fillId="0" borderId="0" numFmtId="0" xfId="0" applyNumberFormat="1" applyFont="1">
      <alignment vertical="center"/>
    </xf>
    <xf fontId="22" fillId="37" borderId="19" numFmtId="49" xfId="0" applyNumberFormat="1" applyFont="1" applyFill="1" applyBorder="1">
      <alignment horizontal="center" vertical="center" wrapText="1"/>
    </xf>
    <xf fontId="47" fillId="37" borderId="19" numFmtId="49" xfId="0" applyNumberFormat="1" applyFont="1" applyFill="1" applyBorder="1">
      <alignment horizontal="left" vertical="center" wrapText="1"/>
    </xf>
    <xf fontId="47" fillId="37" borderId="20" numFmtId="49" xfId="0" applyNumberFormat="1" applyFont="1" applyFill="1" applyBorder="1">
      <alignment horizontal="left" vertical="center" wrapText="1"/>
    </xf>
    <xf fontId="48" fillId="0" borderId="22" numFmtId="0" xfId="0" applyNumberFormat="1" applyFont="1" applyBorder="1">
      <alignment vertical="center"/>
    </xf>
    <xf fontId="22" fillId="0" borderId="0" numFmtId="0" xfId="0" applyNumberFormat="1" applyFont="1">
      <alignment horizontal="center" vertical="center" wrapText="1"/>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wrapText="1"/>
    </xf>
    <xf fontId="22" fillId="39" borderId="12" numFmtId="49" xfId="0" applyNumberFormat="1" applyFont="1" applyFill="1" applyBorder="1">
      <alignment vertical="center" wrapText="1"/>
      <protection locked="0"/>
    </xf>
    <xf fontId="47" fillId="0" borderId="12" numFmtId="49" xfId="0" applyNumberFormat="1" applyFont="1" applyBorder="1">
      <alignment horizontal="left" vertical="center" wrapText="1"/>
    </xf>
    <xf fontId="48" fillId="0" borderId="0" numFmtId="0" xfId="0" applyNumberFormat="1" applyFont="1">
      <alignment vertical="center"/>
    </xf>
    <xf fontId="48" fillId="0" borderId="0" numFmtId="0" xfId="0" applyNumberFormat="1" applyFont="1">
      <alignment vertical="center"/>
    </xf>
    <xf fontId="42" fillId="0" borderId="0" numFmtId="0" xfId="0" applyNumberFormat="1" applyFont="1">
      <alignment vertical="center" wrapText="1"/>
    </xf>
    <xf fontId="0" fillId="0" borderId="0" numFmtId="49" xfId="0" applyNumberFormat="1" applyFont="1">
      <alignment vertical="top"/>
    </xf>
    <xf fontId="36" fillId="0" borderId="24" numFmtId="0" xfId="0" applyNumberFormat="1" applyFont="1" applyBorder="1">
      <alignment vertical="top" wrapText="1"/>
    </xf>
    <xf fontId="22" fillId="0" borderId="23" numFmtId="0" xfId="0" applyNumberFormat="1" applyFont="1" applyBorder="1">
      <alignment horizontal="center" vertical="center" wrapText="1"/>
    </xf>
    <xf fontId="48" fillId="0" borderId="23" numFmtId="0" xfId="0" applyNumberFormat="1" applyFont="1" applyBorder="1">
      <alignment horizontal="center" vertical="center" wrapText="1"/>
    </xf>
    <xf fontId="22" fillId="40" borderId="23" numFmtId="14" xfId="0" applyNumberFormat="1" applyFont="1" applyFill="1" applyBorder="1">
      <alignment horizontal="left" indent="1" vertical="center" wrapText="1"/>
    </xf>
    <xf fontId="22" fillId="34" borderId="23" numFmtId="49" xfId="0" applyNumberFormat="1" applyFont="1" applyFill="1" applyBorder="1">
      <alignment horizontal="center" vertical="center" wrapText="1"/>
    </xf>
    <xf fontId="74" fillId="0" borderId="0" numFmtId="0" xfId="0" applyNumberFormat="1" applyFont="1">
      <alignment vertical="center" wrapText="1"/>
    </xf>
    <xf fontId="47" fillId="0" borderId="0" numFmtId="49" xfId="0" applyNumberFormat="1" applyFont="1">
      <alignment vertical="top"/>
    </xf>
    <xf fontId="48"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center" wrapText="1"/>
    </xf>
    <xf fontId="36" fillId="0" borderId="0" numFmtId="0" xfId="0" applyNumberFormat="1" applyFont="1">
      <alignment vertical="top" wrapText="1"/>
    </xf>
    <xf fontId="50" fillId="37" borderId="14" numFmtId="49" xfId="0" applyNumberFormat="1" applyFont="1" applyFill="1" applyBorder="1">
      <alignment horizontal="right" vertical="center" wrapText="1"/>
    </xf>
    <xf fontId="50" fillId="37" borderId="15"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0" fillId="37" borderId="15" numFmtId="49" xfId="0" applyNumberFormat="1" applyFont="1" applyFill="1" applyBorder="1">
      <alignment horizontal="right" vertical="center" wrapText="1"/>
    </xf>
    <xf fontId="0" fillId="37" borderId="13" numFmtId="49" xfId="0" applyNumberFormat="1" applyFont="1" applyFill="1" applyBorder="1">
      <alignment horizontal="right" vertical="center" wrapText="1"/>
    </xf>
    <xf fontId="22" fillId="37" borderId="14" numFmtId="49" xfId="0" applyNumberFormat="1" applyFont="1" applyFill="1" applyBorder="1">
      <alignment horizontal="right" vertical="center" wrapText="1"/>
    </xf>
    <xf fontId="22" fillId="37" borderId="15" numFmtId="49" xfId="0" applyNumberFormat="1" applyFont="1" applyFill="1" applyBorder="1">
      <alignment horizontal="right" vertical="center" wrapText="1"/>
    </xf>
    <xf fontId="40" fillId="37" borderId="15" numFmtId="49" xfId="0" applyNumberFormat="1" applyFont="1" applyFill="1" applyBorder="1">
      <alignment horizontal="left" vertical="center"/>
    </xf>
    <xf fontId="22" fillId="37" borderId="13" numFmtId="49" xfId="0" applyNumberFormat="1" applyFont="1" applyFill="1" applyBorder="1">
      <alignment horizontal="right" vertical="center" wrapText="1"/>
    </xf>
    <xf fontId="37" fillId="0" borderId="0" numFmtId="0" xfId="0" applyNumberFormat="1" applyFont="1">
      <alignment horizontal="center" vertical="center" wrapText="1"/>
    </xf>
    <xf fontId="22" fillId="0" borderId="21" numFmtId="0" xfId="0" applyNumberFormat="1" applyFont="1" applyBorder="1">
      <alignment vertical="center" wrapText="1"/>
    </xf>
    <xf fontId="45" fillId="0" borderId="0" numFmtId="0" xfId="0" applyNumberFormat="1" applyFont="1">
      <alignment vertical="center" wrapText="1"/>
    </xf>
    <xf fontId="94" fillId="0" borderId="0" numFmtId="0" xfId="0" applyNumberFormat="1" applyFont="1">
      <alignment vertical="center" wrapText="1"/>
    </xf>
    <xf fontId="51" fillId="0" borderId="0" numFmtId="0" xfId="0" applyNumberFormat="1" applyFont="1">
      <alignment horizontal="center" vertical="center" wrapText="1"/>
    </xf>
    <xf fontId="45" fillId="0" borderId="0" numFmtId="0" xfId="0" applyNumberFormat="1" applyFont="1">
      <alignment vertical="center" wrapText="1"/>
    </xf>
    <xf fontId="0" fillId="0" borderId="0" numFmtId="49" xfId="0" applyNumberFormat="1" applyFont="1">
      <alignment vertical="top"/>
    </xf>
    <xf fontId="37" fillId="0" borderId="0" numFmtId="0" xfId="0" applyNumberFormat="1" applyFont="1">
      <alignment horizontal="center" vertical="center" wrapText="1"/>
    </xf>
    <xf fontId="48" fillId="0" borderId="0" numFmtId="0" xfId="0" applyNumberFormat="1" applyFont="1">
      <alignment vertical="center"/>
    </xf>
    <xf fontId="55" fillId="0" borderId="0" numFmtId="0" xfId="0" applyNumberFormat="1" applyFont="1">
      <alignment vertical="center"/>
    </xf>
    <xf fontId="0" fillId="0" borderId="0" numFmtId="0" xfId="0" applyNumberFormat="1" applyFont="1">
      <alignment vertical="center"/>
    </xf>
    <xf fontId="22" fillId="0" borderId="0" numFmtId="0" xfId="0" applyNumberFormat="1" applyFont="1">
      <alignment vertical="center"/>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7" fillId="0" borderId="0" numFmtId="0" xfId="0" applyNumberFormat="1" applyFont="1">
      <alignment vertical="center"/>
    </xf>
    <xf fontId="41" fillId="0" borderId="0" numFmtId="0" xfId="0" applyNumberFormat="1" applyFont="1">
      <alignment vertical="center"/>
    </xf>
    <xf fontId="22" fillId="0" borderId="29" numFmtId="0" xfId="0" applyNumberFormat="1" applyFont="1" applyBorder="1">
      <alignment horizontal="left" indent="1" vertical="center"/>
    </xf>
    <xf fontId="22" fillId="0" borderId="23" numFmtId="0" xfId="0" applyNumberFormat="1" applyFont="1" applyBorder="1">
      <alignment horizontal="left" indent="1" vertical="center"/>
    </xf>
    <xf fontId="22" fillId="0" borderId="30" numFmtId="0" xfId="0" applyNumberFormat="1" applyFont="1" applyBorder="1">
      <alignment horizontal="left" indent="1" vertical="center"/>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22" fillId="0" borderId="0" numFmtId="0" xfId="0" applyNumberFormat="1" applyFont="1">
      <alignment horizontal="center" vertical="center" wrapText="1"/>
    </xf>
    <xf fontId="22" fillId="0" borderId="0" numFmtId="0" xfId="0" applyNumberFormat="1" applyFont="1">
      <alignment vertical="center" wrapText="1"/>
    </xf>
    <xf fontId="86" fillId="0" borderId="0" numFmtId="0" xfId="0" applyNumberFormat="1" applyFont="1">
      <alignment vertical="center"/>
    </xf>
    <xf fontId="49" fillId="0" borderId="0" numFmtId="0" xfId="0" applyNumberFormat="1" applyFont="1">
      <alignment vertical="center"/>
    </xf>
    <xf fontId="108" fillId="0" borderId="0" numFmtId="0" xfId="0" applyNumberFormat="1" applyFont="1">
      <alignment vertical="center"/>
    </xf>
    <xf fontId="41" fillId="0" borderId="0" numFmtId="0" xfId="0" applyNumberFormat="1" applyFont="1">
      <alignment vertical="center"/>
    </xf>
    <xf fontId="0" fillId="0" borderId="0" numFmtId="0" xfId="0" applyNumberFormat="1" applyFont="1">
      <alignment horizontal="left" indent="2" vertical="center" wrapText="1"/>
    </xf>
    <xf fontId="0" fillId="0" borderId="0" numFmtId="0" xfId="0" applyNumberFormat="1" applyFont="1">
      <alignment horizontal="left" indent="2" vertical="center"/>
    </xf>
    <xf fontId="31" fillId="0" borderId="0" numFmtId="0" xfId="0" applyNumberFormat="1" applyFont="1">
      <alignment vertical="center"/>
    </xf>
    <xf fontId="22" fillId="42" borderId="0" numFmtId="0" xfId="0" applyNumberFormat="1" applyFont="1" applyFill="1">
      <alignment horizontal="center" vertical="center" wrapText="1"/>
    </xf>
    <xf fontId="22" fillId="0" borderId="0" numFmtId="0" xfId="0" applyNumberFormat="1" applyFont="1">
      <alignment vertical="center" wrapText="1"/>
    </xf>
    <xf fontId="22" fillId="0" borderId="12" numFmtId="0" xfId="0" applyNumberFormat="1" applyFont="1" applyBorder="1">
      <alignment horizontal="center" vertical="center" wrapText="1"/>
    </xf>
    <xf fontId="75" fillId="0" borderId="37" numFmtId="0" xfId="0" applyNumberFormat="1" applyFont="1" applyBorder="1">
      <alignment horizontal="center" vertical="center" wrapText="1"/>
    </xf>
    <xf fontId="75" fillId="0" borderId="19" numFmtId="0" xfId="0" applyNumberFormat="1" applyFont="1" applyBorder="1">
      <alignment horizontal="center" vertical="center" wrapText="1"/>
    </xf>
    <xf fontId="75" fillId="0" borderId="12" numFmtId="0" xfId="0" applyNumberFormat="1" applyFont="1" applyBorder="1">
      <alignment horizontal="center" vertical="center" wrapText="1"/>
    </xf>
    <xf fontId="22" fillId="0" borderId="0" numFmtId="0" xfId="0" applyNumberFormat="1" applyFont="1">
      <alignment horizontal="center" vertical="center" wrapText="1"/>
    </xf>
    <xf fontId="8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71" numFmtId="0" xfId="0" applyNumberFormat="1" applyFont="1" applyBorder="1">
      <alignment horizontal="center" vertical="center" wrapText="1"/>
    </xf>
    <xf fontId="22" fillId="0" borderId="72" numFmtId="0" xfId="0" applyNumberFormat="1" applyFont="1" applyBorder="1">
      <alignment horizontal="center" vertical="center" wrapText="1"/>
    </xf>
    <xf fontId="47" fillId="0" borderId="22" numFmtId="0" xfId="0" applyNumberFormat="1" applyFont="1" applyBorder="1">
      <alignment vertical="center"/>
    </xf>
    <xf fontId="0" fillId="0" borderId="0" numFmtId="0" xfId="0" applyNumberFormat="1" applyFont="1">
      <alignment vertical="center"/>
    </xf>
    <xf fontId="36" fillId="0" borderId="0" numFmtId="49" xfId="0" applyNumberFormat="1" applyFont="1">
      <alignment horizontal="center" vertical="center" wrapText="1"/>
    </xf>
    <xf fontId="36" fillId="0" borderId="12" numFmtId="49" xfId="0" applyNumberFormat="1" applyFont="1" applyBorder="1">
      <alignment horizontal="center" vertical="center" wrapText="1"/>
    </xf>
    <xf fontId="36" fillId="0" borderId="69" numFmtId="49" xfId="0" applyNumberFormat="1" applyFont="1" applyBorder="1">
      <alignment horizontal="center" vertical="center" wrapText="1"/>
    </xf>
    <xf fontId="36" fillId="0" borderId="70" numFmtId="49" xfId="0" applyNumberFormat="1" applyFont="1" applyBorder="1">
      <alignment horizontal="center" vertical="center" wrapText="1"/>
    </xf>
    <xf fontId="36" fillId="0" borderId="14" numFmtId="49" xfId="0" applyNumberFormat="1" applyFont="1" applyBorder="1">
      <alignment horizontal="center" vertical="center" wrapText="1"/>
    </xf>
    <xf fontId="36" fillId="0" borderId="13" numFmtId="49" xfId="0" applyNumberFormat="1" applyFont="1" applyBorder="1">
      <alignment horizontal="center" vertical="center" wrapText="1"/>
    </xf>
    <xf fontId="47" fillId="0" borderId="22" numFmtId="0" xfId="0" applyNumberFormat="1" applyFont="1" applyBorder="1">
      <alignment vertical="center"/>
    </xf>
    <xf fontId="48" fillId="0" borderId="0" numFmtId="0" xfId="0" applyNumberFormat="1" applyFont="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48" fillId="0" borderId="0" numFmtId="0" xfId="0" applyNumberFormat="1" applyFont="1">
      <alignment horizontal="center" vertical="center"/>
    </xf>
    <xf fontId="22" fillId="0" borderId="0" numFmtId="0" xfId="0" applyNumberFormat="1" applyFont="1">
      <alignment horizontal="center" vertical="center" wrapText="1"/>
    </xf>
    <xf fontId="22" fillId="37" borderId="14"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41" numFmtId="49" xfId="0" applyNumberFormat="1" applyFont="1" applyFill="1" applyBorder="1">
      <alignment horizontal="center" vertical="center" wrapText="1"/>
    </xf>
    <xf fontId="0" fillId="37" borderId="15" numFmtId="49" xfId="0" applyNumberFormat="1" applyFont="1" applyFill="1" applyBorder="1">
      <alignment horizontal="left" vertical="center"/>
    </xf>
    <xf fontId="0" fillId="37" borderId="13" numFmtId="0" xfId="0" applyNumberFormat="1" applyFont="1" applyFill="1" applyBorder="1">
      <alignment vertical="center"/>
    </xf>
    <xf fontId="0" fillId="0" borderId="0" numFmtId="49" xfId="0" applyNumberFormat="1" applyFont="1">
      <alignment vertical="top"/>
    </xf>
    <xf fontId="37" fillId="0" borderId="0" numFmtId="0" xfId="0" applyNumberFormat="1" applyFont="1">
      <alignment horizontal="center" vertical="center" wrapText="1"/>
    </xf>
    <xf fontId="22" fillId="0" borderId="12" numFmtId="49" xfId="0" applyNumberFormat="1" applyFont="1" applyBorder="1">
      <alignment horizontal="center" vertical="center" wrapText="1"/>
    </xf>
    <xf fontId="22" fillId="40" borderId="17" numFmtId="0" xfId="0" applyNumberFormat="1" applyFont="1" applyFill="1" applyBorder="1">
      <alignment horizontal="left" indent="2" vertical="center" wrapText="1"/>
    </xf>
    <xf fontId="22" fillId="40" borderId="23" numFmtId="49" xfId="0" applyNumberFormat="1" applyFont="1" applyFill="1" applyBorder="1">
      <alignment horizontal="center" vertical="center" wrapText="1"/>
    </xf>
    <xf fontId="81" fillId="0" borderId="68" numFmtId="14" xfId="0" applyNumberFormat="1" applyFont="1" applyBorder="1">
      <alignment horizontal="center" vertical="center" wrapText="1"/>
    </xf>
    <xf fontId="22" fillId="0" borderId="68" numFmtId="0" xfId="0" applyNumberFormat="1" applyFont="1" applyBorder="1">
      <alignment horizontal="center" vertical="center" wrapText="1"/>
    </xf>
    <xf fontId="22" fillId="40" borderId="17" numFmtId="0" xfId="0" applyNumberFormat="1" applyFont="1" applyFill="1" applyBorder="1">
      <alignment horizontal="left" indent="1" vertical="center" wrapText="1"/>
    </xf>
    <xf fontId="22" fillId="40" borderId="12" numFmtId="49" xfId="0" applyNumberFormat="1" applyFont="1" applyFill="1" applyBorder="1">
      <alignment horizontal="center" vertical="center" wrapText="1"/>
    </xf>
    <xf fontId="22" fillId="0" borderId="17" numFmtId="49" xfId="0" applyNumberFormat="1" applyFont="1" applyBorder="1">
      <alignment horizontal="center" vertical="center" wrapText="1"/>
    </xf>
    <xf fontId="22" fillId="0" borderId="12" numFmtId="49" xfId="0" applyNumberFormat="1" applyFont="1" applyBorder="1">
      <alignment horizontal="center" vertical="center" wrapText="1"/>
    </xf>
    <xf fontId="75" fillId="0" borderId="12" numFmtId="49" xfId="0" applyNumberFormat="1" applyFont="1" applyBorder="1">
      <alignment horizontal="left" indent="1" vertical="center" wrapText="1"/>
    </xf>
    <xf fontId="47" fillId="0" borderId="22" numFmtId="0" xfId="0" applyNumberFormat="1" applyFont="1" applyBorder="1">
      <alignment vertical="center"/>
    </xf>
    <xf fontId="48" fillId="0" borderId="0" numFmtId="0" xfId="0" applyNumberFormat="1" applyFont="1">
      <alignment vertical="center"/>
    </xf>
    <xf fontId="22" fillId="0" borderId="0" numFmtId="0" xfId="0" applyNumberFormat="1" applyFont="1">
      <alignment vertical="center"/>
    </xf>
    <xf fontId="47"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left" indent="2" vertical="center" wrapText="1"/>
    </xf>
    <xf fontId="22" fillId="40" borderId="23" numFmtId="0" xfId="0" applyNumberFormat="1" applyFont="1" applyFill="1" applyBorder="1">
      <alignment horizontal="left" indent="1" vertical="center" wrapText="1"/>
    </xf>
    <xf fontId="40" fillId="37" borderId="13" numFmtId="49" xfId="0" applyNumberFormat="1" applyFont="1" applyFill="1" applyBorder="1">
      <alignment horizontal="left" indent="1" vertical="center"/>
    </xf>
    <xf fontId="22" fillId="40" borderId="23" numFmtId="0" xfId="0" applyNumberFormat="1" applyFont="1" applyFill="1" applyBorder="1">
      <alignment horizontal="left" indent="2" vertical="center" wrapText="1"/>
    </xf>
    <xf fontId="50" fillId="37" borderId="42" numFmtId="49" xfId="0" applyNumberFormat="1" applyFont="1" applyFill="1" applyBorder="1">
      <alignment horizontal="right" vertical="center" wrapText="1"/>
    </xf>
    <xf fontId="50" fillId="37" borderId="43" numFmtId="49" xfId="0" applyNumberFormat="1" applyFont="1" applyFill="1" applyBorder="1">
      <alignment horizontal="right" vertical="center" wrapText="1"/>
    </xf>
    <xf fontId="40" fillId="37" borderId="15" numFmtId="49" xfId="0" applyNumberFormat="1" applyFont="1" applyFill="1" applyBorder="1">
      <alignment horizontal="left" indent="1" vertical="center"/>
    </xf>
    <xf fontId="50" fillId="37" borderId="13" numFmtId="49" xfId="0" applyNumberFormat="1" applyFont="1" applyFill="1" applyBorder="1">
      <alignment horizontal="right" vertical="center" wrapText="1"/>
    </xf>
    <xf fontId="75" fillId="42" borderId="0" numFmtId="0" xfId="0" applyNumberFormat="1" applyFont="1" applyFill="1">
      <alignment vertical="top"/>
    </xf>
    <xf fontId="22" fillId="0" borderId="0" numFmtId="49" xfId="0" applyNumberFormat="1" applyFont="1">
      <alignment vertical="center" wrapText="1"/>
    </xf>
    <xf fontId="22" fillId="0" borderId="0" numFmtId="49" xfId="0" applyNumberFormat="1" applyFont="1">
      <alignment horizontal="center" vertical="center" wrapText="1"/>
    </xf>
    <xf fontId="40" fillId="37" borderId="15" numFmtId="49" xfId="0" applyNumberFormat="1" applyFont="1" applyFill="1" applyBorder="1">
      <alignment horizontal="left" indent="2" vertical="center"/>
    </xf>
    <xf fontId="22" fillId="0" borderId="0" numFmtId="0" xfId="0" applyNumberFormat="1" applyFont="1">
      <alignment vertical="center"/>
    </xf>
    <xf fontId="47" fillId="0" borderId="0" numFmtId="0" xfId="0" applyNumberFormat="1" applyFont="1">
      <alignment vertical="center"/>
    </xf>
    <xf fontId="22"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49" fillId="0" borderId="0" numFmtId="0" xfId="0" applyNumberFormat="1" applyFont="1">
      <alignment vertical="center"/>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64" fillId="0" borderId="0" numFmtId="0" xfId="0" applyNumberFormat="1" applyFont="1">
      <alignment vertical="center" wrapText="1"/>
    </xf>
    <xf fontId="46" fillId="0" borderId="0" numFmtId="0" xfId="0" applyNumberFormat="1" applyFont="1">
      <alignment vertical="center" wrapText="1"/>
    </xf>
    <xf fontId="46" fillId="0" borderId="0" numFmtId="0" xfId="0" applyNumberFormat="1" applyFont="1">
      <alignment vertical="center" wrapText="1"/>
    </xf>
    <xf fontId="108" fillId="0" borderId="0" numFmtId="0" xfId="0" applyNumberFormat="1" applyFont="1">
      <alignment vertical="center"/>
    </xf>
    <xf fontId="41" fillId="0" borderId="0" numFmtId="0" xfId="0" applyNumberFormat="1" applyFont="1">
      <alignment vertical="center"/>
    </xf>
    <xf fontId="22" fillId="0" borderId="27" numFmtId="0" xfId="0" applyNumberFormat="1" applyFont="1" applyBorder="1">
      <alignment horizontal="left" indent="1" vertical="center"/>
    </xf>
    <xf fontId="67" fillId="0" borderId="0" numFmtId="0" xfId="0" applyNumberFormat="1" applyFont="1">
      <alignment vertical="center"/>
    </xf>
    <xf fontId="48" fillId="0" borderId="0" numFmtId="0" xfId="0" applyNumberFormat="1" applyFont="1">
      <alignment vertical="center"/>
    </xf>
    <xf fontId="72" fillId="0" borderId="24" numFmtId="0" xfId="0" applyNumberFormat="1" applyFont="1" applyBorder="1">
      <alignment horizontal="left" indent="1" vertical="center" wrapText="1"/>
    </xf>
    <xf fontId="72" fillId="0" borderId="36" numFmtId="0" xfId="0" applyNumberFormat="1" applyFont="1" applyBorder="1">
      <alignment horizontal="left" indent="1" vertical="center" wrapText="1"/>
    </xf>
    <xf fontId="72" fillId="0" borderId="22" numFmtId="0" xfId="0" applyNumberFormat="1" applyFont="1" applyBorder="1">
      <alignment horizontal="left" indent="1" vertical="center" wrapText="1"/>
    </xf>
    <xf fontId="67" fillId="0" borderId="0" numFmtId="0" xfId="0" applyNumberFormat="1" applyFont="1">
      <alignment vertical="center"/>
    </xf>
    <xf fontId="22" fillId="0" borderId="0" numFmtId="0" xfId="0" applyNumberFormat="1" applyFont="1">
      <alignment vertical="center"/>
    </xf>
    <xf fontId="67" fillId="0" borderId="0" numFmtId="0" xfId="0" applyNumberFormat="1" applyFont="1">
      <alignment vertical="center"/>
    </xf>
    <xf fontId="31" fillId="0" borderId="0" numFmtId="0" xfId="0" applyNumberFormat="1" applyFont="1">
      <alignment vertical="center"/>
    </xf>
    <xf fontId="41" fillId="0" borderId="0" numFmtId="0" xfId="0" applyNumberFormat="1" applyFont="1">
      <alignment vertical="center"/>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0" numFmtId="0" xfId="0" applyNumberFormat="1" applyFont="1">
      <alignment vertical="center"/>
    </xf>
    <xf fontId="48" fillId="35" borderId="0" numFmtId="49" xfId="0" applyNumberFormat="1" applyFont="1" applyFill="1">
      <alignment horizontal="center" vertical="center" wrapText="1"/>
    </xf>
    <xf fontId="48" fillId="35" borderId="27" numFmtId="49" xfId="0" applyNumberFormat="1" applyFont="1" applyFill="1" applyBorder="1">
      <alignment horizontal="center" vertical="center" wrapText="1"/>
    </xf>
    <xf fontId="48" fillId="0" borderId="0" numFmtId="0" xfId="0" applyNumberFormat="1" applyFont="1">
      <alignment vertical="center"/>
    </xf>
    <xf fontId="37" fillId="0" borderId="0" numFmtId="0" xfId="0" applyNumberFormat="1" applyFont="1">
      <alignment horizontal="center" vertical="center" wrapText="1"/>
    </xf>
    <xf fontId="48" fillId="0" borderId="12" numFmtId="0" xfId="0" applyNumberFormat="1" applyFont="1" applyBorder="1">
      <alignment horizontal="center" vertical="center"/>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left" vertical="center"/>
    </xf>
    <xf fontId="22" fillId="0" borderId="12" numFmtId="49" xfId="0" applyNumberFormat="1" applyFont="1" applyBorder="1">
      <alignment horizontal="center" vertical="center" wrapText="1"/>
    </xf>
    <xf fontId="22" fillId="0" borderId="12" numFmtId="49" xfId="0" applyNumberFormat="1" applyFont="1" applyBorder="1">
      <alignment horizontal="center" vertical="center" wrapText="1"/>
    </xf>
    <xf fontId="0" fillId="0" borderId="12" numFmtId="49" xfId="0" applyNumberFormat="1" applyFont="1" applyBorder="1">
      <alignment horizontal="left" vertical="center"/>
    </xf>
    <xf fontId="0" fillId="0" borderId="0" numFmtId="0" xfId="0" applyNumberFormat="1" applyFont="1">
      <alignment vertical="center"/>
    </xf>
    <xf fontId="0" fillId="0" borderId="0" numFmtId="49" xfId="0" applyNumberFormat="1" applyFont="1">
      <alignment vertical="center"/>
    </xf>
    <xf fontId="0" fillId="0" borderId="12" numFmtId="0" xfId="0" applyNumberFormat="1" applyFont="1" applyBorder="1">
      <alignment horizontal="center" vertical="top"/>
    </xf>
    <xf fontId="22" fillId="0" borderId="12" numFmtId="0" xfId="0" applyNumberFormat="1" applyFont="1" applyBorder="1">
      <alignment horizontal="left" vertical="top" wrapText="1"/>
    </xf>
    <xf fontId="22" fillId="40" borderId="17" numFmtId="0" xfId="0" applyNumberFormat="1" applyFont="1" applyFill="1" applyBorder="1">
      <alignment horizontal="center" vertical="top" wrapText="1"/>
    </xf>
    <xf fontId="22" fillId="40" borderId="12" numFmtId="0" xfId="0" applyNumberFormat="1" applyFont="1" applyFill="1" applyBorder="1">
      <alignment horizontal="left" vertical="top" wrapText="1"/>
    </xf>
    <xf fontId="0" fillId="0" borderId="12" numFmtId="0" xfId="0" applyNumberFormat="1" applyFont="1" applyBorder="1">
      <alignment horizontal="center" vertical="center"/>
    </xf>
    <xf fontId="22" fillId="36" borderId="12" numFmtId="49" xfId="0" applyNumberFormat="1" applyFont="1" applyFill="1" applyBorder="1">
      <alignment horizontal="left" vertical="center" wrapText="1"/>
      <protection locked="0"/>
    </xf>
    <xf fontId="22" fillId="40" borderId="17" numFmtId="49" xfId="0" applyNumberFormat="1" applyFont="1" applyFill="1" applyBorder="1">
      <alignment horizontal="center" vertical="center" wrapText="1"/>
    </xf>
    <xf fontId="22" fillId="0" borderId="12" numFmtId="49" xfId="0" applyNumberFormat="1" applyFont="1" applyBorder="1">
      <alignment horizontal="center" vertical="center" wrapText="1"/>
    </xf>
    <xf fontId="0" fillId="40" borderId="12" numFmtId="0" xfId="0" applyNumberFormat="1" applyFont="1" applyFill="1" applyBorder="1">
      <alignment horizontal="left" vertical="center" wrapText="1"/>
      <protection locked="0"/>
    </xf>
    <xf fontId="0" fillId="35" borderId="12" numFmtId="49" xfId="0" applyNumberFormat="1" applyFont="1" applyFill="1" applyBorder="1">
      <alignment horizontal="left" vertical="center" wrapText="1"/>
    </xf>
    <xf fontId="22" fillId="40" borderId="12" numFmtId="49" xfId="0" applyNumberFormat="1" applyFont="1" applyFill="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0" xfId="0" applyNumberFormat="1" applyFont="1">
      <alignment horizontal="left" indent="1" vertical="center"/>
    </xf>
    <xf fontId="0" fillId="0" borderId="0" numFmtId="0" xfId="0" applyNumberFormat="1" applyFont="1">
      <alignment vertical="center"/>
    </xf>
    <xf fontId="0" fillId="0" borderId="0" numFmtId="0" xfId="0" applyNumberFormat="1" applyFont="1">
      <alignment vertical="center"/>
    </xf>
    <xf fontId="22" fillId="40" borderId="36" numFmtId="0" xfId="0" applyNumberFormat="1" applyFont="1" applyFill="1" applyBorder="1">
      <alignment horizontal="center" vertical="top" wrapText="1"/>
    </xf>
    <xf fontId="22" fillId="40" borderId="36"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protection locked="0"/>
    </xf>
    <xf fontId="22" fillId="40" borderId="23" numFmtId="49" xfId="0" applyNumberFormat="1" applyFont="1" applyFill="1" applyBorder="1">
      <alignment horizontal="center" vertical="center" wrapText="1"/>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22" fillId="40" borderId="23" numFmtId="0" xfId="0" applyNumberFormat="1" applyFont="1" applyFill="1" applyBorder="1">
      <alignment horizontal="center" vertical="top" wrapText="1"/>
    </xf>
    <xf fontId="0" fillId="40" borderId="12" numFmtId="49" xfId="0" applyNumberFormat="1" applyFont="1" applyFill="1" applyBorder="1">
      <alignment horizontal="left" vertical="top"/>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22" fillId="39" borderId="12" numFmtId="0" xfId="0" applyNumberFormat="1" applyFont="1" applyFill="1" applyBorder="1">
      <alignment horizontal="left" vertical="top" wrapText="1"/>
      <protection locked="0"/>
    </xf>
    <xf fontId="22" fillId="0" borderId="0" numFmtId="49" xfId="0" applyNumberFormat="1" applyFont="1">
      <alignment horizontal="left" indent="1" vertical="center"/>
    </xf>
    <xf fontId="0" fillId="0" borderId="0" numFmtId="0" xfId="0" applyNumberFormat="1" applyFont="1">
      <alignment vertical="center"/>
    </xf>
    <xf fontId="22" fillId="39" borderId="12" numFmtId="0" xfId="0" applyNumberFormat="1" applyFont="1" applyFill="1" applyBorder="1">
      <alignment horizontal="left" vertical="top" wrapText="1"/>
      <protection locked="0"/>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39" borderId="12" numFmtId="0" xfId="0" applyNumberFormat="1" applyFont="1" applyFill="1" applyBorder="1">
      <alignment horizontal="left" vertical="top"/>
      <protection locked="0"/>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5" numFmtId="0" xfId="0" applyNumberFormat="1" applyFont="1" applyFill="1" applyBorder="1">
      <alignment horizontal="lef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0" fillId="37" borderId="15" numFmtId="0" xfId="0" applyNumberFormat="1" applyFont="1" applyFill="1" applyBorder="1">
      <alignment vertical="center"/>
    </xf>
    <xf fontId="40" fillId="37" borderId="13" numFmtId="0" xfId="0" applyNumberFormat="1" applyFont="1" applyFill="1" applyBorder="1">
      <alignment horizontal="left"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20" numFmtId="49" xfId="0" applyNumberFormat="1" applyFont="1" applyBorder="1">
      <alignment horizontal="left" vertical="center" wrapText="1"/>
    </xf>
    <xf fontId="0" fillId="0" borderId="0" numFmtId="0" xfId="0" applyNumberFormat="1" applyFont="1">
      <alignment vertical="center"/>
    </xf>
    <xf fontId="0" fillId="0" borderId="22" numFmtId="0" xfId="0" applyNumberFormat="1" applyFont="1" applyBorder="1">
      <alignment horizontal="center" vertical="center"/>
    </xf>
    <xf fontId="0" fillId="0" borderId="0" numFmtId="0" xfId="0" applyNumberFormat="1" applyFont="1">
      <alignment horizontal="center" vertical="center"/>
    </xf>
    <xf fontId="22" fillId="0" borderId="0" numFmtId="49" xfId="0" applyNumberFormat="1" applyFont="1">
      <alignment horizontal="left" vertical="center" wrapText="1"/>
    </xf>
    <xf fontId="22" fillId="0" borderId="0" numFmtId="49" xfId="0" applyNumberFormat="1" applyFont="1">
      <alignment horizontal="center" vertical="center" wrapText="1"/>
    </xf>
    <xf fontId="0" fillId="0" borderId="0" numFmtId="0" xfId="0" applyNumberFormat="1" applyFont="1">
      <alignment horizontal="left" vertical="center" wrapText="1"/>
    </xf>
    <xf fontId="0" fillId="0" borderId="0" numFmtId="49" xfId="0" applyNumberFormat="1" applyFont="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40" fillId="0" borderId="30" numFmtId="0" xfId="0" applyNumberFormat="1" applyFont="1" applyBorder="1">
      <alignment horizontal="left" vertical="center"/>
    </xf>
    <xf fontId="40" fillId="0" borderId="27" numFmtId="0" xfId="0" applyNumberFormat="1" applyFont="1" applyBorder="1">
      <alignment horizontal="left" vertical="center"/>
    </xf>
    <xf fontId="0" fillId="0" borderId="27" numFmtId="0" xfId="0" applyNumberFormat="1" applyFont="1" applyBorder="1">
      <alignment vertical="center"/>
    </xf>
    <xf fontId="40" fillId="0" borderId="29" numFmtId="0" xfId="0" applyNumberFormat="1" applyFont="1" applyBorder="1">
      <alignment horizontal="lef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vertical="center"/>
    </xf>
    <xf fontId="0" fillId="0" borderId="17" numFmtId="0" xfId="0" applyNumberFormat="1" applyFont="1" applyBorder="1">
      <alignment horizontal="center" vertical="top"/>
    </xf>
    <xf fontId="22" fillId="0" borderId="17" numFmtId="0" xfId="0" applyNumberFormat="1" applyFont="1" applyBorder="1">
      <alignment horizontal="left" vertical="top" wrapText="1"/>
    </xf>
    <xf fontId="0" fillId="0" borderId="0" numFmtId="0" xfId="0" applyNumberFormat="1" applyFont="1">
      <alignment vertical="center"/>
    </xf>
    <xf fontId="0" fillId="0" borderId="36" numFmtId="0" xfId="0" applyNumberFormat="1" applyFont="1" applyBorder="1">
      <alignment horizontal="center" vertical="top"/>
    </xf>
    <xf fontId="22" fillId="0" borderId="36" numFmtId="0" xfId="0" applyNumberFormat="1" applyFont="1" applyBorder="1">
      <alignment horizontal="left" vertical="top" wrapText="1"/>
    </xf>
    <xf fontId="0" fillId="0" borderId="23" numFmtId="0" xfId="0" applyNumberFormat="1" applyFont="1" applyBorder="1">
      <alignment horizontal="center" vertical="top"/>
    </xf>
    <xf fontId="22" fillId="0" borderId="23" numFmtId="0" xfId="0" applyNumberFormat="1" applyFont="1" applyBorder="1">
      <alignment horizontal="left" vertical="top"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0" fillId="0" borderId="0" numFmtId="0" xfId="0" applyNumberFormat="1" applyFont="1">
      <alignment horizontal="left" vertical="top" wrapText="1"/>
    </xf>
    <xf fontId="0" fillId="0" borderId="0" numFmtId="0" xfId="0" applyNumberFormat="1" applyFont="1" quotePrefix="1">
      <alignment horizontal="left" indent="1" vertical="top" wrapText="1"/>
    </xf>
    <xf fontId="0" fillId="0" borderId="0" numFmtId="0" xfId="0" applyNumberFormat="1" applyFont="1">
      <alignment horizontal="left" indent="1" vertical="top" wrapText="1"/>
    </xf>
    <xf fontId="0" fillId="0" borderId="0" numFmtId="0" xfId="0" applyNumberFormat="1" applyFont="1">
      <alignment horizontal="left" vertical="top" wrapText="1"/>
    </xf>
    <xf fontId="0" fillId="0" borderId="0" numFmtId="0" xfId="0" applyNumberFormat="1" applyFont="1">
      <alignment horizontal="left" vertical="top" wrapText="1"/>
    </xf>
    <xf fontId="0" fillId="0" borderId="0" numFmtId="0" xfId="0" applyNumberFormat="1" applyFont="1">
      <alignment vertical="top" wrapText="1"/>
    </xf>
    <xf fontId="0" fillId="0" borderId="0" numFmtId="0" xfId="0" applyNumberFormat="1" applyFont="1">
      <alignment vertical="center"/>
    </xf>
    <xf fontId="0" fillId="0" borderId="0" numFmtId="0" xfId="0" applyNumberFormat="1" applyFont="1">
      <alignment vertical="center"/>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22" fillId="0" borderId="0" numFmtId="49" xfId="0" applyNumberFormat="1" applyFont="1">
      <alignment horizontal="center"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40" fillId="0" borderId="27" numFmtId="0" xfId="0" applyNumberFormat="1" applyFont="1" applyBorder="1">
      <alignment horizontal="left" vertical="center"/>
    </xf>
    <xf fontId="40" fillId="0" borderId="29" numFmtId="0" xfId="0" applyNumberFormat="1" applyFont="1" applyBorder="1">
      <alignment horizontal="left" vertical="center"/>
    </xf>
    <xf fontId="48" fillId="0" borderId="0" numFmtId="0" xfId="0" applyNumberFormat="1" applyFont="1">
      <alignment vertical="center"/>
    </xf>
    <xf fontId="0" fillId="0" borderId="0" numFmtId="0" xfId="0" applyNumberFormat="1" applyFont="1">
      <alignment vertical="center"/>
    </xf>
    <xf fontId="48" fillId="0" borderId="0" numFmtId="49" xfId="0" applyNumberFormat="1" applyFont="1">
      <alignment vertical="top"/>
    </xf>
    <xf fontId="48" fillId="0" borderId="0" numFmtId="49" xfId="0" applyNumberFormat="1" applyFont="1">
      <alignment horizontal="center" vertical="center"/>
    </xf>
    <xf fontId="48" fillId="0" borderId="0" numFmtId="49" xfId="0" applyNumberFormat="1" applyFont="1">
      <alignment horizontal="center" vertical="center"/>
    </xf>
    <xf fontId="47" fillId="0" borderId="0" numFmtId="49" xfId="0" applyNumberFormat="1" applyFont="1">
      <alignment horizontal="center" vertical="center"/>
    </xf>
    <xf fontId="67" fillId="0" borderId="0" numFmtId="49" xfId="0" applyNumberFormat="1" applyFont="1">
      <alignment vertical="top"/>
    </xf>
    <xf fontId="0" fillId="0" borderId="0" numFmtId="49" xfId="0" applyNumberFormat="1" applyFont="1">
      <alignment vertical="top"/>
    </xf>
    <xf fontId="32" fillId="0" borderId="0" numFmtId="49" xfId="0" applyNumberFormat="1" applyFont="1">
      <alignment vertical="top"/>
    </xf>
    <xf fontId="67" fillId="0" borderId="0" numFmtId="49" xfId="0" applyNumberFormat="1" applyFont="1">
      <alignment vertical="top"/>
    </xf>
    <xf fontId="32" fillId="0" borderId="0" numFmtId="0" xfId="0" applyNumberFormat="1" applyFont="1">
      <alignment vertical="center" wrapText="1"/>
    </xf>
    <xf fontId="22" fillId="0" borderId="0" numFmtId="0" xfId="0" applyNumberFormat="1" applyFont="1">
      <alignment vertical="center" wrapText="1"/>
    </xf>
    <xf fontId="37" fillId="0" borderId="0" numFmtId="0" xfId="0" applyNumberFormat="1" applyFont="1">
      <alignment horizontal="center" vertical="center" wrapText="1"/>
    </xf>
    <xf fontId="22" fillId="0" borderId="19" numFmtId="0" xfId="0" applyNumberFormat="1" applyFont="1" applyBorder="1">
      <alignment horizontal="left" indent="1" vertical="center" wrapText="1"/>
    </xf>
    <xf fontId="46" fillId="0" borderId="0" numFmtId="0" xfId="0" applyNumberFormat="1" applyFont="1">
      <alignment horizontal="left" indent="1" vertical="center" wrapText="1"/>
    </xf>
    <xf fontId="42" fillId="0" borderId="0" numFmtId="0" xfId="0" applyNumberFormat="1" applyFont="1">
      <alignment vertical="center"/>
    </xf>
    <xf fontId="113" fillId="0" borderId="0" numFmtId="0" xfId="0" applyNumberFormat="1" applyFont="1">
      <alignment vertical="center" wrapText="1"/>
    </xf>
    <xf fontId="114"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vertical="center" wrapText="1"/>
    </xf>
    <xf fontId="22" fillId="0" borderId="27" numFmtId="0" xfId="0" applyNumberFormat="1" applyFont="1" applyBorder="1">
      <alignment horizontal="left" indent="1" vertical="center" wrapText="1"/>
    </xf>
    <xf fontId="42" fillId="0" borderId="0" numFmtId="0" xfId="0" applyNumberFormat="1" applyFont="1">
      <alignment vertical="center" wrapText="1"/>
    </xf>
    <xf fontId="22" fillId="0" borderId="37"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24" numFmtId="0" xfId="0" applyNumberFormat="1" applyFont="1" applyBorder="1">
      <alignment horizontal="center" vertical="center" wrapText="1"/>
    </xf>
    <xf fontId="22" fillId="0" borderId="22" numFmtId="0" xfId="0" applyNumberFormat="1" applyFont="1" applyBorder="1">
      <alignment horizontal="center" vertical="center" wrapText="1"/>
    </xf>
    <xf fontId="22" fillId="0" borderId="36" numFmtId="0" xfId="0" applyNumberFormat="1" applyFont="1" applyBorder="1">
      <alignment horizontal="center" vertical="center" wrapText="1"/>
    </xf>
    <xf fontId="22" fillId="0" borderId="30" numFmtId="0" xfId="0" applyNumberFormat="1" applyFont="1" applyBorder="1">
      <alignment horizontal="center" vertical="center" wrapText="1"/>
    </xf>
    <xf fontId="22" fillId="0" borderId="29"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22" fillId="0" borderId="0" numFmtId="49" xfId="0" applyNumberFormat="1" applyFont="1">
      <alignment vertical="top"/>
    </xf>
    <xf fontId="22" fillId="0" borderId="12" numFmtId="49" xfId="0" applyNumberFormat="1" applyFont="1" applyBorder="1">
      <alignment horizontal="center" vertical="center"/>
    </xf>
    <xf fontId="22" fillId="0" borderId="12" numFmtId="0" xfId="0" applyNumberFormat="1" applyFont="1" applyBorder="1">
      <alignment horizontal="left" vertical="center" wrapText="1"/>
    </xf>
    <xf fontId="22" fillId="40" borderId="17" numFmtId="49" xfId="0" applyNumberFormat="1" applyFont="1" applyFill="1" applyBorder="1">
      <alignment horizontal="center" vertical="center" wrapText="1"/>
    </xf>
    <xf fontId="22" fillId="0" borderId="37" numFmtId="49" xfId="0" applyNumberFormat="1" applyFont="1" applyBorder="1">
      <alignment vertical="center" wrapText="1"/>
    </xf>
    <xf fontId="22" fillId="0" borderId="19" numFmtId="0" xfId="0" applyNumberFormat="1" applyFont="1" applyBorder="1">
      <alignment horizontal="center" vertical="center"/>
    </xf>
    <xf fontId="22" fillId="0" borderId="19" numFmtId="49" xfId="0" applyNumberFormat="1" applyFont="1" applyBorder="1">
      <alignment horizontal="left" vertical="center" wrapText="1"/>
    </xf>
    <xf fontId="22" fillId="0" borderId="19" numFmtId="49" xfId="0" applyNumberFormat="1" applyFont="1" applyBorder="1">
      <alignmen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19" numFmtId="49" xfId="0" applyNumberFormat="1" applyFont="1" applyBorder="1">
      <alignment horizontal="center" vertical="center" wrapText="1"/>
    </xf>
    <xf fontId="22" fillId="0" borderId="19" numFmtId="0" xfId="0" applyNumberFormat="1" applyFont="1" applyBorder="1">
      <alignment horizontal="left" vertical="center" wrapText="1"/>
    </xf>
    <xf fontId="22" fillId="0" borderId="19" numFmtId="49" xfId="0" applyNumberFormat="1" applyFont="1" applyBorder="1">
      <alignment horizontal="center" vertical="center" wrapText="1"/>
    </xf>
    <xf fontId="22" fillId="0" borderId="19" numFmtId="49" xfId="0" applyNumberFormat="1" applyFont="1" applyBorder="1">
      <alignment vertical="center" wrapText="1"/>
    </xf>
    <xf fontId="22" fillId="40" borderId="36" numFmtId="49" xfId="0" applyNumberFormat="1" applyFont="1" applyFill="1" applyBorder="1">
      <alignment horizontal="center" vertical="center" wrapText="1"/>
    </xf>
    <xf fontId="22" fillId="0" borderId="22" numFmtId="49" xfId="0" applyNumberFormat="1" applyFont="1" applyBorder="1">
      <alignment vertical="center" wrapText="1"/>
    </xf>
    <xf fontId="22" fillId="0" borderId="0" numFmtId="0" xfId="0" applyNumberFormat="1" applyFont="1">
      <alignment horizontal="center" vertical="center"/>
    </xf>
    <xf fontId="22"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22" fillId="0" borderId="0" numFmtId="49" xfId="0" applyNumberFormat="1" applyFont="1">
      <alignment horizontal="center" vertical="center" wrapText="1"/>
    </xf>
    <xf fontId="22" fillId="0" borderId="0" numFmtId="0" xfId="0" applyNumberFormat="1" applyFont="1">
      <alignment horizontal="left" vertical="center" wrapText="1"/>
    </xf>
    <xf fontId="40" fillId="0" borderId="0" numFmtId="0" xfId="0" applyNumberFormat="1" applyFont="1">
      <alignment horizontal="left" vertical="center"/>
    </xf>
    <xf fontId="40" fillId="0" borderId="0" numFmtId="0" xfId="0" applyNumberFormat="1" applyFont="1">
      <alignment horizontal="left" vertical="center"/>
    </xf>
    <xf fontId="40" fillId="0" borderId="24" numFmtId="0" xfId="0" applyNumberFormat="1" applyFont="1" applyBorder="1">
      <alignment horizontal="left" vertical="center"/>
    </xf>
    <xf fontId="22" fillId="0" borderId="0" numFmtId="49" xfId="0" applyNumberFormat="1" applyFont="1">
      <alignment horizontal="center" vertical="center" wrapText="1"/>
    </xf>
    <xf fontId="37" fillId="0" borderId="0" numFmtId="49" xfId="0" applyNumberFormat="1" applyFont="1">
      <alignment horizontal="center" vertical="center" wrapText="1"/>
    </xf>
    <xf fontId="40" fillId="0" borderId="0" numFmtId="0" xfId="0" applyNumberFormat="1" applyFont="1">
      <alignment vertical="center"/>
    </xf>
    <xf fontId="40" fillId="0" borderId="22" numFmtId="0" xfId="0" applyNumberFormat="1" applyFont="1" applyBorder="1">
      <alignment horizontal="left" vertical="center"/>
    </xf>
    <xf fontId="22" fillId="0" borderId="17" numFmtId="49" xfId="0" applyNumberFormat="1" applyFont="1" applyBorder="1">
      <alignment horizontal="center" vertical="center"/>
    </xf>
    <xf fontId="22" fillId="0" borderId="17" numFmtId="0" xfId="0" applyNumberFormat="1" applyFont="1" applyBorder="1">
      <alignment horizontal="left" vertical="center" wrapText="1"/>
    </xf>
    <xf fontId="22" fillId="0" borderId="37" numFmtId="0" xfId="0" applyNumberFormat="1" applyFont="1" applyBorder="1">
      <alignment horizontal="left" vertical="center" wrapText="1"/>
    </xf>
    <xf fontId="67" fillId="0" borderId="30" numFmtId="49" xfId="0" applyNumberFormat="1" applyFont="1" applyBorder="1">
      <alignment vertical="top"/>
    </xf>
    <xf fontId="67" fillId="0" borderId="27" numFmtId="49" xfId="0" applyNumberFormat="1" applyFont="1" applyBorder="1">
      <alignment vertical="top"/>
    </xf>
    <xf fontId="40" fillId="0" borderId="27" numFmtId="0" xfId="0" applyNumberFormat="1" applyFont="1" applyBorder="1">
      <alignment horizontal="left" vertical="center"/>
    </xf>
    <xf fontId="40" fillId="0" borderId="29" numFmtId="0" xfId="0" applyNumberFormat="1" applyFont="1" applyBorder="1">
      <alignment horizontal="left" vertical="center"/>
    </xf>
    <xf fontId="22" fillId="0" borderId="0" numFmtId="0" xfId="0" applyNumberFormat="1" applyFont="1">
      <alignment horizontal="left" vertical="center" wrapText="1"/>
    </xf>
    <xf fontId="22" fillId="0" borderId="14" numFmtId="0" xfId="0" applyNumberFormat="1" applyFont="1" applyBorder="1">
      <alignment horizontal="left" vertical="center" wrapText="1"/>
    </xf>
    <xf fontId="32" fillId="0" borderId="0" numFmtId="49" xfId="0" applyNumberFormat="1" applyFont="1">
      <alignment vertical="top"/>
    </xf>
    <xf fontId="22" fillId="35" borderId="0" numFmtId="0" xfId="0" applyNumberFormat="1" applyFont="1" applyFill="1"/>
    <xf fontId="0" fillId="35" borderId="0" numFmtId="0" xfId="0" applyNumberFormat="1" applyFont="1" applyFill="1"/>
    <xf fontId="61" fillId="35" borderId="0" numFmtId="0" xfId="0" applyNumberFormat="1" applyFont="1" applyFill="1"/>
    <xf fontId="48" fillId="35" borderId="0" numFmtId="0" xfId="0" applyNumberFormat="1" applyFont="1" applyFill="1"/>
    <xf fontId="61" fillId="35" borderId="0" numFmtId="0" xfId="0" applyNumberFormat="1" applyFont="1" applyFill="1">
      <alignment horizontal="center"/>
    </xf>
    <xf fontId="61" fillId="35" borderId="0" numFmtId="0" xfId="0" applyNumberFormat="1" applyFont="1" applyFill="1"/>
    <xf fontId="90" fillId="0" borderId="0" numFmtId="0" xfId="0" applyNumberFormat="1" applyFont="1">
      <alignment vertical="center"/>
    </xf>
    <xf fontId="89" fillId="0" borderId="0" numFmtId="0" xfId="0" applyNumberFormat="1" applyFont="1">
      <alignment vertical="center"/>
    </xf>
    <xf fontId="73" fillId="35" borderId="0" numFmtId="0" xfId="0" applyNumberFormat="1" applyFont="1" applyFill="1">
      <alignment horizontal="right" vertical="center"/>
    </xf>
    <xf fontId="22" fillId="35" borderId="0" numFmtId="0" xfId="0" applyNumberFormat="1" applyFont="1" applyFill="1">
      <alignment vertical="center" wrapText="1"/>
    </xf>
    <xf fontId="48" fillId="35" borderId="0" numFmtId="0" xfId="0" applyNumberFormat="1" applyFont="1" applyFill="1">
      <alignment vertical="center" wrapText="1"/>
    </xf>
    <xf fontId="22" fillId="35" borderId="0" numFmtId="0" xfId="0" applyNumberFormat="1" applyFont="1" applyFill="1">
      <alignment horizontal="center" vertical="center" wrapText="1"/>
    </xf>
    <xf fontId="93" fillId="35" borderId="0" numFmtId="0" xfId="0" applyNumberFormat="1" applyFont="1" applyFill="1">
      <alignment horizontal="left" vertical="center" wrapText="1"/>
    </xf>
    <xf fontId="0" fillId="35"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36" fillId="35" borderId="0" numFmtId="0" xfId="0" applyNumberFormat="1" applyFont="1" applyFill="1">
      <alignment horizontal="center" vertical="center"/>
    </xf>
    <xf fontId="48" fillId="0" borderId="12" numFmtId="49" xfId="0" applyNumberFormat="1" applyFont="1" applyBorder="1">
      <alignment horizontal="center" vertical="center"/>
    </xf>
    <xf fontId="48" fillId="0" borderId="12" numFmtId="0" xfId="0" applyNumberFormat="1" applyFont="1" applyBorder="1">
      <alignment vertical="center" wrapText="1"/>
    </xf>
    <xf fontId="48" fillId="0" borderId="12" numFmtId="0" xfId="0" applyNumberFormat="1" applyFont="1" applyBorder="1">
      <alignment horizontal="left" vertical="center" wrapText="1"/>
    </xf>
    <xf fontId="65" fillId="35" borderId="0" numFmtId="0" xfId="0" applyNumberFormat="1" applyFont="1" applyFill="1"/>
    <xf fontId="0" fillId="35" borderId="12" numFmtId="49" xfId="0" applyNumberFormat="1" applyFont="1" applyFill="1" applyBorder="1">
      <alignment horizontal="center" vertical="center"/>
    </xf>
    <xf fontId="0" fillId="35" borderId="12" numFmtId="0" xfId="0" applyNumberFormat="1" applyFont="1" applyFill="1" applyBorder="1">
      <alignment vertical="center" wrapText="1"/>
    </xf>
    <xf fontId="0" fillId="0" borderId="12" numFmtId="0" xfId="0" applyNumberFormat="1" applyFont="1" applyBorder="1">
      <alignment horizontal="center" vertical="center" wrapText="1"/>
    </xf>
    <xf fontId="22" fillId="35" borderId="12" numFmtId="0" xfId="0" applyNumberFormat="1" applyFont="1" applyFill="1" applyBorder="1">
      <alignment vertical="center" wrapText="1"/>
    </xf>
    <xf fontId="0" fillId="35" borderId="12" numFmtId="0" xfId="0" applyNumberFormat="1" applyFont="1" applyFill="1" applyBorder="1">
      <alignment horizontal="left" indent="1" vertical="center" wrapText="1"/>
    </xf>
    <xf fontId="0" fillId="39" borderId="12" numFmtId="49" xfId="0" applyNumberFormat="1" applyFont="1" applyFill="1" applyBorder="1">
      <alignment horizontal="left" vertical="center" wrapText="1"/>
      <protection locked="0"/>
    </xf>
    <xf fontId="48" fillId="0" borderId="12" numFmtId="0" xfId="0" applyNumberFormat="1" applyFont="1" applyBorder="1">
      <alignment horizontal="left" indent="1" vertical="center" wrapText="1"/>
    </xf>
    <xf fontId="22" fillId="35" borderId="0" numFmtId="49" xfId="0" applyNumberFormat="1" applyFont="1" applyFill="1">
      <alignment horizontal="center" vertical="center" wrapText="1"/>
    </xf>
    <xf fontId="22" fillId="35" borderId="24" numFmtId="0" xfId="0" applyNumberFormat="1" applyFont="1" applyFill="1" applyBorder="1">
      <alignment horizontal="center" vertical="center" wrapText="1"/>
    </xf>
    <xf fontId="90" fillId="0" borderId="0" numFmtId="0" xfId="0" applyNumberFormat="1" applyFont="1">
      <alignment vertical="center" wrapText="1"/>
    </xf>
    <xf fontId="0" fillId="35" borderId="12" numFmtId="0" xfId="0" applyNumberFormat="1" applyFont="1" applyFill="1" applyBorder="1">
      <alignment horizontal="center" vertical="center"/>
    </xf>
    <xf fontId="0" fillId="35" borderId="12" numFmtId="0" xfId="0" applyNumberFormat="1" applyFont="1" applyFill="1" applyBorder="1">
      <alignment horizontal="left" indent="2" vertical="center" wrapText="1"/>
    </xf>
    <xf fontId="0" fillId="0" borderId="12" numFmtId="49" xfId="0" applyNumberFormat="1" applyFont="1" applyBorder="1">
      <alignment horizontal="left" vertical="center" wrapText="1"/>
    </xf>
    <xf fontId="0" fillId="0" borderId="12" numFmtId="504" xfId="0" applyNumberFormat="1" applyFont="1" applyBorder="1">
      <alignment horizontal="left" indent="1" vertical="center" wrapText="1"/>
    </xf>
    <xf fontId="22" fillId="35" borderId="0" numFmtId="49" xfId="0" applyNumberFormat="1" applyFont="1" applyFill="1">
      <alignment vertical="center" wrapText="1"/>
    </xf>
    <xf fontId="22" fillId="35" borderId="24" numFmtId="0" xfId="0" applyNumberFormat="1" applyFont="1" applyFill="1" applyBorder="1">
      <alignment vertical="center" wrapText="1"/>
    </xf>
    <xf fontId="22" fillId="37" borderId="14" numFmtId="0" xfId="0" applyNumberFormat="1" applyFont="1" applyFill="1" applyBorder="1">
      <alignment horizontal="center"/>
    </xf>
    <xf fontId="40" fillId="37" borderId="15" numFmtId="49" xfId="0" applyNumberFormat="1" applyFont="1" applyFill="1" applyBorder="1">
      <alignment horizontal="left" indent="1" vertical="center"/>
    </xf>
    <xf fontId="73" fillId="37" borderId="15" numFmtId="0" xfId="0" applyNumberFormat="1" applyFont="1" applyFill="1" applyBorder="1">
      <alignment horizontal="left" vertical="center"/>
    </xf>
    <xf fontId="73" fillId="37" borderId="13" numFmtId="0" xfId="0" applyNumberFormat="1" applyFont="1" applyFill="1" applyBorder="1">
      <alignment horizontal="left" vertical="center"/>
    </xf>
    <xf fontId="48" fillId="35" borderId="0" numFmtId="0" xfId="0" applyNumberFormat="1" applyFont="1" applyFill="1"/>
    <xf fontId="48" fillId="35" borderId="12" numFmtId="49" xfId="0" applyNumberFormat="1" applyFont="1" applyFill="1" applyBorder="1">
      <alignment horizontal="center" vertical="center"/>
    </xf>
    <xf fontId="48" fillId="35" borderId="12" numFmtId="0" xfId="0" applyNumberFormat="1" applyFont="1" applyFill="1" applyBorder="1">
      <alignment vertical="center" wrapText="1"/>
    </xf>
    <xf fontId="48" fillId="0" borderId="12" numFmtId="0" xfId="0" applyNumberFormat="1" applyFont="1" applyBorder="1">
      <alignment horizontal="center" vertical="center" wrapText="1"/>
    </xf>
    <xf fontId="48" fillId="35" borderId="12" numFmtId="0" xfId="0" applyNumberFormat="1" applyFont="1" applyFill="1" applyBorder="1">
      <alignment horizontal="left" indent="1" vertical="center" wrapText="1"/>
    </xf>
    <xf fontId="48" fillId="35" borderId="12" numFmtId="0" xfId="0" applyNumberFormat="1" applyFont="1" applyFill="1" applyBorder="1">
      <alignment horizontal="left" indent="2" vertical="center" wrapText="1"/>
    </xf>
    <xf fontId="48" fillId="0" borderId="12" numFmtId="49" xfId="0" applyNumberFormat="1" applyFont="1" applyBorder="1">
      <alignment horizontal="left" vertical="center" wrapText="1"/>
    </xf>
    <xf fontId="48" fillId="0" borderId="12" numFmtId="49" xfId="0" applyNumberFormat="1" applyFont="1" applyBorder="1">
      <alignment horizontal="left" vertical="center" wrapText="1"/>
    </xf>
    <xf fontId="0" fillId="35" borderId="12" numFmtId="0" xfId="0" applyNumberFormat="1" applyFont="1" applyFill="1" applyBorder="1">
      <alignment horizontal="left" vertical="center" wrapText="1"/>
    </xf>
    <xf fontId="0" fillId="36" borderId="12" numFmtId="49" xfId="0" applyNumberFormat="1" applyFont="1" applyFill="1" applyBorder="1">
      <alignment horizontal="left" vertical="center" wrapText="1"/>
      <protection locked="0"/>
    </xf>
    <xf fontId="0" fillId="35" borderId="17" numFmtId="0" xfId="0" applyNumberFormat="1" applyFont="1" applyFill="1" applyBorder="1">
      <alignment horizontal="left" vertical="center" wrapText="1"/>
    </xf>
    <xf fontId="22" fillId="35" borderId="17" numFmtId="0" xfId="0" applyNumberFormat="1" applyFont="1" applyFill="1" applyBorder="1">
      <alignment horizontal="left" vertical="top" wrapText="1"/>
    </xf>
    <xf fontId="0" fillId="0" borderId="12" numFmtId="49" xfId="0" applyNumberFormat="1" applyFont="1" applyBorder="1">
      <alignment horizontal="left" indent="1" vertical="center" wrapText="1"/>
    </xf>
    <xf fontId="22" fillId="35" borderId="36" numFmtId="0" xfId="0" applyNumberFormat="1" applyFont="1" applyFill="1" applyBorder="1">
      <alignment horizontal="left" vertical="top" wrapText="1"/>
    </xf>
    <xf fontId="37" fillId="35" borderId="0" numFmtId="0" xfId="0" applyNumberFormat="1" applyFont="1" applyFill="1">
      <alignment horizontal="center" vertical="center" wrapText="1"/>
    </xf>
    <xf fontId="0" fillId="39" borderId="12" numFmtId="49"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35" borderId="23" numFmtId="0" xfId="0" applyNumberFormat="1" applyFont="1" applyFill="1" applyBorder="1">
      <alignment horizontal="left" vertical="top" wrapText="1"/>
    </xf>
    <xf fontId="52" fillId="35" borderId="0" numFmtId="0" xfId="0" applyNumberFormat="1" applyFont="1" applyFill="1"/>
    <xf fontId="22" fillId="39" borderId="12" numFmtId="49" xfId="0" applyNumberFormat="1" applyFont="1" applyFill="1" applyBorder="1" quotePrefix="1">
      <alignment horizontal="left" vertical="center" wrapText="1"/>
      <protection locked="0"/>
    </xf>
    <xf fontId="22" fillId="36"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22" fillId="40" borderId="12" numFmtId="49" xfId="0" applyNumberFormat="1" applyFont="1" applyFill="1" applyBorder="1">
      <alignment horizontal="left" vertical="center" wrapText="1"/>
    </xf>
    <xf fontId="0" fillId="35" borderId="14" numFmtId="0" xfId="0" applyNumberFormat="1" applyFont="1" applyFill="1" applyBorder="1">
      <alignment horizontal="left" indent="1" vertical="center" wrapText="1"/>
    </xf>
    <xf fontId="22" fillId="40" borderId="14" numFmtId="49" xfId="0" applyNumberFormat="1" applyFont="1" applyFill="1" applyBorder="1">
      <alignment horizontal="left" vertical="center" wrapText="1"/>
    </xf>
    <xf fontId="0" fillId="35" borderId="12" numFmtId="0" xfId="0" applyNumberFormat="1" applyFont="1" applyFill="1" applyBorder="1">
      <alignment vertical="top" wrapText="1"/>
    </xf>
    <xf fontId="22" fillId="35" borderId="0" numFmtId="49" xfId="0" applyNumberFormat="1" applyFont="1" applyFill="1">
      <alignment horizontal="center" vertical="center" wrapText="1"/>
    </xf>
    <xf fontId="0" fillId="35" borderId="14" numFmtId="0" xfId="0" applyNumberFormat="1" applyFont="1" applyFill="1" applyBorder="1">
      <alignment horizontal="left" vertical="center" wrapText="1"/>
    </xf>
    <xf fontId="0" fillId="35" borderId="23" numFmtId="0" xfId="0" applyNumberFormat="1" applyFont="1" applyFill="1" applyBorder="1">
      <alignment vertical="center" wrapText="1"/>
    </xf>
    <xf fontId="76" fillId="35" borderId="0" numFmtId="0" xfId="0" applyNumberFormat="1" applyFont="1" applyFill="1"/>
    <xf fontId="22" fillId="0" borderId="0" numFmtId="0" xfId="0" applyNumberFormat="1" applyFont="1">
      <alignment vertical="top" wrapText="1"/>
    </xf>
    <xf fontId="48" fillId="0" borderId="0" numFmtId="0" xfId="0" applyNumberFormat="1" applyFont="1">
      <alignment vertical="center" wrapText="1"/>
    </xf>
    <xf fontId="45" fillId="0" borderId="0" numFmtId="0" xfId="0" applyNumberFormat="1" applyFont="1">
      <alignment horizontal="right" vertical="top" wrapText="1"/>
    </xf>
    <xf fontId="45" fillId="0" borderId="0" numFmtId="0" xfId="0" applyNumberFormat="1" applyFont="1">
      <alignment horizontal="left" indent="1" vertical="top" wrapText="1"/>
    </xf>
    <xf fontId="45" fillId="0" borderId="0" numFmtId="0" xfId="0" applyNumberFormat="1" applyFont="1">
      <alignment vertical="center" wrapText="1"/>
    </xf>
    <xf fontId="76" fillId="35" borderId="0" numFmtId="0" xfId="0" applyNumberFormat="1" applyFont="1" applyFill="1"/>
    <xf fontId="75" fillId="35" borderId="0" numFmtId="0" xfId="0" applyNumberFormat="1" applyFont="1" applyFill="1">
      <alignment horizontal="center"/>
    </xf>
    <xf fontId="75" fillId="35" borderId="0" numFmtId="0" xfId="0" applyNumberFormat="1" applyFont="1" applyFill="1"/>
    <xf fontId="77" fillId="35" borderId="0" numFmtId="0" xfId="0" applyNumberFormat="1" applyFont="1" applyFill="1">
      <alignment horizontal="right" vertical="center"/>
    </xf>
    <xf fontId="78" fillId="35" borderId="0" numFmtId="0" xfId="0" applyNumberFormat="1" applyFont="1" applyFill="1">
      <alignment vertical="center"/>
    </xf>
    <xf fontId="77" fillId="35" borderId="0" numFmtId="0" xfId="0" applyNumberFormat="1" applyFont="1" applyFill="1">
      <alignment horizontal="right" vertical="top"/>
    </xf>
    <xf fontId="78" fillId="35" borderId="0" numFmtId="0" xfId="0" applyNumberFormat="1" applyFont="1" applyFill="1">
      <alignment vertical="center" wrapText="1"/>
    </xf>
    <xf fontId="0" fillId="35" borderId="0" numFmtId="0" xfId="0" applyNumberFormat="1" applyFont="1" applyFill="1">
      <alignment horizontal="center"/>
    </xf>
    <xf fontId="22" fillId="35" borderId="0" numFmtId="0" xfId="0" applyNumberFormat="1" applyFont="1" applyFill="1"/>
    <xf fontId="0" fillId="35" borderId="0" numFmtId="0" xfId="0" applyNumberFormat="1" applyFont="1" applyFill="1"/>
    <xf fontId="0" fillId="35" borderId="0" numFmtId="0" xfId="0" applyNumberFormat="1" applyFont="1" applyFill="1">
      <alignment horizontal="center"/>
    </xf>
    <xf fontId="47" fillId="0" borderId="0" numFmtId="0" xfId="0" applyNumberFormat="1" applyFont="1">
      <alignment horizontal="center" vertical="center" wrapText="1"/>
    </xf>
    <xf fontId="22" fillId="0" borderId="0" numFmtId="0" xfId="0" applyNumberFormat="1" applyFont="1">
      <alignment vertical="center" wrapText="1"/>
    </xf>
    <xf fontId="88" fillId="0" borderId="0" numFmtId="0" xfId="0" applyNumberFormat="1" applyFont="1">
      <alignment vertical="center" wrapText="1"/>
    </xf>
    <xf fontId="88" fillId="35" borderId="0" numFmtId="0" xfId="0" applyNumberFormat="1" applyFont="1" applyFill="1">
      <alignment horizontal="center" vertical="center" wrapText="1"/>
    </xf>
    <xf fontId="88" fillId="35" borderId="0" numFmtId="0" xfId="0" applyNumberFormat="1" applyFont="1" applyFill="1">
      <alignment horizontal="righ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46" fillId="0" borderId="0" numFmtId="0" xfId="0" applyNumberFormat="1" applyFont="1">
      <alignment horizontal="left" indent="3" vertical="center" wrapText="1"/>
    </xf>
    <xf fontId="64" fillId="0" borderId="0" numFmtId="0" xfId="0" applyNumberFormat="1" applyFont="1">
      <alignment horizontal="center" vertical="center" wrapText="1"/>
    </xf>
    <xf fontId="64" fillId="0" borderId="0" numFmtId="0" xfId="0" applyNumberFormat="1" applyFont="1">
      <alignment vertical="center" wrapText="1"/>
    </xf>
    <xf fontId="32" fillId="0" borderId="0" numFmtId="0" xfId="0" applyNumberFormat="1" applyFont="1">
      <alignment vertical="center" wrapText="1"/>
    </xf>
    <xf fontId="37" fillId="35" borderId="0" numFmtId="0" xfId="0" applyNumberFormat="1" applyFont="1" applyFill="1">
      <alignment horizontal="center"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58" fillId="0" borderId="0" numFmtId="0" xfId="0" applyNumberFormat="1" applyFont="1">
      <alignment vertical="center" wrapText="1"/>
    </xf>
    <xf fontId="79" fillId="35" borderId="0" numFmtId="0" xfId="0" applyNumberFormat="1" applyFont="1" applyFill="1">
      <alignment horizontal="center" vertical="center" wrapText="1"/>
    </xf>
    <xf fontId="60" fillId="0" borderId="0" numFmtId="0" xfId="0" applyNumberFormat="1" applyFont="1">
      <alignment horizontal="left" indent="1" vertical="center" wrapText="1"/>
    </xf>
    <xf fontId="22" fillId="0" borderId="0" numFmtId="0" xfId="0" applyNumberFormat="1" applyFont="1">
      <alignment horizontal="right" vertical="center"/>
    </xf>
    <xf fontId="48" fillId="0" borderId="0" numFmtId="0" xfId="0" applyNumberFormat="1" applyFont="1">
      <alignment vertical="center" wrapText="1"/>
    </xf>
    <xf fontId="60" fillId="0" borderId="0" numFmtId="0" xfId="0" applyNumberFormat="1" applyFont="1">
      <alignment vertical="center" wrapText="1"/>
    </xf>
    <xf fontId="0" fillId="0" borderId="14" numFmtId="0" xfId="0" applyNumberFormat="1" applyFont="1" applyBorder="1">
      <alignment horizontal="center" vertical="center" wrapText="1"/>
    </xf>
    <xf fontId="0" fillId="0" borderId="15" numFmtId="0" xfId="0" applyNumberFormat="1" applyFont="1" applyBorder="1">
      <alignment horizontal="center" vertical="center" wrapText="1"/>
    </xf>
    <xf fontId="0" fillId="0" borderId="1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9"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23" numFmtId="0" xfId="0" applyNumberFormat="1" applyFont="1" applyBorder="1">
      <alignment horizontal="center" vertical="center" wrapText="1"/>
    </xf>
    <xf fontId="36" fillId="35" borderId="0" numFmtId="0" xfId="0" applyNumberFormat="1" applyFont="1" applyFill="1">
      <alignment horizontal="center" vertical="center" wrapText="1"/>
    </xf>
    <xf fontId="36" fillId="35" borderId="0" numFmtId="49" xfId="0" applyNumberFormat="1" applyFont="1" applyFill="1">
      <alignment horizontal="center" vertical="center" wrapText="1"/>
    </xf>
    <xf fontId="72" fillId="0" borderId="0" numFmtId="0" xfId="0" applyNumberFormat="1" applyFont="1">
      <alignment vertical="center" wrapText="1"/>
    </xf>
    <xf fontId="80" fillId="35" borderId="0" numFmtId="0" xfId="0" applyNumberFormat="1" applyFont="1" applyFill="1">
      <alignment horizontal="center" vertical="center" wrapText="1"/>
    </xf>
    <xf fontId="72" fillId="0" borderId="17" numFmtId="49" xfId="0" applyNumberFormat="1" applyFont="1" applyBorder="1">
      <alignment horizontal="left" vertical="center" wrapText="1"/>
    </xf>
    <xf fontId="72" fillId="0" borderId="12" numFmtId="49" xfId="0" applyNumberFormat="1" applyFont="1" applyBorder="1">
      <alignment horizontal="left" vertical="center" wrapText="1"/>
    </xf>
    <xf fontId="0" fillId="0" borderId="12" numFmtId="49" xfId="0" applyNumberFormat="1" applyFont="1" applyBorder="1">
      <alignment vertical="top" wrapText="1"/>
    </xf>
    <xf fontId="0" fillId="0" borderId="12" numFmtId="49" xfId="0" applyNumberFormat="1" applyFont="1" applyBorder="1">
      <alignment horizontal="center" vertical="center" wrapText="1"/>
    </xf>
    <xf fontId="0" fillId="36" borderId="12" numFmtId="49" xfId="0" applyNumberFormat="1" applyFont="1" applyFill="1" applyBorder="1">
      <alignment horizontal="left" vertical="center" wrapText="1"/>
      <protection locked="0"/>
    </xf>
    <xf fontId="22" fillId="40" borderId="14" numFmtId="0" xfId="0" applyNumberFormat="1" applyFont="1" applyFill="1" applyBorder="1">
      <alignment horizontal="left" vertical="center" wrapText="1"/>
    </xf>
    <xf fontId="36" fillId="35" borderId="12" numFmtId="49" xfId="0" applyNumberFormat="1" applyFont="1" applyFill="1" applyBorder="1">
      <alignment horizontal="center" vertical="center" wrapText="1"/>
    </xf>
    <xf fontId="0" fillId="39" borderId="12" numFmtId="4" xfId="0" applyNumberFormat="1" applyFont="1" applyFill="1" applyBorder="1">
      <alignment horizontal="right" vertical="center" wrapText="1"/>
      <protection locked="0"/>
    </xf>
    <xf fontId="0" fillId="39" borderId="12" numFmtId="3" xfId="0" applyNumberFormat="1" applyFont="1" applyFill="1" applyBorder="1">
      <alignment horizontal="right" vertical="center" wrapText="1"/>
      <protection locked="0"/>
    </xf>
    <xf fontId="0" fillId="39" borderId="13" numFmtId="4" xfId="0" applyNumberFormat="1" applyFont="1" applyFill="1" applyBorder="1">
      <alignment horizontal="right" vertical="center" wrapText="1"/>
      <protection locked="0"/>
    </xf>
    <xf fontId="0" fillId="36" borderId="12" numFmtId="0" xfId="0" applyNumberFormat="1" applyFont="1" applyFill="1" applyBorder="1">
      <alignment horizontal="right" vertical="center" wrapText="1"/>
      <protection locked="0"/>
    </xf>
    <xf fontId="0" fillId="0" borderId="13" numFmtId="3" xfId="0" applyNumberFormat="1" applyFont="1" applyBorder="1">
      <alignment horizontal="right" vertical="center" wrapText="1"/>
    </xf>
    <xf fontId="0" fillId="0" borderId="17" numFmtId="0" xfId="0" applyNumberFormat="1" applyFont="1" applyBorder="1">
      <alignment horizontal="left" vertical="top" wrapText="1"/>
    </xf>
    <xf fontId="50" fillId="37" borderId="14" numFmtId="49" xfId="0" applyNumberFormat="1" applyFont="1" applyFill="1" applyBorder="1">
      <alignment horizontal="center" vertical="center"/>
    </xf>
    <xf fontId="40" fillId="37" borderId="15" numFmtId="0" xfId="0" applyNumberFormat="1" applyFont="1" applyFill="1" applyBorder="1">
      <alignment vertical="center"/>
    </xf>
    <xf fontId="40" fillId="37" borderId="15" numFmtId="49" xfId="0" applyNumberFormat="1" applyFont="1" applyFill="1" applyBorder="1">
      <alignment vertical="center"/>
    </xf>
    <xf fontId="73" fillId="37" borderId="15" numFmtId="49" xfId="0" applyNumberFormat="1" applyFont="1" applyFill="1" applyBorder="1">
      <alignment vertical="center"/>
    </xf>
    <xf fontId="73" fillId="37" borderId="13" numFmtId="49" xfId="0" applyNumberFormat="1" applyFont="1" applyFill="1" applyBorder="1">
      <alignment vertical="center"/>
    </xf>
    <xf fontId="0" fillId="0" borderId="23" numFmtId="0" xfId="0" applyNumberFormat="1" applyFont="1" applyBorder="1">
      <alignment horizontal="left" vertical="top" wrapText="1"/>
    </xf>
    <xf fontId="32" fillId="0" borderId="0" numFmtId="0" xfId="0" applyNumberFormat="1" applyFont="1">
      <alignment vertical="center" wrapText="1"/>
    </xf>
    <xf fontId="37" fillId="0" borderId="0" numFmtId="0" xfId="0" applyNumberFormat="1" applyFont="1">
      <alignment horizontal="center" vertical="center" wrapText="1"/>
    </xf>
    <xf fontId="22" fillId="0" borderId="0" numFmtId="0" xfId="0" applyNumberFormat="1" applyFont="1">
      <alignment vertical="center" wrapText="1"/>
    </xf>
    <xf fontId="42" fillId="0" borderId="0" numFmtId="0" xfId="0" applyNumberFormat="1" applyFont="1">
      <alignment vertical="center" wrapText="1"/>
    </xf>
    <xf fontId="22" fillId="0" borderId="0" numFmtId="0" xfId="0" applyNumberFormat="1" applyFont="1">
      <alignment vertical="center" wrapText="1"/>
    </xf>
    <xf fontId="37" fillId="35" borderId="0" numFmtId="0" xfId="0" applyNumberFormat="1" applyFont="1" applyFill="1">
      <alignment horizontal="center" vertical="center" wrapText="1"/>
    </xf>
    <xf fontId="0" fillId="0" borderId="37" numFmtId="49" xfId="0" applyNumberFormat="1" applyFont="1" applyBorder="1">
      <alignment horizontal="center" vertical="center" wrapText="1"/>
    </xf>
    <xf fontId="22" fillId="40" borderId="19" numFmtId="0" xfId="0" applyNumberFormat="1" applyFont="1" applyFill="1" applyBorder="1">
      <alignment horizontal="left"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39" borderId="12" numFmtId="3" xfId="0" applyNumberFormat="1" applyFont="1" applyFill="1" applyBorder="1">
      <alignment horizontal="right" vertical="center" wrapText="1"/>
      <protection locked="0"/>
    </xf>
    <xf fontId="48" fillId="0" borderId="0" numFmtId="0" xfId="0" applyNumberFormat="1" applyFont="1">
      <alignment vertical="center" wrapText="1"/>
    </xf>
    <xf fontId="48" fillId="0" borderId="0" numFmtId="0" xfId="0" applyNumberFormat="1" applyFont="1">
      <alignment vertical="center"/>
    </xf>
    <xf fontId="22" fillId="0" borderId="0" numFmtId="0" xfId="0" applyNumberFormat="1" applyFont="1">
      <alignment vertical="center" wrapText="1"/>
    </xf>
    <xf fontId="0" fillId="0" borderId="30" numFmtId="49" xfId="0" applyNumberFormat="1" applyFont="1" applyBorder="1">
      <alignment horizontal="center" vertical="center" wrapText="1"/>
    </xf>
    <xf fontId="22" fillId="40" borderId="27" numFmtId="0" xfId="0" applyNumberFormat="1" applyFont="1" applyFill="1" applyBorder="1">
      <alignment horizontal="left" vertical="center" wrapText="1"/>
    </xf>
    <xf fontId="48" fillId="0" borderId="0" numFmtId="0" xfId="0" applyNumberFormat="1" applyFont="1">
      <alignment vertical="center" wrapText="1"/>
    </xf>
    <xf fontId="88" fillId="0" borderId="0" numFmtId="0" xfId="0" applyNumberFormat="1" applyFont="1">
      <alignment vertical="center" wrapText="1"/>
    </xf>
    <xf fontId="37" fillId="35" borderId="0" numFmtId="0" xfId="0" applyNumberFormat="1" applyFont="1" applyFill="1">
      <alignment horizontal="center" vertical="center" wrapText="1"/>
    </xf>
    <xf fontId="22" fillId="0" borderId="19" numFmtId="0" xfId="0" applyNumberFormat="1" applyFont="1" applyBorder="1">
      <alignment horizontal="left" indent="1" vertical="top" wrapText="1"/>
    </xf>
    <xf fontId="64" fillId="0" borderId="0" numFmtId="0" xfId="0" applyNumberFormat="1" applyFont="1">
      <alignment vertical="center" wrapText="1"/>
    </xf>
    <xf fontId="58" fillId="0" borderId="0" numFmtId="0" xfId="0" applyNumberFormat="1" applyFont="1">
      <alignment vertical="center" wrapText="1"/>
    </xf>
    <xf fontId="60" fillId="0" borderId="0" numFmtId="0" xfId="0" applyNumberFormat="1" applyFont="1">
      <alignment vertical="center" wrapText="1"/>
    </xf>
    <xf fontId="22" fillId="0" borderId="23" numFmtId="0" xfId="0" applyNumberFormat="1" applyFont="1" applyBorder="1">
      <alignment horizontal="center" vertical="center" wrapText="1"/>
    </xf>
    <xf fontId="37" fillId="35" borderId="12" numFmtId="0" xfId="0" applyNumberFormat="1" applyFont="1" applyFill="1" applyBorder="1">
      <alignment horizontal="center" vertical="center" wrapText="1"/>
    </xf>
    <xf fontId="22" fillId="0" borderId="12" numFmtId="49" xfId="0" applyNumberFormat="1" applyFont="1" applyBorder="1">
      <alignment horizontal="center" vertical="center" wrapText="1"/>
    </xf>
    <xf fontId="32" fillId="0" borderId="0" numFmtId="0" xfId="0" applyNumberFormat="1" applyFont="1">
      <alignment vertical="center" wrapText="1"/>
    </xf>
    <xf fontId="60" fillId="35" borderId="0" numFmtId="0" xfId="0" applyNumberFormat="1" applyFont="1" applyFill="1">
      <alignment vertical="center" wrapText="1"/>
    </xf>
    <xf fontId="60" fillId="35" borderId="0" numFmtId="0" xfId="0" applyNumberFormat="1" applyFont="1" applyFill="1">
      <alignment horizontal="right" vertical="center"/>
    </xf>
    <xf fontId="60" fillId="35" borderId="0" numFmtId="0" xfId="0" applyNumberFormat="1" applyFont="1" applyFill="1">
      <alignment horizontal="right" vertical="center" wrapText="1"/>
    </xf>
    <xf fontId="22" fillId="0" borderId="20" numFmtId="0" xfId="0" applyNumberFormat="1" applyFont="1" applyBorder="1">
      <alignment horizontal="left" indent="1" vertical="center" wrapText="1"/>
    </xf>
    <xf fontId="22" fillId="0" borderId="17" numFmtId="0" xfId="0" applyNumberFormat="1" applyFont="1" applyBorder="1">
      <alignment horizontal="left" indent="1" vertical="center" wrapText="1"/>
    </xf>
    <xf fontId="22" fillId="0" borderId="37" numFmtId="0" xfId="0" applyNumberFormat="1" applyFont="1" applyBorder="1">
      <alignment horizontal="left" indent="1" vertical="center" wrapText="1"/>
    </xf>
    <xf fontId="46" fillId="0" borderId="0" numFmtId="0" xfId="0" applyNumberFormat="1" applyFont="1">
      <alignment horizontal="center" vertical="center" wrapText="1"/>
    </xf>
    <xf fontId="60" fillId="0" borderId="0" numFmtId="4" xfId="0" applyNumberFormat="1" applyFont="1">
      <alignment horizontal="right" vertical="center" wrapText="1"/>
    </xf>
    <xf fontId="22" fillId="35" borderId="12"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36" fillId="35" borderId="15" numFmtId="49" xfId="0" applyNumberFormat="1" applyFont="1" applyFill="1" applyBorder="1">
      <alignment horizontal="center" vertical="center" wrapText="1"/>
    </xf>
    <xf fontId="36" fillId="35" borderId="15" numFmtId="49" xfId="0" applyNumberFormat="1" applyFont="1" applyFill="1" applyBorder="1">
      <alignment horizontal="center" vertical="center" wrapText="1"/>
    </xf>
    <xf fontId="37" fillId="35" borderId="0" numFmtId="0" xfId="0" applyNumberFormat="1" applyFont="1" applyFill="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top"/>
    </xf>
    <xf fontId="37" fillId="35" borderId="24" numFmtId="0" xfId="0" applyNumberFormat="1" applyFont="1" applyFill="1" applyBorder="1">
      <alignment vertical="top" wrapText="1"/>
    </xf>
    <xf fontId="22" fillId="37" borderId="15" numFmtId="14"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81" fillId="37" borderId="15" numFmtId="14" xfId="0" applyNumberFormat="1" applyFont="1" applyFill="1" applyBorder="1">
      <alignment horizontal="center" vertical="center" wrapText="1"/>
    </xf>
    <xf fontId="53" fillId="37" borderId="13" numFmtId="49" xfId="0" applyNumberFormat="1" applyFont="1" applyFill="1" applyBorder="1">
      <alignment horizontal="left" vertical="center" wrapText="1"/>
    </xf>
    <xf fontId="0" fillId="0" borderId="36" numFmtId="0" xfId="0" applyNumberFormat="1" applyFont="1" applyBorder="1">
      <alignment horizontal="left" vertical="top" wrapText="1"/>
    </xf>
    <xf fontId="48" fillId="0" borderId="0" numFmtId="0" xfId="0" applyNumberFormat="1" applyFont="1">
      <alignment horizontal="left" vertical="center" wrapText="1"/>
    </xf>
    <xf fontId="48" fillId="0" borderId="0" numFmtId="49" xfId="0" applyNumberFormat="1" applyFont="1">
      <alignment horizontal="left" vertical="center" wrapText="1"/>
    </xf>
    <xf fontId="37" fillId="35" borderId="0" numFmtId="0" xfId="0" applyNumberFormat="1" applyFont="1" applyFill="1">
      <alignment vertical="top" wrapText="1"/>
    </xf>
    <xf fontId="48" fillId="35" borderId="23" numFmtId="0" xfId="0" applyNumberFormat="1" applyFont="1" applyFill="1" applyBorder="1">
      <alignment horizontal="center" vertical="center" wrapText="1"/>
    </xf>
    <xf fontId="22" fillId="40" borderId="23" numFmtId="14" xfId="0" applyNumberFormat="1" applyFont="1" applyFill="1" applyBorder="1">
      <alignment horizontal="left" vertical="center" wrapText="1"/>
    </xf>
    <xf fontId="22" fillId="40" borderId="12" numFmtId="14" xfId="0" applyNumberFormat="1" applyFont="1" applyFill="1" applyBorder="1">
      <alignment horizontal="center" vertical="center" wrapText="1"/>
    </xf>
    <xf fontId="53" fillId="39" borderId="12" numFmtId="49" xfId="0" applyNumberFormat="1" applyFont="1" applyFill="1" applyBorder="1">
      <alignment horizontal="left" vertical="center" wrapText="1"/>
      <protection locked="0"/>
    </xf>
    <xf fontId="50" fillId="37" borderId="15" numFmtId="49" xfId="0" applyNumberFormat="1" applyFont="1" applyFill="1" applyBorder="1">
      <alignment horizontal="center" vertical="center"/>
    </xf>
    <xf fontId="73" fillId="37" borderId="15" numFmtId="49" xfId="0" applyNumberFormat="1" applyFont="1" applyFill="1" applyBorder="1">
      <alignment horizontal="left" indent="1" vertical="center"/>
    </xf>
    <xf fontId="73" fillId="37" borderId="13" numFmtId="49" xfId="0" applyNumberFormat="1" applyFont="1" applyFill="1" applyBorder="1">
      <alignment horizontal="left" indent="1" vertical="center"/>
    </xf>
    <xf fontId="79" fillId="0" borderId="0" numFmtId="0" xfId="0" applyNumberFormat="1" applyFont="1">
      <alignment horizontal="center" vertical="center" wrapText="1"/>
    </xf>
    <xf fontId="45" fillId="0" borderId="0" numFmtId="0" xfId="0" applyNumberFormat="1" applyFont="1">
      <alignment vertical="top" wrapText="1"/>
    </xf>
    <xf fontId="22" fillId="0" borderId="0" numFmtId="0" xfId="0" applyNumberFormat="1" applyFont="1">
      <alignment horizontal="right" vertical="top" wrapText="1"/>
    </xf>
    <xf fontId="45" fillId="0" borderId="0" numFmtId="0" xfId="0" applyNumberFormat="1" applyFont="1">
      <alignment vertical="top"/>
    </xf>
    <xf fontId="22" fillId="0" borderId="0" numFmtId="0" xfId="0" applyNumberFormat="1" applyFont="1">
      <alignment vertical="center" wrapText="1"/>
    </xf>
    <xf fontId="22" fillId="0" borderId="0" numFmtId="0" xfId="0" applyNumberFormat="1" applyFont="1">
      <alignment vertical="center" wrapText="1"/>
    </xf>
    <xf fontId="47" fillId="0" borderId="0" numFmtId="0" xfId="0" applyNumberFormat="1" applyFont="1">
      <alignment horizontal="left" indent="1" vertical="center"/>
    </xf>
    <xf fontId="47" fillId="0" borderId="12" numFmtId="0" xfId="0" applyNumberFormat="1" applyFont="1" applyBorder="1">
      <alignment horizontal="center" vertical="center"/>
    </xf>
    <xf fontId="47" fillId="0" borderId="0" numFmtId="0" xfId="0" applyNumberFormat="1" applyFont="1">
      <alignment horizontal="center" vertical="center"/>
    </xf>
    <xf fontId="47" fillId="0" borderId="0" numFmtId="0" xfId="0" applyNumberFormat="1" applyFont="1">
      <alignment horizontal="left" vertical="center" wrapText="1"/>
    </xf>
    <xf fontId="22" fillId="0" borderId="0" numFmtId="49" xfId="0" applyNumberFormat="1" applyFont="1">
      <alignment vertical="center" wrapText="1"/>
    </xf>
    <xf fontId="22" fillId="0" borderId="0" numFmtId="49" xfId="0" applyNumberFormat="1" applyFont="1">
      <alignment vertical="top"/>
    </xf>
    <xf fontId="22" fillId="0" borderId="24" numFmtId="49" xfId="0" applyNumberFormat="1" applyFont="1" applyBorder="1">
      <alignment vertical="top"/>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2" numFmtId="0" xfId="0" applyNumberFormat="1" applyFont="1" applyBorder="1">
      <alignment horizontal="left" indent="6"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22" fillId="34" borderId="14" numFmtId="0" xfId="0" applyNumberFormat="1" applyFont="1" applyFill="1" applyBorder="1">
      <alignment horizontal="left" vertical="center" wrapText="1"/>
    </xf>
    <xf fontId="22" fillId="34" borderId="15" numFmtId="0" xfId="0" applyNumberFormat="1" applyFont="1" applyFill="1" applyBorder="1">
      <alignment horizontal="left" vertical="center" wrapText="1"/>
    </xf>
    <xf fontId="22" fillId="34" borderId="13" numFmtId="0" xfId="0" applyNumberFormat="1" applyFont="1" applyFill="1" applyBorder="1">
      <alignment horizontal="left" vertical="center" wrapText="1"/>
    </xf>
    <xf fontId="45" fillId="0" borderId="12" numFmtId="0" xfId="0" applyNumberFormat="1" applyFont="1" applyBorder="1">
      <alignment vertical="top" wrapText="1"/>
    </xf>
    <xf fontId="47" fillId="0" borderId="14" numFmtId="0" xfId="0" applyNumberFormat="1" applyFont="1" applyBorder="1">
      <alignment horizontal="center" vertical="center"/>
    </xf>
    <xf fontId="22" fillId="0" borderId="0" numFmtId="0" xfId="0" applyNumberFormat="1" applyFont="1">
      <alignment horizontal="center" vertical="center" wrapText="1"/>
    </xf>
    <xf fontId="42" fillId="35" borderId="0" numFmtId="0" xfId="0" applyNumberFormat="1" applyFont="1" applyFill="1">
      <alignment horizontal="center" vertical="center" wrapText="1"/>
    </xf>
    <xf fontId="22" fillId="0" borderId="24" numFmtId="0" xfId="0" applyNumberFormat="1" applyFont="1" applyBorder="1">
      <alignment vertical="center" wrapText="1"/>
    </xf>
    <xf fontId="22" fillId="35" borderId="12" numFmtId="0" xfId="0" applyNumberFormat="1" applyFont="1" applyFill="1" applyBorder="1">
      <alignment horizontal="left" indent="1" vertical="center" wrapText="1"/>
    </xf>
    <xf fontId="37" fillId="0" borderId="0" numFmtId="0" xfId="0" applyNumberFormat="1" applyFont="1">
      <alignment vertical="center" wrapText="1"/>
    </xf>
    <xf fontId="22" fillId="35" borderId="12" numFmtId="0" xfId="0" applyNumberFormat="1" applyFont="1" applyFill="1" applyBorder="1">
      <alignment horizontal="left" indent="2" vertical="center" wrapText="1"/>
    </xf>
    <xf fontId="22" fillId="35" borderId="12" numFmtId="0" xfId="0" applyNumberFormat="1" applyFont="1" applyFill="1" applyBorder="1">
      <alignment horizontal="left" indent="3" vertical="center" wrapText="1"/>
    </xf>
    <xf fontId="47" fillId="0" borderId="12" numFmtId="0" xfId="0" applyNumberFormat="1" applyFont="1" applyBorder="1">
      <alignment horizontal="center" vertical="center" wrapText="1"/>
    </xf>
    <xf fontId="47"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24" numFmtId="0" xfId="0" applyNumberFormat="1" applyFont="1" applyBorder="1">
      <alignment horizontal="center" vertical="center" wrapText="1"/>
    </xf>
    <xf fontId="22" fillId="35" borderId="12" numFmtId="0" xfId="0" applyNumberFormat="1" applyFont="1" applyFill="1" applyBorder="1">
      <alignment horizontal="left" indent="4"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22" fillId="40" borderId="14" numFmtId="0" xfId="0" applyNumberFormat="1" applyFont="1" applyFill="1" applyBorder="1">
      <alignment horizontal="left" vertical="center" wrapText="1"/>
    </xf>
    <xf fontId="22" fillId="40" borderId="15" numFmtId="0" xfId="0" applyNumberFormat="1" applyFont="1" applyFill="1" applyBorder="1">
      <alignment horizontal="left" vertical="center" wrapText="1"/>
    </xf>
    <xf fontId="22" fillId="40" borderId="13" numFmtId="0" xfId="0" applyNumberFormat="1" applyFont="1" applyFill="1" applyBorder="1">
      <alignment horizontal="left" vertical="center" wrapText="1"/>
    </xf>
    <xf fontId="47" fillId="0" borderId="14" numFmtId="0" xfId="0" applyNumberFormat="1" applyFont="1" applyBorder="1">
      <alignment horizontal="center" vertical="center" wrapText="1"/>
    </xf>
    <xf fontId="47" fillId="0" borderId="0" numFmtId="0" xfId="0" applyNumberFormat="1" applyFont="1">
      <alignment vertical="center" wrapText="1"/>
    </xf>
    <xf fontId="48" fillId="0" borderId="24" numFmtId="0" xfId="0" applyNumberFormat="1" applyFont="1" applyBorder="1">
      <alignment vertical="center" wrapText="1"/>
    </xf>
    <xf fontId="22" fillId="35" borderId="12" numFmtId="0" xfId="0" applyNumberFormat="1" applyFont="1" applyFill="1" applyBorder="1">
      <alignment horizontal="left" indent="5" vertical="center" wrapText="1"/>
    </xf>
    <xf fontId="22" fillId="40" borderId="12" numFmtId="0" xfId="0" applyNumberFormat="1" applyFont="1" applyFill="1" applyBorder="1">
      <alignment horizontal="left" indent="6" vertical="center" wrapText="1"/>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502" xfId="0" applyNumberFormat="1" applyFont="1" applyFill="1" applyBorder="1">
      <alignment horizontal="right" vertical="center" wrapText="1"/>
      <protection locked="0"/>
    </xf>
    <xf fontId="0" fillId="39" borderId="12" numFmtId="504"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0" borderId="12" numFmtId="4" xfId="0" applyNumberFormat="1" applyFont="1" applyBorder="1">
      <alignment horizontal="right" vertical="center" wrapText="1"/>
    </xf>
    <xf fontId="22" fillId="36" borderId="12" numFmtId="502" xfId="0" applyNumberFormat="1" applyFont="1" applyFill="1" applyBorder="1">
      <alignment horizontal="right" vertical="center" wrapText="1"/>
      <protection locked="0"/>
    </xf>
    <xf fontId="0" fillId="39" borderId="12" numFmtId="504" xfId="0" applyNumberFormat="1" applyFont="1" applyFill="1" applyBorder="1">
      <alignment horizontal="center" vertical="center" wrapText="1"/>
      <protection locked="0"/>
    </xf>
    <xf fontId="45" fillId="0" borderId="17" numFmtId="0" xfId="0" applyNumberFormat="1" applyFont="1" applyBorder="1">
      <alignment horizontal="left" vertical="top" wrapText="1"/>
    </xf>
    <xf fontId="22" fillId="0" borderId="12" numFmtId="49" xfId="0" applyNumberFormat="1" applyFont="1" applyBorder="1">
      <alignment horizontal="left" vertical="center" wrapText="1"/>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8" fillId="0" borderId="12" numFmtId="4" xfId="0" applyNumberFormat="1" applyFont="1" applyBorder="1">
      <alignment horizontal="center" vertical="center" wrapText="1"/>
    </xf>
    <xf fontId="0" fillId="39" borderId="12" numFmtId="49" xfId="0" applyNumberFormat="1" applyFont="1" applyFill="1" applyBorder="1">
      <alignment horizontal="center" vertical="center" wrapText="1"/>
      <protection locked="0"/>
    </xf>
    <xf fontId="45" fillId="0" borderId="36" numFmtId="0" xfId="0" applyNumberFormat="1" applyFont="1" applyBorder="1">
      <alignment horizontal="left" vertical="top" wrapText="1"/>
    </xf>
    <xf fontId="73" fillId="37" borderId="14" numFmtId="49" xfId="0" applyNumberFormat="1" applyFont="1" applyFill="1" applyBorder="1">
      <alignment horizontal="left" vertical="center"/>
    </xf>
    <xf fontId="40" fillId="37" borderId="15" numFmtId="49" xfId="0" applyNumberFormat="1" applyFont="1" applyFill="1" applyBorder="1">
      <alignment horizontal="left" indent="6" vertical="center"/>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3" numFmtId="49" xfId="0" applyNumberFormat="1" applyFont="1" applyFill="1" applyBorder="1">
      <alignment horizontal="center" vertical="center" wrapText="1"/>
    </xf>
    <xf fontId="45" fillId="0" borderId="23" numFmtId="0" xfId="0" applyNumberFormat="1" applyFont="1" applyBorder="1">
      <alignment horizontal="left" vertical="top" wrapText="1"/>
    </xf>
    <xf fontId="40" fillId="37" borderId="15" numFmtId="49" xfId="0" applyNumberFormat="1" applyFont="1" applyFill="1" applyBorder="1">
      <alignment horizontal="left" indent="5" vertical="center"/>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0" fillId="37" borderId="13" numFmtId="49" xfId="0" applyNumberFormat="1" applyFont="1" applyFill="1" applyBorder="1">
      <alignment horizontal="center" vertical="center" wrapText="1"/>
    </xf>
    <xf fontId="39" fillId="0" borderId="0" numFmtId="49" xfId="0" applyNumberFormat="1" applyFont="1">
      <alignment vertical="top"/>
    </xf>
    <xf fontId="40" fillId="37" borderId="15" numFmtId="49" xfId="0" applyNumberFormat="1" applyFont="1" applyFill="1" applyBorder="1">
      <alignment horizontal="left" indent="4" vertical="center"/>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0" xfId="0" applyNumberFormat="1" applyFont="1">
      <alignment horizontal="left" vertical="center" wrapText="1"/>
    </xf>
    <xf fontId="48" fillId="0" borderId="0" numFmtId="49" xfId="0" applyNumberFormat="1" applyFont="1">
      <alignment vertical="top"/>
    </xf>
    <xf fontId="107" fillId="0" borderId="0" numFmtId="49" xfId="0" applyNumberFormat="1" applyFont="1">
      <alignment vertical="top"/>
    </xf>
    <xf fontId="97" fillId="0" borderId="19" numFmtId="49" xfId="0" applyNumberFormat="1" applyFont="1" applyBorder="1">
      <alignment horizontal="left" vertical="center"/>
    </xf>
    <xf fontId="48" fillId="0" borderId="19" numFmtId="49" xfId="0" applyNumberFormat="1" applyFont="1" applyBorder="1">
      <alignment horizontal="left" indent="3" vertical="center"/>
    </xf>
    <xf fontId="48" fillId="0" borderId="19" numFmtId="49" xfId="0" applyNumberFormat="1" applyFont="1" applyBorder="1">
      <alignment horizontal="center" vertical="center" wrapText="1"/>
    </xf>
    <xf fontId="48" fillId="0" borderId="19" numFmtId="49" xfId="0" applyNumberFormat="1" applyFont="1" applyBorder="1">
      <alignment horizontal="center" vertical="center" wrapText="1"/>
    </xf>
    <xf fontId="48" fillId="0" borderId="0" numFmtId="0" xfId="0" applyNumberFormat="1" applyFont="1">
      <alignment vertical="center" wrapText="1"/>
    </xf>
    <xf fontId="48" fillId="0" borderId="0" numFmtId="49" xfId="0" applyNumberFormat="1" applyFont="1">
      <alignment horizontal="left" vertical="center"/>
    </xf>
    <xf fontId="97" fillId="0" borderId="0" numFmtId="49" xfId="0" applyNumberFormat="1" applyFont="1">
      <alignment horizontal="left" vertical="center"/>
    </xf>
    <xf fontId="48" fillId="0" borderId="0" numFmtId="49" xfId="0" applyNumberFormat="1" applyFont="1">
      <alignment horizontal="left" indent="2" vertical="center"/>
    </xf>
    <xf fontId="48" fillId="0" borderId="0" numFmtId="49"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xf>
    <xf fontId="22" fillId="0" borderId="0" numFmtId="49" xfId="0" applyNumberFormat="1" applyFont="1">
      <alignment vertical="center" wrapText="1"/>
    </xf>
    <xf fontId="47" fillId="0" borderId="12" numFmtId="4" xfId="0" applyNumberFormat="1" applyFont="1" applyBorder="1">
      <alignment horizontal="right" vertical="center" wrapText="1"/>
    </xf>
    <xf fontId="47" fillId="0" borderId="12" numFmtId="502" xfId="0" applyNumberFormat="1" applyFont="1" applyBorder="1">
      <alignment horizontal="right" vertical="center" wrapText="1"/>
    </xf>
    <xf fontId="47" fillId="0" borderId="12" numFmtId="504" xfId="0" applyNumberFormat="1" applyFont="1" applyBorder="1">
      <alignment horizontal="center" vertical="center" wrapText="1"/>
    </xf>
    <xf fontId="47" fillId="0" borderId="12" numFmtId="49" xfId="0" applyNumberFormat="1" applyFont="1" applyBorder="1">
      <alignment horizontal="center"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47" fillId="0" borderId="12" numFmtId="49" xfId="0" applyNumberFormat="1" applyFont="1" applyBorder="1">
      <alignment vertical="center" wrapText="1"/>
    </xf>
    <xf fontId="69" fillId="0" borderId="0" numFmtId="0" xfId="0" applyNumberFormat="1" applyFont="1">
      <alignment vertical="center" wrapText="1"/>
    </xf>
    <xf fontId="47" fillId="0" borderId="0" numFmtId="0" xfId="0" applyNumberFormat="1" applyFont="1">
      <alignment horizontal="left" vertical="center" wrapText="1"/>
    </xf>
    <xf fontId="47" fillId="0" borderId="0" numFmtId="0" xfId="0" applyNumberFormat="1" applyFont="1">
      <alignment vertical="center" wrapText="1"/>
    </xf>
    <xf fontId="47" fillId="0" borderId="12" numFmtId="49" xfId="0" applyNumberFormat="1" applyFont="1" applyBorder="1">
      <alignment vertical="center" wrapText="1"/>
    </xf>
    <xf fontId="47" fillId="0" borderId="0" numFmtId="0" xfId="0" applyNumberFormat="1" applyFont="1">
      <alignment vertical="center" wrapText="1"/>
    </xf>
    <xf fontId="47" fillId="0" borderId="0" numFmtId="0" xfId="0" applyNumberFormat="1" applyFont="1">
      <alignment vertical="center"/>
    </xf>
    <xf fontId="39" fillId="35" borderId="0" numFmtId="0" xfId="0" applyNumberFormat="1" applyFont="1" applyFill="1">
      <alignment vertical="center" wrapText="1"/>
    </xf>
    <xf fontId="22" fillId="35" borderId="0" numFmtId="0" xfId="0" applyNumberFormat="1" applyFont="1" applyFill="1">
      <alignment horizontal="left" vertical="center" wrapText="1"/>
    </xf>
    <xf fontId="22" fillId="35" borderId="0" numFmtId="0" xfId="0" applyNumberFormat="1" applyFont="1" applyFill="1">
      <alignment vertical="center" wrapText="1"/>
    </xf>
    <xf fontId="22" fillId="0" borderId="19" numFmtId="0" xfId="0" applyNumberFormat="1" applyFont="1" applyBorder="1">
      <alignment horizontal="left" indent="1" vertical="top" wrapText="1"/>
    </xf>
    <xf fontId="46" fillId="0" borderId="0" numFmtId="0" xfId="0" applyNumberFormat="1" applyFont="1">
      <alignment vertical="center" wrapText="1"/>
    </xf>
    <xf fontId="22" fillId="0" borderId="19" numFmtId="0" xfId="0" applyNumberFormat="1" applyFont="1" applyBorder="1">
      <alignment horizontal="left" indent="1" vertical="top" wrapText="1"/>
    </xf>
    <xf fontId="22" fillId="0" borderId="27" numFmtId="0" xfId="0" applyNumberFormat="1" applyFont="1" applyBorder="1">
      <alignment horizontal="left" indent="1" vertical="center" wrapText="1"/>
    </xf>
    <xf fontId="22" fillId="0" borderId="27" numFmtId="0" xfId="0" applyNumberFormat="1" applyFont="1" applyBorder="1">
      <alignment horizontal="left" indent="1" vertical="center" wrapText="1"/>
    </xf>
    <xf fontId="50" fillId="35" borderId="0" numFmtId="0" xfId="0" applyNumberFormat="1" applyFont="1" applyFill="1">
      <alignment horizontal="center" vertical="center" wrapText="1"/>
    </xf>
    <xf fontId="50" fillId="35" borderId="0" numFmtId="0" xfId="0" applyNumberFormat="1" applyFont="1" applyFill="1">
      <alignment horizontal="center" vertical="center" wrapText="1"/>
    </xf>
    <xf fontId="47" fillId="0" borderId="0" numFmtId="0" xfId="0" applyNumberFormat="1" applyFont="1">
      <alignment vertical="center"/>
    </xf>
    <xf fontId="47" fillId="0" borderId="0" numFmtId="0" xfId="0" applyNumberFormat="1" applyFont="1">
      <alignment horizontal="center" vertical="center"/>
    </xf>
    <xf fontId="0" fillId="35" borderId="12" numFmtId="0" xfId="0" applyNumberFormat="1" applyFont="1" applyFill="1" applyBorder="1">
      <alignment horizontal="right" indent="1" vertical="center" wrapText="1"/>
    </xf>
    <xf fontId="0" fillId="0" borderId="15" numFmtId="0" xfId="0" applyNumberFormat="1" applyFont="1" applyBorder="1">
      <alignment vertical="center"/>
    </xf>
    <xf fontId="22" fillId="34" borderId="12" numFmtId="0" xfId="0" applyNumberFormat="1" applyFont="1" applyFill="1" applyBorder="1">
      <alignment horizontal="left" indent="1" vertical="center" wrapText="1"/>
    </xf>
    <xf fontId="22" fillId="0" borderId="0" numFmtId="0" xfId="0" applyNumberFormat="1" applyFont="1">
      <alignment vertical="center" wrapText="1"/>
    </xf>
    <xf fontId="22" fillId="34" borderId="12" numFmtId="0" xfId="0" applyNumberFormat="1" applyFont="1" applyFill="1" applyBorder="1">
      <alignment horizontal="left" indent="1" vertical="center" wrapText="1"/>
    </xf>
    <xf fontId="68" fillId="0" borderId="0" numFmtId="0" xfId="0" applyNumberFormat="1" applyFont="1">
      <alignment vertical="center"/>
    </xf>
    <xf fontId="48" fillId="0" borderId="0" numFmtId="0" xfId="0" applyNumberFormat="1" applyFont="1">
      <alignment vertical="center"/>
    </xf>
    <xf fontId="0" fillId="0" borderId="0" numFmtId="0" xfId="0" applyNumberFormat="1" applyFont="1">
      <alignment vertical="center"/>
    </xf>
    <xf fontId="22" fillId="34" borderId="12" numFmtId="504" xfId="0" applyNumberFormat="1" applyFont="1" applyFill="1" applyBorder="1">
      <alignment horizontal="left" indent="1" vertical="center" wrapText="1"/>
    </xf>
    <xf fontId="22" fillId="34" borderId="12" numFmtId="504" xfId="0" applyNumberFormat="1" applyFont="1" applyFill="1" applyBorder="1">
      <alignment horizontal="left" indent="1" vertical="center" wrapText="1"/>
    </xf>
    <xf fontId="22" fillId="0" borderId="0" numFmtId="49" xfId="0" applyNumberFormat="1" applyFont="1">
      <alignment vertical="center" wrapText="1"/>
    </xf>
    <xf fontId="22" fillId="0" borderId="0" numFmtId="0" xfId="0" applyNumberFormat="1" applyFont="1">
      <alignment horizontal="right" vertical="center" wrapText="1"/>
    </xf>
    <xf fontId="48" fillId="0" borderId="0" numFmtId="0" xfId="0" applyNumberFormat="1" applyFont="1">
      <alignment vertical="center" wrapText="1"/>
    </xf>
    <xf fontId="48" fillId="0" borderId="0" numFmtId="0" xfId="0" applyNumberFormat="1" applyFont="1">
      <alignment vertical="center" wrapText="1"/>
    </xf>
    <xf fontId="22" fillId="35" borderId="27" numFmtId="0" xfId="0" applyNumberFormat="1" applyFont="1" applyFill="1" applyBorder="1">
      <alignment vertical="center" wrapText="1"/>
    </xf>
    <xf fontId="37" fillId="0" borderId="27" numFmtId="0" xfId="0" applyNumberFormat="1" applyFont="1" applyBorder="1">
      <alignment horizontal="center" vertical="center" wrapText="1"/>
    </xf>
    <xf fontId="37" fillId="0" borderId="27"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12" numFmtId="0" xfId="0" applyNumberFormat="1" applyFont="1" applyFill="1" applyBorder="1">
      <alignment horizontal="left" vertical="center" wrapText="1"/>
    </xf>
    <xf fontId="22" fillId="0" borderId="17" numFmtId="0" xfId="0" applyNumberFormat="1" applyFont="1" applyBorder="1">
      <alignment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40" fillId="37" borderId="17" numFmtId="49" xfId="0" applyNumberFormat="1" applyFont="1" applyFill="1" applyBorder="1">
      <alignment horizontal="center" textRotation="90" vertical="center" wrapText="1"/>
    </xf>
    <xf fontId="22" fillId="0" borderId="36" numFmtId="0" xfId="0" applyNumberFormat="1" applyFont="1" applyBorder="1">
      <alignment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7"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47"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5" numFmtId="0" xfId="0" applyNumberFormat="1" applyFont="1" applyBorder="1">
      <alignment horizontal="center" vertical="center" wrapText="1"/>
    </xf>
    <xf fontId="22" fillId="35" borderId="36" numFmtId="0" xfId="0" applyNumberFormat="1" applyFont="1" applyFill="1" applyBorder="1">
      <alignment horizontal="center" vertical="center" wrapText="1"/>
    </xf>
    <xf fontId="40" fillId="37" borderId="36" numFmtId="49" xfId="0" applyNumberFormat="1" applyFont="1" applyFill="1" applyBorder="1">
      <alignment horizontal="center" textRotation="90" vertical="center" wrapText="1"/>
    </xf>
    <xf fontId="47" fillId="0" borderId="0" numFmtId="0" xfId="0" applyNumberFormat="1" applyFont="1">
      <alignment vertical="center"/>
    </xf>
    <xf fontId="22" fillId="0" borderId="23" numFmtId="0" xfId="0" applyNumberFormat="1" applyFont="1" applyBorder="1">
      <alignment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3" numFmtId="0" xfId="0" applyNumberFormat="1" applyFont="1" applyBorder="1">
      <alignment horizontal="center" vertical="center" wrapText="1"/>
    </xf>
    <xf fontId="22" fillId="35" borderId="23" numFmtId="0" xfId="0" applyNumberFormat="1" applyFont="1" applyFill="1" applyBorder="1">
      <alignment horizontal="center" vertical="center" wrapText="1"/>
    </xf>
    <xf fontId="40" fillId="37" borderId="23" numFmtId="49" xfId="0" applyNumberFormat="1" applyFont="1" applyFill="1" applyBorder="1">
      <alignment horizontal="center" textRotation="90" vertical="center" wrapText="1"/>
    </xf>
    <xf fontId="72" fillId="0" borderId="0" numFmtId="49" xfId="0" applyNumberFormat="1" applyFont="1">
      <alignment vertical="center" wrapText="1"/>
    </xf>
    <xf fontId="106" fillId="35" borderId="0" numFmtId="0" xfId="0" applyNumberFormat="1" applyFont="1" applyFill="1">
      <alignment vertical="center" wrapText="1"/>
    </xf>
    <xf fontId="107" fillId="35" borderId="0" numFmtId="0" xfId="0" applyNumberFormat="1" applyFont="1" applyFill="1">
      <alignment vertical="center" wrapText="1"/>
    </xf>
    <xf fontId="80" fillId="35" borderId="19" numFmtId="49" xfId="0" applyNumberFormat="1" applyFont="1" applyFill="1" applyBorder="1">
      <alignment horizontal="left" vertical="center" wrapText="1"/>
    </xf>
    <xf fontId="80" fillId="35" borderId="19" numFmtId="49" xfId="0" applyNumberFormat="1" applyFont="1" applyFill="1" applyBorder="1">
      <alignment horizontal="center" vertical="center" wrapText="1"/>
    </xf>
    <xf fontId="48"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7" numFmtId="504" xfId="0" applyNumberFormat="1" applyFont="1" applyFill="1" applyBorder="1">
      <alignment horizontal="center" vertical="center" wrapText="1"/>
      <protection locked="0"/>
    </xf>
    <xf fontId="22" fillId="0" borderId="17" numFmtId="4" xfId="0" applyNumberFormat="1" applyFont="1" applyBorder="1">
      <alignment horizontal="right" vertical="center" wrapText="1"/>
    </xf>
    <xf fontId="22" fillId="0" borderId="12" numFmtId="49" xfId="0" applyNumberFormat="1" applyFont="1" applyBorder="1">
      <alignment horizontal="left" vertical="center" wrapText="1"/>
    </xf>
    <xf fontId="0" fillId="39" borderId="23" numFmtId="49" xfId="0" applyNumberFormat="1" applyFont="1" applyFill="1" applyBorder="1">
      <alignment horizontal="center" vertical="center" wrapText="1"/>
      <protection locked="0"/>
    </xf>
    <xf fontId="22" fillId="0" borderId="23" numFmtId="4" xfId="0" applyNumberFormat="1" applyFont="1" applyBorder="1">
      <alignment horizontal="right"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48" fillId="0" borderId="0" numFmtId="0" xfId="0" applyNumberFormat="1" applyFont="1">
      <alignment horizontal="left" indent="1" vertical="center"/>
    </xf>
    <xf fontId="48" fillId="0" borderId="0" numFmtId="0" xfId="0" applyNumberFormat="1" applyFont="1">
      <alignment horizontal="center" vertical="center"/>
    </xf>
    <xf fontId="48" fillId="0" borderId="0" numFmtId="49" xfId="0" applyNumberFormat="1" applyFont="1">
      <alignment vertical="top"/>
    </xf>
    <xf fontId="107" fillId="0" borderId="0" numFmtId="49" xfId="0" applyNumberFormat="1" applyFont="1">
      <alignment vertical="top"/>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47" fillId="0" borderId="0" numFmtId="0" xfId="0" applyNumberFormat="1" applyFont="1">
      <alignment horizontal="center" vertical="center" wrapText="1"/>
    </xf>
    <xf fontId="47" fillId="0" borderId="0" numFmtId="49" xfId="0" applyNumberFormat="1" applyFont="1">
      <alignment vertical="center" wrapText="1"/>
    </xf>
    <xf fontId="22" fillId="0" borderId="0" numFmtId="49" xfId="0" applyNumberFormat="1" applyFont="1">
      <alignment vertical="center" wrapText="1"/>
    </xf>
    <xf fontId="39" fillId="0" borderId="0" numFmtId="0" xfId="0" applyNumberFormat="1" applyFont="1">
      <alignment vertical="center" wrapText="1"/>
    </xf>
    <xf fontId="22" fillId="0" borderId="0" numFmtId="0" xfId="0" applyNumberFormat="1" applyFont="1">
      <alignment horizontal="left" vertical="center" wrapText="1"/>
    </xf>
    <xf fontId="0" fillId="0" borderId="0" numFmtId="49" xfId="0" applyNumberFormat="1" applyFont="1">
      <alignment vertical="top"/>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22" fillId="37" borderId="15" numFmtId="49" xfId="0" applyNumberFormat="1" applyFont="1" applyFill="1" applyBorder="1">
      <alignment horizontal="center" vertical="center" wrapText="1"/>
    </xf>
    <xf fontId="0" fillId="37" borderId="15" numFmtId="49" xfId="0" applyNumberFormat="1" applyFont="1" applyFill="1" applyBorder="1">
      <alignment horizontal="center" vertical="center" wrapText="1"/>
    </xf>
    <xf fontId="22" fillId="0" borderId="12" numFmtId="0" xfId="0" applyNumberFormat="1" applyFont="1" applyBorder="1">
      <alignment horizontal="center" vertical="center"/>
    </xf>
    <xf fontId="22" fillId="0" borderId="0" numFmtId="0" xfId="0" applyNumberFormat="1" applyFont="1">
      <alignment horizontal="center" vertical="center"/>
    </xf>
    <xf fontId="22" fillId="35" borderId="12" numFmtId="0" xfId="0" applyNumberFormat="1" applyFont="1" applyFill="1" applyBorder="1">
      <alignment horizontal="left" vertical="center" wrapText="1"/>
    </xf>
    <xf fontId="22" fillId="0" borderId="12" numFmtId="0" xfId="0" applyNumberFormat="1" applyFont="1" applyBorder="1">
      <alignment vertical="center" wrapText="1"/>
    </xf>
    <xf fontId="22" fillId="0" borderId="14" numFmtId="0" xfId="0" applyNumberFormat="1" applyFont="1" applyBorder="1">
      <alignment horizontal="center" vertical="center"/>
    </xf>
    <xf fontId="22" fillId="0" borderId="0" numFmtId="0" xfId="0" applyNumberFormat="1" applyFont="1">
      <alignment horizontal="center" vertical="center" wrapText="1"/>
    </xf>
    <xf fontId="22" fillId="35" borderId="12" numFmtId="0" xfId="0" applyNumberFormat="1" applyFont="1" applyFill="1" applyBorder="1">
      <alignment horizontal="left" indent="1" vertical="center" wrapText="1"/>
    </xf>
    <xf fontId="22" fillId="0" borderId="0" numFmtId="0" xfId="0" applyNumberFormat="1" applyFont="1">
      <alignment vertical="center" wrapText="1"/>
    </xf>
    <xf fontId="48" fillId="0" borderId="0" numFmtId="0" xfId="0" applyNumberFormat="1" applyFont="1">
      <alignment horizontal="center" vertical="center" wrapText="1"/>
    </xf>
    <xf fontId="48" fillId="0" borderId="0" numFmtId="0" xfId="0" applyNumberFormat="1" applyFont="1">
      <alignment vertical="center" wrapText="1"/>
    </xf>
    <xf fontId="22" fillId="0" borderId="12" numFmtId="49" xfId="0" applyNumberFormat="1" applyFont="1" applyBorder="1">
      <alignment horizontal="left" vertical="center" wrapText="1"/>
    </xf>
    <xf fontId="72" fillId="0" borderId="0" numFmtId="0" xfId="0" applyNumberFormat="1" applyFont="1">
      <alignment horizontal="left" indent="1" vertical="center"/>
    </xf>
    <xf fontId="72" fillId="0" borderId="0" numFmtId="0" xfId="0" applyNumberFormat="1" applyFont="1">
      <alignment horizontal="center" vertical="center"/>
    </xf>
    <xf fontId="72" fillId="0" borderId="0" numFmtId="0" xfId="0" applyNumberFormat="1" applyFont="1">
      <alignment horizontal="left" vertical="center" wrapText="1"/>
    </xf>
    <xf fontId="72" fillId="0" borderId="0" numFmtId="0" xfId="0" applyNumberFormat="1" applyFont="1">
      <alignment vertical="center" wrapText="1"/>
    </xf>
    <xf fontId="48" fillId="0" borderId="0" numFmtId="0" xfId="0" applyNumberFormat="1" applyFont="1">
      <alignment vertical="center"/>
    </xf>
    <xf fontId="48" fillId="0" borderId="0" numFmtId="0" xfId="0" applyNumberFormat="1" applyFont="1">
      <alignment vertical="center" wrapText="1"/>
    </xf>
    <xf fontId="72" fillId="0" borderId="0" numFmtId="49" xfId="0" applyNumberFormat="1" applyFont="1">
      <alignment horizontal="left" vertical="center"/>
    </xf>
    <xf fontId="22" fillId="0" borderId="0" numFmtId="0" xfId="0" applyNumberFormat="1" applyFont="1">
      <alignment horizontal="center" vertical="center" wrapText="1"/>
    </xf>
    <xf fontId="22" fillId="0" borderId="0" numFmtId="49" xfId="0" applyNumberFormat="1" applyFont="1">
      <alignment vertical="center" wrapText="1"/>
    </xf>
    <xf fontId="22" fillId="0" borderId="12" numFmtId="49" xfId="0" applyNumberFormat="1" applyFont="1" applyBorder="1">
      <alignment vertical="center" wrapText="1"/>
    </xf>
    <xf fontId="22" fillId="0" borderId="0" numFmtId="0" xfId="0" applyNumberFormat="1" applyFont="1">
      <alignment vertical="center"/>
    </xf>
    <xf fontId="22" fillId="0" borderId="0" numFmtId="0" xfId="0" applyNumberFormat="1" applyFont="1">
      <alignment horizontal="center" vertical="center"/>
    </xf>
    <xf fontId="22" fillId="0" borderId="0" numFmtId="0" xfId="0" applyNumberFormat="1" applyFont="1">
      <alignment horizontal="right" vertical="center" wrapText="1"/>
    </xf>
    <xf fontId="22" fillId="0" borderId="17" numFmtId="0" xfId="0" applyNumberFormat="1" applyFont="1" applyBorder="1">
      <alignmen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72" fillId="0" borderId="0" numFmtId="0" xfId="0" applyNumberFormat="1" applyFont="1">
      <alignment vertical="center" wrapText="1"/>
    </xf>
    <xf fontId="0" fillId="39" borderId="17" numFmtId="504" xfId="0" applyNumberFormat="1" applyFont="1" applyFill="1" applyBorder="1">
      <alignment horizontal="center" vertical="center" wrapText="1"/>
      <protection locked="0"/>
    </xf>
    <xf fontId="72" fillId="0" borderId="0" numFmtId="0" xfId="0" applyNumberFormat="1" applyFont="1">
      <alignment horizontal="left" indent="1" vertical="center"/>
    </xf>
    <xf fontId="72" fillId="0" borderId="0" numFmtId="0" xfId="0" applyNumberFormat="1" applyFont="1">
      <alignment horizontal="center" vertical="center"/>
    </xf>
    <xf fontId="22" fillId="0" borderId="0" numFmtId="0" xfId="0" applyNumberFormat="1" applyFont="1">
      <alignment horizontal="left" indent="1" vertical="center"/>
    </xf>
    <xf fontId="22" fillId="0" borderId="0" numFmtId="49" xfId="0" applyNumberFormat="1" applyFont="1">
      <alignment horizontal="left" vertical="center"/>
    </xf>
    <xf fontId="22" fillId="0" borderId="12" numFmtId="502" xfId="0" applyNumberFormat="1" applyFont="1" applyBorder="1">
      <alignment horizontal="right" vertical="center" wrapText="1"/>
    </xf>
    <xf fontId="0" fillId="35" borderId="19" numFmtId="0" xfId="0" applyNumberFormat="1" applyFont="1" applyFill="1" applyBorder="1">
      <alignment horizontal="center" vertical="center" wrapText="1"/>
    </xf>
    <xf fontId="48" fillId="0" borderId="17" numFmtId="0" xfId="0" applyNumberFormat="1" applyFont="1" applyBorder="1">
      <alignment horizontal="center" vertical="center" wrapText="1"/>
    </xf>
    <xf fontId="22" fillId="0" borderId="37" numFmtId="0" xfId="0" applyNumberFormat="1" applyFont="1" applyBorder="1">
      <alignment horizontal="center" vertical="center" wrapText="1"/>
    </xf>
    <xf fontId="48" fillId="0" borderId="12" numFmtId="0" xfId="0" applyNumberFormat="1" applyFont="1" applyBorder="1">
      <alignment vertical="center" wrapText="1"/>
    </xf>
    <xf fontId="48" fillId="0" borderId="23" numFmtId="0" xfId="0" applyNumberFormat="1" applyFont="1" applyBorder="1">
      <alignment horizontal="center" vertical="center" wrapText="1"/>
    </xf>
    <xf fontId="22" fillId="0" borderId="30" numFmtId="0" xfId="0" applyNumberFormat="1" applyFont="1" applyBorder="1">
      <alignment horizontal="center" vertical="center" wrapText="1"/>
    </xf>
    <xf fontId="48" fillId="0" borderId="12"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vertical="center"/>
    </xf>
    <xf fontId="80" fillId="35" borderId="0" numFmtId="0" xfId="0" applyNumberFormat="1" applyFont="1" applyFill="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horizontal="left" indent="4" vertical="center" wrapText="1"/>
    </xf>
    <xf fontId="48" fillId="0" borderId="12" numFmtId="0" xfId="0" applyNumberFormat="1" applyFont="1" applyBorder="1">
      <alignment horizontal="left" indent="6" vertical="center" wrapText="1"/>
    </xf>
    <xf fontId="48" fillId="0" borderId="14" numFmtId="0" xfId="0" applyNumberFormat="1" applyFont="1" applyBorder="1">
      <alignment horizontal="left" vertical="center" wrapText="1"/>
    </xf>
    <xf fontId="48" fillId="0" borderId="15" numFmtId="0" xfId="0" applyNumberFormat="1" applyFont="1" applyBorder="1">
      <alignment horizontal="left" vertical="center" wrapText="1"/>
    </xf>
    <xf fontId="48" fillId="0" borderId="13" numFmtId="0" xfId="0" applyNumberFormat="1" applyFont="1" applyBorder="1">
      <alignment horizontal="left" vertical="center" wrapText="1"/>
    </xf>
    <xf fontId="48" fillId="0" borderId="12" numFmtId="0" xfId="0" applyNumberFormat="1" applyFont="1" applyBorder="1">
      <alignment vertical="top" wrapText="1"/>
    </xf>
    <xf fontId="97" fillId="0" borderId="14" numFmtId="49" xfId="0" applyNumberFormat="1" applyFont="1" applyBorder="1">
      <alignment horizontal="left" vertical="center"/>
    </xf>
    <xf fontId="48" fillId="0" borderId="15" numFmtId="49" xfId="0" applyNumberFormat="1" applyFont="1" applyBorder="1">
      <alignment horizontal="left" indent="4" vertical="center"/>
    </xf>
    <xf fontId="48" fillId="0" borderId="15" numFmtId="49" xfId="0" applyNumberFormat="1" applyFont="1" applyBorder="1">
      <alignment horizontal="center" vertical="center" wrapText="1"/>
    </xf>
    <xf fontId="48" fillId="0" borderId="13" numFmtId="49" xfId="0" applyNumberFormat="1" applyFont="1" applyBorder="1">
      <alignment horizontal="center" vertical="center" wrapText="1"/>
    </xf>
    <xf fontId="48" fillId="0" borderId="0" numFmtId="49" xfId="0" applyNumberFormat="1" applyFont="1">
      <alignment vertical="center" wrapText="1"/>
    </xf>
    <xf fontId="0" fillId="0" borderId="0" numFmtId="0" xfId="0" applyNumberFormat="1" applyFont="1">
      <alignment horizontal="left" vertical="top" wrapText="1"/>
    </xf>
    <xf fontId="47" fillId="0" borderId="0" numFmtId="0" xfId="0" applyNumberFormat="1" applyFont="1">
      <alignment vertical="top" wrapText="1"/>
    </xf>
    <xf fontId="22" fillId="35" borderId="17" numFmtId="0" xfId="0" applyNumberFormat="1" applyFont="1" applyFill="1" applyBorder="1">
      <alignment horizontal="left" vertical="center" wrapText="1"/>
    </xf>
    <xf fontId="22" fillId="35" borderId="17" numFmtId="0" xfId="0" applyNumberFormat="1" applyFont="1" applyFill="1" applyBorder="1">
      <alignment horizontal="left" indent="2" vertical="center" wrapText="1"/>
    </xf>
    <xf fontId="22" fillId="0" borderId="17" numFmtId="0" xfId="0" applyNumberFormat="1" applyFont="1" applyBorder="1">
      <alignment horizontal="left" indent="6" vertical="center" wrapText="1"/>
    </xf>
    <xf fontId="22" fillId="34" borderId="37" numFmtId="0" xfId="0" applyNumberFormat="1" applyFont="1" applyFill="1" applyBorder="1">
      <alignment horizontal="left" vertical="center" wrapText="1"/>
    </xf>
    <xf fontId="22" fillId="34" borderId="19" numFmtId="0" xfId="0" applyNumberFormat="1" applyFont="1" applyFill="1" applyBorder="1">
      <alignment horizontal="left" vertical="center" wrapText="1"/>
    </xf>
    <xf fontId="22" fillId="34" borderId="20" numFmtId="0" xfId="0" applyNumberFormat="1" applyFont="1" applyFill="1" applyBorder="1">
      <alignment horizontal="left" vertical="center" wrapText="1"/>
    </xf>
    <xf fontId="22" fillId="35" borderId="12" numFmtId="0" xfId="0" applyNumberFormat="1" applyFont="1" applyFill="1" applyBorder="1">
      <alignment horizontal="left" vertical="center" wrapText="1"/>
    </xf>
    <xf fontId="22" fillId="34" borderId="12" numFmtId="0" xfId="0" applyNumberFormat="1" applyFont="1" applyFill="1" applyBorder="1">
      <alignment horizontal="left" vertical="center" wrapText="1"/>
    </xf>
    <xf fontId="45" fillId="0" borderId="13" numFmtId="0" xfId="0" applyNumberFormat="1" applyFont="1" applyBorder="1">
      <alignment vertical="top"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3" numFmtId="0" xfId="0" applyNumberFormat="1" applyFont="1" applyBorder="1">
      <alignment vertical="top" wrapText="1"/>
    </xf>
    <xf fontId="22" fillId="40" borderId="12" numFmtId="0" xfId="0" applyNumberFormat="1" applyFont="1" applyFill="1" applyBorder="1">
      <alignment horizontal="left" vertical="center" wrapText="1"/>
    </xf>
    <xf fontId="22" fillId="35" borderId="23" numFmtId="0" xfId="0" applyNumberFormat="1" applyFont="1" applyFill="1" applyBorder="1">
      <alignment horizontal="left" vertical="center" wrapText="1"/>
    </xf>
    <xf fontId="22" fillId="40" borderId="23" numFmtId="0" xfId="0" applyNumberFormat="1" applyFont="1" applyFill="1" applyBorder="1">
      <alignment horizontal="left" indent="6" vertical="center" wrapText="1"/>
    </xf>
    <xf fontId="22" fillId="0" borderId="23" numFmtId="0" xfId="0" applyNumberFormat="1" applyFont="1" applyBorder="1">
      <alignment horizontal="left" indent="6" vertical="center" wrapText="1"/>
    </xf>
    <xf fontId="22" fillId="36" borderId="23" numFmtId="4" xfId="0" applyNumberFormat="1" applyFont="1" applyFill="1" applyBorder="1">
      <alignment horizontal="right" vertical="center" wrapText="1"/>
      <protection locked="0"/>
    </xf>
    <xf fontId="22" fillId="36" borderId="23" numFmtId="502" xfId="0" applyNumberFormat="1" applyFont="1" applyFill="1" applyBorder="1">
      <alignment horizontal="right" vertical="center" wrapText="1"/>
      <protection locked="0"/>
    </xf>
    <xf fontId="0" fillId="39" borderId="23" numFmtId="504" xfId="0" applyNumberFormat="1" applyFont="1" applyFill="1" applyBorder="1">
      <alignment horizontal="center" vertical="center" wrapText="1"/>
      <protection locked="0"/>
    </xf>
    <xf fontId="22" fillId="0" borderId="19" numFmtId="0" xfId="0" applyNumberFormat="1" applyFont="1" applyBorder="1">
      <alignment horizontal="left" indent="1" vertical="center" wrapText="1"/>
    </xf>
    <xf fontId="22" fillId="0" borderId="0" numFmtId="0" xfId="0" applyNumberFormat="1" applyFont="1">
      <alignment horizontal="left" vertical="center" wrapText="1"/>
    </xf>
    <xf fontId="22" fillId="40" borderId="20" numFmtId="0" xfId="0" applyNumberFormat="1" applyFont="1" applyFill="1" applyBorder="1">
      <alignment horizontal="left" vertical="center" wrapText="1"/>
    </xf>
    <xf fontId="22" fillId="0" borderId="0" numFmtId="0" xfId="0" applyNumberFormat="1" applyFont="1">
      <alignment horizontal="center" vertical="center" wrapText="1"/>
    </xf>
    <xf fontId="22" fillId="36" borderId="14" numFmtId="502" xfId="0" applyNumberFormat="1" applyFont="1" applyFill="1" applyBorder="1">
      <alignment horizontal="right" vertical="center" wrapText="1"/>
      <protection locked="0"/>
    </xf>
    <xf fontId="22" fillId="36" borderId="13" numFmtId="4" xfId="0" applyNumberFormat="1" applyFont="1" applyFill="1" applyBorder="1">
      <alignment horizontal="right" vertical="center" wrapText="1"/>
      <protection locked="0"/>
    </xf>
    <xf fontId="45" fillId="0" borderId="17" numFmtId="0" xfId="0" applyNumberFormat="1" applyFont="1" applyBorder="1">
      <alignment vertical="top" wrapText="1"/>
    </xf>
    <xf fontId="22" fillId="36" borderId="12" numFmtId="0" xfId="0" applyNumberFormat="1" applyFont="1" applyFill="1" applyBorder="1">
      <alignment horizontal="left" indent="7" vertical="center" wrapText="1"/>
      <protection locked="0"/>
    </xf>
    <xf fontId="0" fillId="39" borderId="12" numFmtId="49" xfId="0" applyNumberFormat="1" applyFont="1" applyFill="1" applyBorder="1">
      <alignment horizontal="center" vertical="center" wrapText="1"/>
      <protection locked="0"/>
    </xf>
    <xf fontId="48" fillId="0" borderId="14" numFmtId="4" xfId="0" applyNumberFormat="1" applyFont="1" applyBorder="1">
      <alignment horizontal="center" vertical="center" wrapText="1"/>
    </xf>
    <xf fontId="22" fillId="0" borderId="13" numFmtId="4" xfId="0" applyNumberFormat="1" applyFont="1" applyBorder="1">
      <alignment horizontal="right" vertical="center" wrapText="1"/>
    </xf>
    <xf fontId="22" fillId="37" borderId="15" numFmtId="0" xfId="0" applyNumberFormat="1" applyFont="1" applyFill="1" applyBorder="1">
      <alignment horizontal="left" indent="6" vertical="center" wrapText="1"/>
    </xf>
    <xf fontId="22" fillId="37" borderId="15" numFmtId="4" xfId="0" applyNumberFormat="1" applyFont="1" applyFill="1" applyBorder="1">
      <alignment horizontal="right" vertical="center" wrapText="1"/>
    </xf>
    <xf fontId="48" fillId="37" borderId="15" numFmtId="4" xfId="0" applyNumberFormat="1" applyFont="1" applyFill="1" applyBorder="1">
      <alignment horizontal="center" vertical="center" wrapText="1"/>
    </xf>
    <xf fontId="22" fillId="37" borderId="13" numFmtId="4" xfId="0" applyNumberFormat="1" applyFont="1" applyFill="1" applyBorder="1">
      <alignment horizontal="right" vertical="center" wrapText="1"/>
    </xf>
    <xf fontId="22" fillId="37" borderId="27" numFmtId="49" xfId="0" applyNumberFormat="1" applyFont="1" applyFill="1" applyBorder="1">
      <alignment horizontal="center" vertical="center" wrapText="1"/>
    </xf>
    <xf fontId="22"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0" borderId="19" numFmtId="0" xfId="0" applyNumberFormat="1" applyFont="1" applyBorder="1">
      <alignment horizontal="center" vertical="center" wrapText="1"/>
    </xf>
    <xf fontId="22" fillId="0" borderId="20" numFmtId="0" xfId="0" applyNumberFormat="1" applyFont="1" applyBorder="1">
      <alignment horizontal="center" vertical="center" wrapText="1"/>
    </xf>
    <xf fontId="22" fillId="0" borderId="22" numFmtId="0" xfId="0" applyNumberFormat="1" applyFont="1" applyBorder="1">
      <alignment horizontal="center" vertical="center" wrapText="1"/>
    </xf>
    <xf fontId="0" fillId="0" borderId="17" numFmtId="0" xfId="0" applyNumberFormat="1" applyFont="1" applyBorder="1">
      <alignment horizontal="center" vertical="center" wrapText="1"/>
    </xf>
    <xf fontId="0" fillId="0" borderId="15" numFmtId="0" xfId="0" applyNumberFormat="1" applyFont="1" applyBorder="1">
      <alignment horizontal="center" vertical="center" wrapText="1"/>
    </xf>
    <xf fontId="22" fillId="0" borderId="27" numFmtId="0" xfId="0" applyNumberFormat="1" applyFont="1" applyBorder="1">
      <alignment horizontal="center" vertical="center" wrapText="1"/>
    </xf>
    <xf fontId="22" fillId="0" borderId="29" numFmtId="0" xfId="0" applyNumberFormat="1" applyFont="1" applyBorder="1">
      <alignment horizontal="center" vertical="center" wrapText="1"/>
    </xf>
    <xf fontId="0" fillId="0" borderId="36" numFmtId="0" xfId="0" applyNumberFormat="1" applyFont="1" applyBorder="1">
      <alignment horizontal="center" vertical="center" wrapText="1"/>
    </xf>
    <xf fontId="0" fillId="0" borderId="37" numFmtId="0" xfId="0" applyNumberFormat="1" applyFont="1" applyBorder="1">
      <alignment horizontal="center" vertical="center" wrapText="1"/>
    </xf>
    <xf fontId="0" fillId="0" borderId="20" numFmtId="0" xfId="0" applyNumberFormat="1" applyFont="1" applyBorder="1">
      <alignment horizontal="center" vertical="center" wrapText="1"/>
    </xf>
    <xf fontId="0" fillId="0" borderId="23" numFmtId="0" xfId="0" applyNumberFormat="1" applyFont="1" applyBorder="1">
      <alignment horizontal="center" vertical="center" wrapText="1"/>
    </xf>
    <xf fontId="0" fillId="0" borderId="30" numFmtId="0" xfId="0" applyNumberFormat="1" applyFont="1" applyBorder="1">
      <alignment horizontal="center" vertical="center" wrapText="1"/>
    </xf>
    <xf fontId="0" fillId="0" borderId="29" numFmtId="0" xfId="0" applyNumberFormat="1" applyFont="1" applyBorder="1">
      <alignment horizontal="center" vertical="center" wrapText="1"/>
    </xf>
    <xf fontId="22" fillId="0" borderId="12" numFmtId="0" xfId="0" applyNumberFormat="1" applyFont="1" applyBorder="1">
      <alignment horizontal="center" vertical="center"/>
    </xf>
    <xf fontId="22" fillId="0" borderId="14" numFmtId="0" xfId="0" applyNumberFormat="1" applyFont="1" applyBorder="1">
      <alignment horizontal="center" vertical="center"/>
    </xf>
    <xf fontId="47" fillId="0" borderId="0" numFmtId="49" xfId="0" applyNumberFormat="1" applyFont="1">
      <alignment vertical="center" wrapText="1"/>
    </xf>
    <xf fontId="47" fillId="0" borderId="0" numFmtId="0" xfId="0" applyNumberFormat="1" applyFont="1">
      <alignment horizontal="center" vertical="center" wrapText="1"/>
    </xf>
    <xf fontId="56" fillId="35" borderId="0" numFmtId="0" xfId="0" applyNumberFormat="1" applyFont="1" applyFill="1">
      <alignment horizontal="center" vertical="center" wrapText="1"/>
    </xf>
    <xf fontId="56" fillId="0" borderId="0" numFmtId="0" xfId="0" applyNumberFormat="1" applyFont="1">
      <alignment vertical="center" wrapText="1"/>
    </xf>
    <xf fontId="48" fillId="0" borderId="12" numFmtId="0" xfId="0" applyNumberFormat="1" applyFont="1" applyBorder="1">
      <alignment horizontal="left" indent="5"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37" fillId="0" borderId="12" numFmtId="0" xfId="0" applyNumberFormat="1" applyFont="1" applyBorder="1">
      <alignment horizontal="center" vertical="center" wrapText="1"/>
    </xf>
    <xf fontId="22" fillId="40" borderId="12" numFmtId="49" xfId="0" applyNumberFormat="1" applyFont="1" applyFill="1" applyBorder="1">
      <alignment horizontal="left" indent="1" vertical="center" wrapText="1"/>
    </xf>
    <xf fontId="22" fillId="0" borderId="12" numFmtId="0" xfId="0" applyNumberFormat="1" applyFont="1" applyBorder="1">
      <alignment horizontal="left" indent="4" vertical="center" wrapText="1"/>
    </xf>
    <xf fontId="22" fillId="35" borderId="12" numFmtId="49" xfId="0" applyNumberFormat="1" applyFont="1" applyFill="1" applyBorder="1">
      <alignment horizontal="center" vertical="center" wrapText="1"/>
    </xf>
    <xf fontId="22" fillId="40" borderId="12" numFmtId="0" xfId="0" applyNumberFormat="1" applyFont="1" applyFill="1" applyBorder="1">
      <alignment horizontal="left" indent="1" vertical="center" wrapText="1"/>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5" borderId="36" numFmtId="0" xfId="0" applyNumberFormat="1" applyFont="1" applyFill="1" applyBorder="1">
      <alignment horizontal="left" vertical="center" wrapText="1"/>
    </xf>
    <xf fontId="22" fillId="39" borderId="36" numFmtId="49" xfId="0" applyNumberFormat="1" applyFont="1" applyFill="1" applyBorder="1">
      <alignment horizontal="left" indent="6" vertical="center" wrapText="1"/>
      <protection locked="0"/>
    </xf>
    <xf fontId="22" fillId="37" borderId="13" numFmtId="502" xfId="0" applyNumberFormat="1" applyFont="1" applyFill="1" applyBorder="1">
      <alignment horizontal="right" vertical="center" wrapText="1"/>
    </xf>
    <xf fontId="40" fillId="37" borderId="14" numFmtId="49" xfId="0" applyNumberFormat="1" applyFont="1" applyFill="1" applyBorder="1">
      <alignment horizontal="left" vertical="center"/>
    </xf>
    <xf fontId="22" fillId="37" borderId="15" numFmtId="502" xfId="0" applyNumberFormat="1" applyFont="1" applyFill="1" applyBorder="1">
      <alignment horizontal="right" vertical="center" wrapText="1"/>
    </xf>
    <xf fontId="22" fillId="0" borderId="36" numFmtId="4" xfId="0" applyNumberFormat="1" applyFont="1" applyBorder="1">
      <alignment horizontal="right" vertical="center" wrapText="1"/>
    </xf>
    <xf fontId="40" fillId="37" borderId="14" numFmtId="49" xfId="0" applyNumberFormat="1" applyFont="1" applyFill="1" applyBorder="1">
      <alignment horizontal="left" indent="1" vertical="center"/>
    </xf>
    <xf fontId="22" fillId="35" borderId="23" numFmtId="0" xfId="0" applyNumberFormat="1" applyFont="1" applyFill="1" applyBorder="1">
      <alignment horizontal="left" vertical="center" wrapText="1"/>
    </xf>
    <xf fontId="22" fillId="39" borderId="23" numFmtId="49" xfId="0" applyNumberFormat="1" applyFont="1" applyFill="1" applyBorder="1">
      <alignment horizontal="left" indent="6" vertical="center" wrapText="1"/>
      <protection locked="0"/>
    </xf>
    <xf fontId="48" fillId="37" borderId="13" numFmtId="4" xfId="0" applyNumberFormat="1" applyFont="1" applyFill="1" applyBorder="1">
      <alignment horizontal="center" vertical="center" wrapText="1"/>
    </xf>
    <xf fontId="40" fillId="37" borderId="14" numFmtId="49" xfId="0" applyNumberFormat="1" applyFont="1" applyFill="1" applyBorder="1">
      <alignment vertical="center" wrapText="1"/>
    </xf>
    <xf fontId="40" fillId="37" borderId="15" numFmtId="49" xfId="0" applyNumberFormat="1" applyFont="1" applyFill="1" applyBorder="1">
      <alignment vertical="center" wrapText="1"/>
    </xf>
    <xf fontId="48" fillId="0" borderId="24" numFmtId="49" xfId="0" applyNumberFormat="1" applyFont="1" applyBorder="1">
      <alignment vertical="top"/>
    </xf>
    <xf fontId="111" fillId="0" borderId="0" numFmtId="0" xfId="0" applyNumberFormat="1" applyFont="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left" indent="1" vertical="center" wrapText="1"/>
    </xf>
    <xf fontId="48" fillId="0" borderId="0" numFmtId="0" xfId="0" applyNumberFormat="1" applyFont="1">
      <alignment horizontal="left" indent="4" vertical="center" wrapText="1"/>
    </xf>
    <xf fontId="48" fillId="0" borderId="24" numFmtId="0" xfId="0" applyNumberFormat="1" applyFont="1" applyBorder="1">
      <alignment horizontal="left" indent="1" vertical="center" wrapText="1"/>
    </xf>
    <xf fontId="48" fillId="0" borderId="12" numFmtId="4" xfId="0" applyNumberFormat="1" applyFont="1" applyBorder="1">
      <alignment horizontal="right" vertical="center" wrapText="1"/>
    </xf>
    <xf fontId="48" fillId="0" borderId="12" numFmtId="502" xfId="0" applyNumberFormat="1" applyFont="1" applyBorder="1">
      <alignment horizontal="right" vertical="center" wrapText="1"/>
    </xf>
    <xf fontId="48" fillId="0" borderId="12" numFmtId="504" xfId="0" applyNumberFormat="1" applyFont="1" applyBorder="1">
      <alignment horizontal="center" vertical="center" wrapText="1"/>
    </xf>
    <xf fontId="48" fillId="0" borderId="12" numFmtId="49" xfId="0" applyNumberFormat="1" applyFont="1" applyBorder="1">
      <alignment horizontal="center" vertical="center" wrapText="1"/>
    </xf>
    <xf fontId="47" fillId="0" borderId="0" numFmtId="0" xfId="0" applyNumberFormat="1" applyFont="1">
      <alignment horizontal="left" vertical="center"/>
    </xf>
    <xf fontId="47" fillId="0" borderId="0" numFmtId="49" xfId="0" applyNumberFormat="1" applyFont="1">
      <alignment horizontal="left" vertical="center"/>
    </xf>
    <xf fontId="47" fillId="0" borderId="0" numFmtId="0" xfId="0" applyNumberFormat="1" applyFont="1">
      <alignment horizontal="left" vertical="center"/>
    </xf>
    <xf fontId="69" fillId="0" borderId="0" numFmtId="0" xfId="0" applyNumberFormat="1" applyFont="1">
      <alignment horizontal="left" vertical="center"/>
    </xf>
    <xf fontId="47" fillId="0" borderId="0" numFmtId="0" xfId="0" applyNumberFormat="1" applyFont="1">
      <alignment horizontal="left" vertical="center"/>
    </xf>
    <xf fontId="48" fillId="0" borderId="0" numFmtId="0" xfId="0" applyNumberFormat="1" applyFont="1">
      <alignment horizontal="left" vertical="center"/>
    </xf>
    <xf fontId="69" fillId="35" borderId="0" numFmtId="0" xfId="0" applyNumberFormat="1" applyFont="1" applyFill="1">
      <alignment vertical="center" wrapText="1"/>
    </xf>
    <xf fontId="22" fillId="35" borderId="3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0" fillId="35" borderId="20" numFmtId="0" xfId="0" applyNumberFormat="1" applyFont="1" applyFill="1" applyBorder="1">
      <alignment horizontal="center" vertical="center" wrapText="1"/>
    </xf>
    <xf fontId="22" fillId="0" borderId="19" numFmtId="0" xfId="0" applyNumberFormat="1" applyFont="1" applyBorder="1">
      <alignment horizontal="center" vertical="center" wrapText="1"/>
    </xf>
    <xf fontId="22" fillId="35" borderId="22" numFmtId="0" xfId="0" applyNumberFormat="1" applyFont="1" applyFill="1" applyBorder="1">
      <alignment horizontal="center" vertical="center" wrapText="1"/>
    </xf>
    <xf fontId="0" fillId="35" borderId="22" numFmtId="0" xfId="0" applyNumberFormat="1" applyFont="1" applyFill="1" applyBorder="1">
      <alignment horizontal="center" vertical="center" wrapText="1"/>
    </xf>
    <xf fontId="0" fillId="35" borderId="0" numFmtId="0" xfId="0" applyNumberFormat="1" applyFont="1" applyFill="1">
      <alignment horizontal="center" vertical="center" wrapText="1"/>
    </xf>
    <xf fontId="0" fillId="35" borderId="24" numFmtId="0" xfId="0" applyNumberFormat="1" applyFont="1" applyFill="1" applyBorder="1">
      <alignment horizontal="center" vertical="center" wrapText="1"/>
    </xf>
    <xf fontId="22" fillId="34" borderId="12" numFmtId="0" xfId="0" applyNumberFormat="1" applyFont="1" applyFill="1" applyBorder="1">
      <alignment horizontal="center" vertical="center" wrapText="1"/>
    </xf>
    <xf fontId="22" fillId="0" borderId="27" numFmtId="0" xfId="0" applyNumberFormat="1" applyFont="1" applyBorder="1">
      <alignment horizontal="center" vertical="center" wrapText="1"/>
    </xf>
    <xf fontId="22" fillId="39" borderId="12"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30" numFmtId="0" xfId="0" applyNumberFormat="1" applyFont="1" applyFill="1" applyBorder="1">
      <alignment horizontal="center" vertical="center" wrapText="1"/>
    </xf>
    <xf fontId="0" fillId="35" borderId="30" numFmtId="0" xfId="0" applyNumberFormat="1" applyFont="1" applyFill="1" applyBorder="1">
      <alignment horizontal="center" vertical="center" wrapText="1"/>
    </xf>
    <xf fontId="0" fillId="35" borderId="27" numFmtId="0" xfId="0" applyNumberFormat="1" applyFont="1" applyFill="1" applyBorder="1">
      <alignment horizontal="center" vertical="center" wrapText="1"/>
    </xf>
    <xf fontId="0"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49" xfId="0" applyNumberFormat="1" applyFont="1" applyBorder="1">
      <alignment horizontal="left" indent="1" vertical="center" wrapText="1"/>
    </xf>
    <xf fontId="22" fillId="0" borderId="12" numFmtId="0" xfId="0" applyNumberFormat="1" applyFont="1" applyBorder="1">
      <alignment horizontal="left" indent="1" vertical="center" wrapText="1"/>
    </xf>
    <xf fontId="22" fillId="37" borderId="14" numFmtId="49" xfId="0" applyNumberFormat="1" applyFont="1" applyFill="1" applyBorder="1">
      <alignment horizontal="center" vertical="center" wrapText="1"/>
    </xf>
    <xf fontId="72" fillId="0" borderId="24" numFmtId="49" xfId="0" applyNumberFormat="1" applyFont="1" applyBorder="1">
      <alignment vertical="top"/>
    </xf>
    <xf fontId="22" fillId="0" borderId="0" numFmtId="0" xfId="0" applyNumberFormat="1" applyFont="1">
      <alignment horizontal="left" vertical="top" wrapText="1"/>
    </xf>
    <xf fontId="69" fillId="0" borderId="0" numFmtId="0"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36" borderId="14" numFmtId="0" xfId="0" applyNumberFormat="1" applyFont="1" applyFill="1" applyBorder="1">
      <alignment horizontal="left" vertical="center" wrapText="1"/>
      <protection locked="0"/>
    </xf>
    <xf fontId="22" fillId="36" borderId="15" numFmtId="0" xfId="0" applyNumberFormat="1" applyFont="1" applyFill="1" applyBorder="1">
      <alignment horizontal="left" vertical="center" wrapText="1"/>
      <protection locked="0"/>
    </xf>
    <xf fontId="22" fillId="36" borderId="13" numFmtId="0" xfId="0" applyNumberFormat="1" applyFont="1" applyFill="1" applyBorder="1">
      <alignment horizontal="left" vertical="center" wrapText="1"/>
      <protection locked="0"/>
    </xf>
    <xf fontId="22" fillId="36" borderId="14" numFmtId="49" xfId="0" applyNumberFormat="1" applyFont="1" applyFill="1" applyBorder="1">
      <alignment horizontal="left" vertical="center" wrapText="1"/>
      <protection locked="0"/>
    </xf>
    <xf fontId="22" fillId="36" borderId="15" numFmtId="49" xfId="0" applyNumberFormat="1" applyFont="1" applyFill="1" applyBorder="1">
      <alignment horizontal="left" vertical="center" wrapText="1"/>
      <protection locked="0"/>
    </xf>
    <xf fontId="22" fillId="36" borderId="13" numFmtId="49" xfId="0" applyNumberFormat="1" applyFont="1" applyFill="1" applyBorder="1">
      <alignment horizontal="left" vertical="center" wrapText="1"/>
      <protection locked="0"/>
    </xf>
    <xf fontId="22" fillId="36" borderId="12" numFmtId="49" xfId="0" applyNumberFormat="1" applyFont="1" applyFill="1" applyBorder="1">
      <alignment horizontal="left" indent="6" vertical="center" wrapText="1"/>
      <protection locked="0"/>
    </xf>
    <xf fontId="22" fillId="0" borderId="37" numFmtId="4" xfId="0" applyNumberFormat="1" applyFont="1" applyBorder="1">
      <alignment horizontal="right" vertical="center" wrapText="1"/>
    </xf>
    <xf fontId="45" fillId="0" borderId="12" numFmtId="0" xfId="0" applyNumberFormat="1" applyFont="1" applyBorder="1">
      <alignment horizontal="left" vertical="top" wrapText="1"/>
    </xf>
    <xf fontId="22" fillId="0" borderId="12" numFmtId="49" xfId="0" applyNumberFormat="1" applyFont="1" applyBorder="1">
      <alignment horizontal="left" vertical="center" wrapText="1"/>
    </xf>
    <xf fontId="22" fillId="0" borderId="30" numFmtId="4" xfId="0" applyNumberFormat="1" applyFont="1" applyBorder="1">
      <alignment horizontal="right" vertical="center" wrapText="1"/>
    </xf>
    <xf fontId="0" fillId="37" borderId="29" numFmtId="49" xfId="0" applyNumberFormat="1" applyFont="1" applyFill="1" applyBorder="1">
      <alignment horizontal="center" vertical="center" wrapText="1"/>
    </xf>
    <xf fontId="40" fillId="37" borderId="15" numFmtId="49" xfId="0" applyNumberFormat="1" applyFont="1" applyFill="1" applyBorder="1">
      <alignment horizontal="left" indent="3" vertical="center"/>
    </xf>
    <xf fontId="48" fillId="0" borderId="0" numFmtId="0" xfId="0" applyNumberFormat="1" applyFont="1">
      <alignment horizontal="center" vertical="center"/>
    </xf>
    <xf fontId="47" fillId="0" borderId="0" numFmtId="0" xfId="0" applyNumberFormat="1" applyFont="1">
      <alignment horizontal="center" vertical="center" wrapText="1"/>
    </xf>
    <xf fontId="110" fillId="0" borderId="0" numFmtId="0" xfId="0" applyNumberFormat="1" applyFont="1">
      <alignment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22" fillId="0" borderId="0" numFmtId="49" xfId="0" applyNumberFormat="1" applyFont="1">
      <alignment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34" borderId="15" numFmtId="0" xfId="0" applyNumberFormat="1" applyFont="1" applyFill="1" applyBorder="1">
      <alignment horizontal="left" vertical="center" wrapText="1"/>
    </xf>
    <xf fontId="47" fillId="0" borderId="0" numFmtId="0" xfId="0" applyNumberFormat="1" applyFont="1">
      <alignment horizontal="center" vertical="center" wrapText="1"/>
    </xf>
    <xf fontId="48" fillId="0" borderId="15" numFmtId="0" xfId="0" applyNumberFormat="1" applyFont="1" applyBorder="1">
      <alignment horizontal="left" vertical="center" wrapText="1"/>
    </xf>
    <xf fontId="22" fillId="0" borderId="12" numFmtId="0" xfId="0" applyNumberFormat="1" applyFont="1" applyBorder="1">
      <alignment horizontal="center" vertical="center" wrapText="1"/>
    </xf>
    <xf fontId="48" fillId="0" borderId="24" numFmtId="0" xfId="0" applyNumberFormat="1" applyFont="1" applyBorder="1">
      <alignment horizontal="center" vertical="top"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0" fillId="39" borderId="12" numFmtId="504" xfId="0" applyNumberFormat="1" applyFont="1" applyFill="1" applyBorder="1">
      <alignment horizontal="center" vertical="center" wrapText="1"/>
      <protection locked="0"/>
    </xf>
    <xf fontId="22" fillId="40" borderId="12" numFmtId="49" xfId="0" applyNumberFormat="1" applyFont="1" applyFill="1" applyBorder="1">
      <alignment horizontal="center" vertical="center" wrapText="1"/>
    </xf>
    <xf fontId="48" fillId="0" borderId="12" numFmtId="49" xfId="0" applyNumberFormat="1" applyFont="1" applyBorder="1">
      <alignment horizontal="center" vertical="center" wrapText="1"/>
    </xf>
    <xf fontId="22" fillId="0" borderId="0" numFmtId="0" xfId="0" applyNumberFormat="1" applyFont="1">
      <alignment horizontal="left" vertical="center"/>
    </xf>
    <xf fontId="22" fillId="0" borderId="0" numFmtId="49" xfId="0" applyNumberFormat="1" applyFont="1">
      <alignment horizontal="left" vertical="center"/>
    </xf>
    <xf fontId="22" fillId="0" borderId="0" numFmtId="0" xfId="0" applyNumberFormat="1" applyFont="1">
      <alignment horizontal="left" vertical="center"/>
    </xf>
    <xf fontId="37" fillId="0" borderId="27" numFmtId="0" xfId="0" applyNumberFormat="1" applyFont="1" applyBorder="1">
      <alignment horizontal="center" vertical="center" wrapText="1"/>
    </xf>
    <xf fontId="22" fillId="39" borderId="13" numFmtId="0" xfId="0" applyNumberFormat="1" applyFont="1" applyFill="1" applyBorder="1">
      <alignment horizontal="center" vertical="center" wrapText="1"/>
      <protection locked="0"/>
    </xf>
    <xf fontId="22" fillId="35" borderId="12"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35" borderId="23"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22" fillId="35" borderId="17" numFmtId="0" xfId="0" applyNumberFormat="1" applyFont="1" applyFill="1" applyBorder="1">
      <alignment horizontal="left" vertical="center" wrapText="1"/>
    </xf>
    <xf fontId="22" fillId="39" borderId="17" numFmtId="49" xfId="0" applyNumberFormat="1" applyFont="1" applyFill="1" applyBorder="1">
      <alignment horizontal="left" indent="6" vertical="center" wrapText="1"/>
      <protection locked="0"/>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0" borderId="0" numFmtId="0" xfId="0" applyNumberFormat="1" applyFont="1">
      <alignment horizontal="left" vertical="top" wrapText="1"/>
    </xf>
    <xf fontId="22" fillId="35" borderId="12" numFmtId="0" xfId="0" applyNumberFormat="1" applyFont="1" applyFill="1" applyBorder="1">
      <alignment horizontal="left" vertical="center" wrapText="1"/>
    </xf>
    <xf fontId="111" fillId="0" borderId="0" numFmtId="0" xfId="0" applyNumberFormat="1" applyFont="1">
      <alignment vertical="center" wrapText="1"/>
    </xf>
    <xf fontId="111" fillId="35" borderId="0" numFmtId="0" xfId="0" applyNumberFormat="1" applyFont="1" applyFill="1">
      <alignment horizontal="center" vertical="center" wrapText="1"/>
    </xf>
    <xf fontId="48" fillId="35" borderId="12" numFmtId="0" xfId="0" applyNumberFormat="1" applyFont="1" applyFill="1" applyBorder="1">
      <alignment horizontal="left" indent="3" vertical="center" wrapText="1"/>
    </xf>
    <xf fontId="48" fillId="0" borderId="0" numFmtId="0" xfId="0" applyNumberFormat="1" applyFont="1">
      <alignment horizontal="center" vertical="center" wrapText="1"/>
    </xf>
    <xf fontId="22" fillId="36" borderId="17" numFmtId="49" xfId="0" applyNumberFormat="1" applyFont="1" applyFill="1" applyBorder="1">
      <alignment horizontal="left" indent="6" vertical="center" wrapText="1"/>
      <protection locked="0"/>
    </xf>
    <xf fontId="22" fillId="39" borderId="12" numFmtId="4" xfId="0" applyNumberFormat="1" applyFont="1" applyFill="1" applyBorder="1">
      <alignment horizontal="left" indent="1" vertical="center" wrapText="1"/>
      <protection locked="0"/>
    </xf>
    <xf fontId="22" fillId="39" borderId="12" numFmtId="4" xfId="0" applyNumberFormat="1" applyFont="1" applyFill="1" applyBorder="1">
      <alignment horizontal="center" vertical="center" wrapText="1"/>
      <protection locked="0"/>
    </xf>
    <xf fontId="22" fillId="40" borderId="20"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22" fillId="36" borderId="36" numFmtId="49" xfId="0" applyNumberFormat="1" applyFont="1" applyFill="1" applyBorder="1">
      <alignment horizontal="left" indent="6" vertical="center" wrapText="1"/>
      <protection locked="0"/>
    </xf>
    <xf fontId="22" fillId="40" borderId="29" numFmtId="49" xfId="0" applyNumberFormat="1" applyFont="1" applyFill="1" applyBorder="1">
      <alignment horizontal="center" vertical="center" wrapText="1"/>
    </xf>
    <xf fontId="40" fillId="37" borderId="27" numFmtId="49" xfId="0" applyNumberFormat="1" applyFont="1" applyFill="1" applyBorder="1">
      <alignment horizontal="left" vertical="center"/>
    </xf>
    <xf fontId="22" fillId="36" borderId="23" numFmtId="49" xfId="0" applyNumberFormat="1" applyFont="1" applyFill="1" applyBorder="1">
      <alignment horizontal="left" indent="6" vertical="center" wrapText="1"/>
      <protection locked="0"/>
    </xf>
    <xf fontId="48" fillId="0" borderId="0" numFmtId="0" xfId="0" applyNumberFormat="1" applyFont="1">
      <alignment horizontal="center" vertical="center"/>
    </xf>
    <xf fontId="48" fillId="0" borderId="0" numFmtId="0" xfId="0" applyNumberFormat="1" applyFont="1">
      <alignment horizontal="left" indent="1" vertical="center" wrapText="1"/>
    </xf>
    <xf fontId="22" fillId="35" borderId="12" numFmtId="0" xfId="0" applyNumberFormat="1" applyFont="1" applyFill="1" applyBorder="1">
      <alignment horizontal="center" vertical="center" wrapText="1"/>
    </xf>
    <xf fontId="48" fillId="0" borderId="19" numFmtId="0" xfId="0" applyNumberFormat="1" applyFont="1" applyBorder="1">
      <alignment horizontal="left" vertical="center" wrapText="1"/>
    </xf>
    <xf fontId="22" fillId="0" borderId="0" numFmtId="0" xfId="0" applyNumberFormat="1" applyFont="1">
      <alignment horizontal="left" vertical="top" wrapText="1"/>
    </xf>
    <xf fontId="47" fillId="0" borderId="0" numFmtId="0" xfId="0" applyNumberFormat="1" applyFont="1">
      <alignment horizontal="center" vertical="center" wrapText="1"/>
    </xf>
    <xf fontId="22" fillId="35" borderId="12" numFmtId="0" xfId="0" applyNumberFormat="1" applyFont="1" applyFill="1" applyBorder="1">
      <alignment horizontal="left" vertical="center" wrapText="1"/>
    </xf>
    <xf fontId="22" fillId="0" borderId="0" numFmtId="0" xfId="0" applyNumberFormat="1" applyFont="1">
      <alignment horizontal="center" vertical="center" wrapText="1"/>
    </xf>
    <xf fontId="48" fillId="0" borderId="0" numFmtId="0" xfId="0" applyNumberFormat="1" applyFont="1">
      <alignment horizontal="center" vertical="center" wrapText="1"/>
    </xf>
    <xf fontId="22" fillId="0" borderId="12" numFmtId="49" xfId="0" applyNumberFormat="1" applyFont="1" applyBorder="1">
      <alignment horizontal="left" vertical="center" wrapText="1"/>
    </xf>
    <xf fontId="48" fillId="0" borderId="0" numFmtId="0" xfId="0" applyNumberFormat="1" applyFont="1">
      <alignment horizontal="center" vertical="center"/>
    </xf>
    <xf fontId="47" fillId="0" borderId="0" numFmtId="0" xfId="0" applyNumberFormat="1" applyFont="1">
      <alignment horizontal="center" vertical="center" wrapText="1"/>
    </xf>
    <xf fontId="22" fillId="0" borderId="0" numFmtId="0" xfId="0" applyNumberFormat="1" applyFont="1">
      <alignment horizontal="right" vertical="center" wrapText="1"/>
    </xf>
    <xf fontId="22" fillId="0" borderId="17" numFmtId="0" xfId="0" applyNumberFormat="1" applyFont="1" applyBorder="1">
      <alignment horizontal="center"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0" borderId="0" numFmtId="49" xfId="0" applyNumberFormat="1" applyFont="1">
      <alignment vertical="center" wrapText="1"/>
    </xf>
    <xf fontId="22" fillId="40" borderId="12" numFmtId="49" xfId="0" applyNumberFormat="1" applyFont="1" applyFill="1" applyBorder="1">
      <alignment horizontal="center" vertical="center" wrapText="1"/>
    </xf>
    <xf fontId="22" fillId="35" borderId="12" numFmtId="49" xfId="0" applyNumberFormat="1" applyFont="1" applyFill="1" applyBorder="1">
      <alignment horizontal="center" vertical="center" wrapText="1"/>
    </xf>
    <xf fontId="22" fillId="39" borderId="12" numFmtId="49" xfId="0" applyNumberFormat="1" applyFont="1" applyFill="1" applyBorder="1">
      <alignment horizontal="left" indent="1" vertical="center" wrapText="1"/>
      <protection locked="0"/>
    </xf>
    <xf fontId="48" fillId="0" borderId="12" numFmtId="49" xfId="0" applyNumberFormat="1" applyFont="1" applyBorder="1">
      <alignment horizontal="center" vertical="center" wrapText="1"/>
    </xf>
    <xf fontId="22" fillId="35" borderId="12" numFmtId="0" xfId="0" applyNumberFormat="1" applyFont="1" applyFill="1" applyBorder="1">
      <alignment horizontal="center" vertical="center" wrapText="1"/>
    </xf>
    <xf fontId="22" fillId="0" borderId="0" numFmtId="0" xfId="0" applyNumberFormat="1" applyFont="1">
      <alignment horizontal="left" vertical="top" wrapText="1"/>
    </xf>
    <xf fontId="22" fillId="0" borderId="12" numFmtId="0" xfId="0" applyNumberFormat="1" applyFont="1" applyBorder="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35" borderId="12" numFmtId="49" xfId="0" applyNumberFormat="1" applyFont="1" applyFill="1" applyBorder="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80" fillId="35" borderId="19" numFmtId="0" xfId="0" applyNumberFormat="1" applyFont="1" applyFill="1" applyBorder="1">
      <alignment horizontal="center" vertical="center" wrapText="1"/>
    </xf>
    <xf fontId="48"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28" numFmtId="0" xfId="0" applyNumberFormat="1" applyFont="1" applyBorder="1">
      <alignment horizontal="center" vertical="center" wrapText="1"/>
    </xf>
    <xf fontId="22" fillId="39" borderId="12" numFmtId="0" xfId="0" applyNumberFormat="1" applyFont="1" applyFill="1" applyBorder="1">
      <alignment horizontal="left" indent="2" vertical="center" wrapText="1"/>
      <protection locked="0"/>
    </xf>
    <xf fontId="22" fillId="0" borderId="12" numFmtId="0" xfId="0" applyNumberFormat="1" applyFont="1" applyBorder="1">
      <alignment horizontal="center" vertical="center" wrapText="1"/>
    </xf>
    <xf fontId="22" fillId="0" borderId="12" numFmtId="0" xfId="0" applyNumberFormat="1" applyFont="1" applyBorder="1">
      <alignment vertical="center" wrapText="1"/>
    </xf>
    <xf fontId="84" fillId="0" borderId="0" numFmtId="0" xfId="0" applyNumberFormat="1" applyFont="1">
      <alignment vertical="center" wrapText="1"/>
    </xf>
    <xf fontId="48" fillId="0" borderId="28" numFmtId="0" xfId="0" applyNumberFormat="1" applyFont="1" applyBorder="1">
      <alignment horizontal="center" vertical="center" wrapText="1"/>
    </xf>
    <xf fontId="48" fillId="0" borderId="12" numFmtId="0" xfId="0" applyNumberFormat="1" applyFont="1" applyBorder="1">
      <alignment horizontal="left" indent="2" vertical="center" wrapText="1"/>
    </xf>
    <xf fontId="48" fillId="0" borderId="12" numFmtId="0" xfId="0" applyNumberFormat="1" applyFont="1" applyBorder="1">
      <alignment horizontal="center" vertical="center" wrapText="1"/>
    </xf>
    <xf fontId="48" fillId="0" borderId="12" numFmtId="0" xfId="0" applyNumberFormat="1" applyFont="1" applyBorder="1">
      <alignment vertical="center" wrapText="1"/>
    </xf>
    <xf fontId="22" fillId="0" borderId="12" numFmtId="0" xfId="0" applyNumberFormat="1" applyFont="1" applyBorder="1">
      <alignment horizontal="left" indent="3" vertical="center" wrapText="1"/>
    </xf>
    <xf fontId="22" fillId="39" borderId="12" numFmtId="49" xfId="0" applyNumberFormat="1" applyFont="1" applyFill="1" applyBorder="1">
      <alignment horizontal="center" vertical="center" wrapText="1"/>
      <protection locked="0"/>
    </xf>
    <xf fontId="22" fillId="36" borderId="12" numFmtId="4" xfId="0" applyNumberFormat="1" applyFont="1" applyFill="1" applyBorder="1">
      <alignment horizontal="right" vertical="center" wrapText="1"/>
      <protection locked="0"/>
    </xf>
    <xf fontId="22" fillId="36" borderId="12" numFmtId="0" xfId="0" applyNumberFormat="1" applyFont="1" applyFill="1" applyBorder="1">
      <alignment horizontal="left" vertical="center" wrapText="1"/>
      <protection locked="0"/>
    </xf>
    <xf fontId="91" fillId="0" borderId="0" numFmtId="49" xfId="0" applyNumberFormat="1" applyFont="1">
      <alignment horizontal="center" vertical="center" wrapText="1"/>
    </xf>
    <xf fontId="22" fillId="0" borderId="0" numFmtId="49" xfId="0" applyNumberFormat="1" applyFont="1">
      <alignment horizontal="center" vertical="top" wrapText="1"/>
    </xf>
    <xf fontId="22" fillId="0" borderId="12" numFmtId="0" xfId="0" applyNumberFormat="1" applyFont="1" applyBorder="1">
      <alignment horizontal="center" vertical="center" wrapText="1"/>
    </xf>
    <xf fontId="22" fillId="0" borderId="13" numFmtId="0" xfId="0" applyNumberFormat="1" applyFont="1" applyBorder="1">
      <alignment vertical="top" wrapText="1"/>
    </xf>
    <xf fontId="54" fillId="0" borderId="0" numFmtId="0" xfId="0" applyNumberFormat="1" applyFont="1">
      <alignment vertical="center" wrapText="1"/>
    </xf>
    <xf fontId="22" fillId="0" borderId="13" numFmtId="0" xfId="0" applyNumberFormat="1" applyFont="1" applyBorder="1">
      <alignment horizontal="center" vertical="center" wrapText="1"/>
    </xf>
    <xf fontId="22" fillId="36" borderId="12" numFmtId="503" xfId="0" applyNumberFormat="1" applyFont="1" applyFill="1" applyBorder="1">
      <alignment horizontal="right" vertical="center" wrapText="1"/>
      <protection locked="0"/>
    </xf>
    <xf fontId="22" fillId="0" borderId="20" numFmtId="0" xfId="0" applyNumberFormat="1" applyFont="1" applyBorder="1">
      <alignment vertical="center" wrapText="1"/>
    </xf>
    <xf fontId="32" fillId="0" borderId="0" numFmtId="0" xfId="0" applyNumberFormat="1" applyFont="1">
      <alignment vertical="center" wrapText="1"/>
    </xf>
    <xf fontId="46" fillId="0" borderId="0" numFmtId="0" xfId="0" applyNumberFormat="1" applyFont="1">
      <alignment vertical="center" wrapText="1"/>
    </xf>
    <xf fontId="22" fillId="0" borderId="0" numFmtId="0" xfId="0" applyNumberFormat="1" applyFont="1">
      <alignment horizontal="left" indent="3" vertical="center" wrapText="1"/>
    </xf>
    <xf fontId="97" fillId="35" borderId="0" numFmtId="0" xfId="0" applyNumberFormat="1" applyFont="1" applyFill="1">
      <alignment horizontal="right" vertical="center"/>
    </xf>
    <xf fontId="22"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34" borderId="14" numFmtId="0" xfId="0" applyNumberFormat="1" applyFont="1" applyFill="1" applyBorder="1">
      <alignment horizontal="left" vertical="top" wrapText="1"/>
    </xf>
    <xf fontId="22" fillId="0" borderId="14" numFmtId="0" xfId="0" applyNumberFormat="1" applyFont="1" applyBorder="1">
      <alignment horizontal="right" vertical="center" wrapText="1"/>
    </xf>
    <xf fontId="22" fillId="0" borderId="15" numFmtId="0" xfId="0" applyNumberFormat="1" applyFont="1" applyBorder="1">
      <alignment horizontal="right" vertical="center"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center" vertical="center" wrapText="1"/>
    </xf>
    <xf fontId="22" fillId="39" borderId="12" numFmtId="4" xfId="0" applyNumberFormat="1" applyFont="1" applyFill="1" applyBorder="1">
      <alignment horizontal="right" vertical="center" wrapText="1"/>
      <protection locked="0"/>
    </xf>
    <xf fontId="22" fillId="34" borderId="12" numFmtId="4" xfId="0" applyNumberFormat="1" applyFont="1" applyFill="1" applyBorder="1">
      <alignment horizontal="right" vertical="center" wrapText="1"/>
    </xf>
    <xf fontId="22" fillId="0" borderId="12" numFmtId="0" xfId="0" applyNumberFormat="1" applyFont="1" applyBorder="1">
      <alignment horizontal="left" indent="1" vertical="center" wrapText="1"/>
    </xf>
    <xf fontId="91" fillId="46" borderId="0" numFmtId="49" xfId="0" applyNumberFormat="1" applyFont="1" applyFill="1">
      <alignment horizontal="center" textRotation="90" vertical="center" wrapText="1"/>
    </xf>
    <xf fontId="72" fillId="0" borderId="0" numFmtId="0" xfId="0" applyNumberFormat="1" applyFont="1">
      <alignment horizontal="center" vertical="center" wrapText="1"/>
    </xf>
    <xf fontId="72" fillId="0" borderId="0" numFmtId="49" xfId="0" applyNumberFormat="1" applyFont="1">
      <alignment horizontal="center" vertical="center" wrapText="1"/>
    </xf>
    <xf fontId="72" fillId="0" borderId="28" numFmtId="49" xfId="0" applyNumberFormat="1" applyFont="1" applyBorder="1">
      <alignment horizontal="center" vertical="center" wrapText="1"/>
    </xf>
    <xf fontId="72" fillId="0" borderId="12" numFmtId="0" xfId="0" applyNumberFormat="1" applyFont="1" applyBorder="1">
      <alignment horizontal="left" indent="2" vertical="center" wrapText="1"/>
    </xf>
    <xf fontId="72" fillId="0" borderId="12" numFmtId="0" xfId="0" applyNumberFormat="1" applyFont="1" applyBorder="1">
      <alignment horizontal="center" vertical="center" wrapText="1"/>
    </xf>
    <xf fontId="72" fillId="0" borderId="12" numFmtId="0" xfId="0" applyNumberFormat="1" applyFont="1" applyBorder="1">
      <alignment vertical="center" wrapText="1"/>
    </xf>
    <xf fontId="85" fillId="0" borderId="0" numFmtId="0" xfId="0" applyNumberFormat="1" applyFont="1">
      <alignment vertical="center" wrapText="1"/>
    </xf>
    <xf fontId="63" fillId="0" borderId="0" numFmtId="0" xfId="0" applyNumberFormat="1" applyFont="1">
      <alignment vertical="center" wrapText="1"/>
    </xf>
    <xf fontId="72" fillId="0" borderId="28" numFmtId="0" xfId="0" applyNumberFormat="1" applyFont="1" applyBorder="1">
      <alignment horizontal="center" vertical="center" wrapText="1"/>
    </xf>
    <xf fontId="72" fillId="0" borderId="12" numFmtId="0" xfId="0" applyNumberFormat="1" applyFont="1" applyBorder="1">
      <alignment horizontal="left" indent="3" vertical="center" wrapText="1"/>
    </xf>
    <xf fontId="72" fillId="0" borderId="12" numFmtId="4" xfId="0" applyNumberFormat="1" applyFont="1" applyBorder="1">
      <alignment horizontal="right" vertical="center" wrapText="1"/>
    </xf>
    <xf fontId="37" fillId="0" borderId="0" numFmtId="0" xfId="0" applyNumberFormat="1" applyFont="1">
      <alignment horizontal="center" vertical="center" wrapText="1"/>
    </xf>
    <xf fontId="22" fillId="37" borderId="14" numFmtId="49" xfId="0" applyNumberFormat="1" applyFont="1" applyFill="1" applyBorder="1">
      <alignment vertical="center" wrapText="1"/>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12" numFmtId="0" xfId="0" applyNumberFormat="1" applyFont="1" applyBorder="1">
      <alignment horizontal="left" indent="2" vertical="center" wrapText="1"/>
    </xf>
    <xf fontId="22" fillId="0" borderId="0" numFmtId="14" xfId="0" applyNumberFormat="1" applyFont="1">
      <alignment horizontal="center" vertical="center" wrapText="1"/>
    </xf>
    <xf fontId="91" fillId="46" borderId="0" numFmtId="49" xfId="0" applyNumberFormat="1" applyFont="1" applyFill="1">
      <alignment horizontal="center" vertical="center" wrapText="1"/>
    </xf>
    <xf fontId="50" fillId="0" borderId="0" numFmtId="49" xfId="0" applyNumberFormat="1" applyFont="1">
      <alignment horizontal="center" vertical="center"/>
    </xf>
    <xf fontId="22" fillId="39" borderId="12" numFmtId="503" xfId="0" applyNumberFormat="1" applyFont="1" applyFill="1" applyBorder="1">
      <alignment horizontal="right" vertical="center" wrapText="1"/>
      <protection locked="0"/>
    </xf>
    <xf fontId="47" fillId="0" borderId="0" numFmtId="0" xfId="0" applyNumberFormat="1" applyFont="1">
      <alignment horizontal="left" vertical="center" wrapText="1"/>
    </xf>
    <xf fontId="91" fillId="0" borderId="0" numFmtId="49" xfId="0" applyNumberFormat="1" applyFont="1">
      <alignment horizontal="left" vertical="center" wrapText="1"/>
    </xf>
    <xf fontId="48" fillId="0" borderId="0" numFmtId="0" xfId="0" applyNumberFormat="1" applyFont="1">
      <alignment horizontal="left" vertical="center" wrapText="1"/>
    </xf>
    <xf fontId="22" fillId="0" borderId="0" numFmtId="49" xfId="0" applyNumberFormat="1" applyFont="1">
      <alignment horizontal="left" vertical="center" wrapText="1"/>
    </xf>
    <xf fontId="54" fillId="0" borderId="0" numFmtId="0" xfId="0" applyNumberFormat="1" applyFont="1">
      <alignment horizontal="left" vertical="center" wrapText="1"/>
    </xf>
    <xf fontId="32" fillId="0" borderId="0" numFmtId="0" xfId="0" applyNumberFormat="1" applyFont="1">
      <alignment horizontal="left" vertical="center" wrapText="1"/>
    </xf>
    <xf fontId="22" fillId="40" borderId="12" numFmtId="49" xfId="0" applyNumberFormat="1" applyFont="1" applyFill="1" applyBorder="1">
      <alignment horizontal="left" vertical="center" wrapText="1"/>
    </xf>
    <xf fontId="22" fillId="0" borderId="17" numFmtId="0" xfId="0" applyNumberFormat="1" applyFont="1" applyBorder="1">
      <alignment horizontal="center" vertical="center" wrapText="1"/>
    </xf>
    <xf fontId="22" fillId="34" borderId="17" numFmtId="4" xfId="0" applyNumberFormat="1" applyFont="1" applyFill="1" applyBorder="1">
      <alignment horizontal="right" vertical="center" wrapText="1"/>
    </xf>
    <xf fontId="48" fillId="0" borderId="12" numFmtId="0" xfId="0" applyNumberFormat="1" applyFont="1" applyBorder="1">
      <alignment horizontal="left" indent="3" vertical="center" wrapText="1"/>
    </xf>
    <xf fontId="48" fillId="0" borderId="12" numFmtId="49" xfId="0" applyNumberFormat="1" applyFont="1" applyBorder="1">
      <alignment vertical="center" wrapText="1"/>
    </xf>
    <xf fontId="48" fillId="0" borderId="17" numFmtId="0" xfId="0" applyNumberFormat="1" applyFont="1" applyBorder="1">
      <alignment vertical="top" wrapText="1"/>
    </xf>
    <xf fontId="22" fillId="0" borderId="17" numFmtId="0" xfId="0" applyNumberFormat="1" applyFont="1" applyBorder="1">
      <alignment horizontal="center" vertical="center" wrapText="1"/>
    </xf>
    <xf fontId="22" fillId="0" borderId="14" numFmtId="0" xfId="0" applyNumberFormat="1" applyFont="1" applyBorder="1">
      <alignment horizontal="left" indent="2" vertical="center" wrapText="1"/>
    </xf>
    <xf fontId="22" fillId="0" borderId="12" numFmtId="0" xfId="0" applyNumberFormat="1" applyFont="1" applyBorder="1">
      <alignment horizontal="center" vertical="center" wrapText="1"/>
    </xf>
    <xf fontId="22" fillId="39" borderId="13" numFmtId="4" xfId="0" applyNumberFormat="1" applyFont="1" applyFill="1" applyBorder="1">
      <alignment horizontal="right" vertical="center" wrapText="1"/>
      <protection locked="0"/>
    </xf>
    <xf fontId="22" fillId="0" borderId="14" numFmtId="0" xfId="0" applyNumberFormat="1" applyFont="1" applyBorder="1">
      <alignment horizontal="left" indent="1" vertical="center" wrapText="1"/>
    </xf>
    <xf fontId="22" fillId="0" borderId="14" numFmtId="0" xfId="0" applyNumberFormat="1" applyFont="1" applyBorder="1">
      <alignment horizontal="left" vertical="center" wrapText="1"/>
    </xf>
    <xf fontId="22" fillId="0" borderId="23" numFmtId="0" xfId="0" applyNumberFormat="1" applyFont="1" applyBorder="1">
      <alignment horizontal="center" vertical="center" wrapText="1"/>
    </xf>
    <xf fontId="53" fillId="36" borderId="13" numFmtId="49" xfId="0" applyNumberFormat="1" applyFont="1" applyFill="1" applyBorder="1">
      <alignment horizontal="left" vertical="center" wrapText="1"/>
      <protection locked="0"/>
    </xf>
    <xf fontId="53" fillId="36" borderId="12" numFmtId="49" xfId="0" applyNumberFormat="1" applyFont="1" applyFill="1" applyBorder="1">
      <alignment horizontal="left" vertical="center" wrapText="1"/>
      <protection locked="0"/>
    </xf>
    <xf fontId="48" fillId="0" borderId="0" numFmtId="0" xfId="0" applyNumberFormat="1" applyFont="1">
      <alignment vertical="center" wrapText="1"/>
    </xf>
    <xf fontId="22" fillId="0" borderId="0" numFmtId="49" xfId="0" applyNumberFormat="1" applyFont="1">
      <alignment horizontal="center" vertical="center" wrapText="1"/>
    </xf>
    <xf fontId="22" fillId="0" borderId="12" numFmtId="0" xfId="0" applyNumberFormat="1" applyFont="1" applyBorder="1">
      <alignment horizontal="center" vertical="center" wrapText="1"/>
    </xf>
    <xf fontId="22" fillId="39" borderId="13" numFmtId="503" xfId="0" applyNumberFormat="1" applyFont="1" applyFill="1" applyBorder="1">
      <alignment horizontal="right" vertical="center" wrapText="1"/>
      <protection locked="0"/>
    </xf>
    <xf fontId="84" fillId="0" borderId="0" numFmtId="0" xfId="0" applyNumberFormat="1" applyFont="1">
      <alignment vertical="center" wrapText="1"/>
    </xf>
    <xf fontId="54" fillId="0" borderId="0" numFmtId="0" xfId="0" applyNumberFormat="1" applyFont="1">
      <alignment vertical="center" wrapText="1"/>
    </xf>
    <xf fontId="32" fillId="0" borderId="0" numFmtId="0" xfId="0" applyNumberFormat="1" applyFont="1">
      <alignment vertical="center" wrapText="1"/>
    </xf>
    <xf fontId="47" fillId="0" borderId="0" numFmtId="0" xfId="0" applyNumberFormat="1" applyFont="1">
      <alignment vertical="center" wrapText="1"/>
    </xf>
    <xf fontId="50" fillId="0" borderId="0" numFmtId="49" xfId="0" applyNumberFormat="1" applyFont="1">
      <alignment horizontal="center" vertical="center"/>
    </xf>
    <xf fontId="22" fillId="0" borderId="0" numFmtId="0" xfId="0" applyNumberFormat="1" applyFont="1">
      <alignment vertical="center" wrapText="1"/>
    </xf>
    <xf fontId="22" fillId="34" borderId="13" numFmtId="503" xfId="0" applyNumberFormat="1" applyFont="1" applyFill="1" applyBorder="1">
      <alignment horizontal="right" vertical="center" wrapText="1"/>
    </xf>
    <xf fontId="22" fillId="34" borderId="12" numFmtId="503" xfId="0" applyNumberFormat="1" applyFont="1" applyFill="1" applyBorder="1">
      <alignment horizontal="right" vertical="center" wrapText="1"/>
    </xf>
    <xf fontId="91" fillId="46" borderId="0" numFmtId="49" xfId="0" applyNumberFormat="1" applyFont="1" applyFill="1">
      <alignment horizontal="center" textRotation="90" vertical="center" wrapText="1"/>
    </xf>
    <xf fontId="22" fillId="39" borderId="12" numFmtId="0" xfId="0" applyNumberFormat="1" applyFont="1" applyFill="1" applyBorder="1">
      <alignment horizontal="center" vertical="center" wrapText="1"/>
      <protection locked="0"/>
    </xf>
    <xf fontId="22" fillId="39" borderId="29" numFmtId="4" xfId="0" applyNumberFormat="1" applyFont="1" applyFill="1" applyBorder="1">
      <alignment horizontal="right" vertical="center" wrapText="1"/>
      <protection locked="0"/>
    </xf>
    <xf fontId="22" fillId="39" borderId="23" numFmtId="4" xfId="0" applyNumberFormat="1" applyFont="1" applyFill="1" applyBorder="1">
      <alignment horizontal="right" vertical="center" wrapText="1"/>
      <protection locked="0"/>
    </xf>
    <xf fontId="48" fillId="0" borderId="36" numFmtId="0" xfId="0" applyNumberFormat="1" applyFont="1" applyBorder="1">
      <alignment horizontal="left" indent="1" vertical="center" wrapText="1"/>
    </xf>
    <xf fontId="48" fillId="0" borderId="36" numFmtId="0" xfId="0" applyNumberFormat="1" applyFont="1" applyBorder="1">
      <alignment horizontal="center" vertical="center" wrapText="1"/>
    </xf>
    <xf fontId="48" fillId="0" borderId="17" numFmtId="0" xfId="0" applyNumberFormat="1" applyFont="1" applyBorder="1">
      <alignment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0" borderId="23" numFmtId="0" xfId="0" applyNumberFormat="1" applyFont="1" applyBorder="1">
      <alignment vertical="top"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20" numFmtId="0" xfId="0" applyNumberFormat="1" applyFont="1" applyBorder="1">
      <alignment horizontal="center" vertical="center" wrapText="1"/>
    </xf>
    <xf fontId="22" fillId="39" borderId="17" numFmtId="503" xfId="0" applyNumberFormat="1" applyFont="1" applyFill="1" applyBorder="1">
      <alignment horizontal="right" vertical="center" wrapText="1"/>
      <protection locked="0"/>
    </xf>
    <xf fontId="48" fillId="0" borderId="23" numFmtId="0" xfId="0" applyNumberFormat="1" applyFont="1" applyBorder="1">
      <alignment horizontal="left" indent="1" vertical="center" wrapText="1"/>
    </xf>
    <xf fontId="48" fillId="0" borderId="17" numFmtId="0" xfId="0" applyNumberFormat="1" applyFont="1" applyBorder="1">
      <alignment horizontal="center" vertical="center" wrapText="1"/>
    </xf>
    <xf fontId="37" fillId="0" borderId="0" numFmtId="0" xfId="0" applyNumberFormat="1" applyFont="1">
      <alignment horizontal="center" vertical="center" wrapText="1"/>
    </xf>
    <xf fontId="22" fillId="37" borderId="37" numFmtId="49" xfId="0" applyNumberFormat="1" applyFont="1" applyFill="1" applyBorder="1">
      <alignment vertical="center" wrapText="1"/>
    </xf>
    <xf fontId="40" fillId="37" borderId="19" numFmtId="49" xfId="0" applyNumberFormat="1" applyFont="1" applyFill="1" applyBorder="1">
      <alignment horizontal="left" indent="1" vertical="center"/>
    </xf>
    <xf fontId="22" fillId="37" borderId="15" numFmtId="0" xfId="0" applyNumberFormat="1" applyFont="1" applyFill="1" applyBorder="1">
      <alignment vertical="center" wrapText="1"/>
    </xf>
    <xf fontId="47" fillId="37" borderId="13" numFmtId="0" xfId="0" applyNumberFormat="1" applyFont="1" applyFill="1" applyBorder="1">
      <alignment vertical="center" wrapText="1"/>
    </xf>
    <xf fontId="22" fillId="0" borderId="23" numFmtId="0" xfId="0" applyNumberFormat="1" applyFont="1" applyBorder="1">
      <alignment vertical="top" wrapText="1"/>
    </xf>
    <xf fontId="48" fillId="0" borderId="17" numFmtId="0" xfId="0" applyNumberFormat="1" applyFont="1" applyBorder="1">
      <alignment horizontal="left" indent="1" vertical="center" wrapText="1"/>
    </xf>
    <xf fontId="53" fillId="36" borderId="12"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horizontal="left" vertical="top" wrapText="1"/>
    </xf>
    <xf fontId="54" fillId="0" borderId="0" numFmtId="0" xfId="0" applyNumberFormat="1" applyFont="1">
      <alignment vertical="center"/>
    </xf>
    <xf fontId="91" fillId="0" borderId="0" numFmtId="0" xfId="0" applyNumberFormat="1" applyFont="1">
      <alignment vertical="center" wrapText="1"/>
    </xf>
    <xf fontId="91" fillId="0" borderId="0" numFmtId="49" xfId="0" applyNumberFormat="1" applyFont="1">
      <alignment horizontal="center" vertical="center" wrapText="1"/>
    </xf>
    <xf fontId="54" fillId="0" borderId="0" numFmtId="0" xfId="0" applyNumberFormat="1" applyFont="1">
      <alignment vertical="center" wrapText="1"/>
    </xf>
    <xf fontId="22" fillId="0" borderId="19" numFmtId="0" xfId="0" applyNumberFormat="1" applyFont="1" applyBorder="1">
      <alignment vertical="center" wrapText="1"/>
    </xf>
    <xf fontId="22" fillId="0" borderId="0" numFmtId="0" xfId="0" applyNumberFormat="1" applyFont="1">
      <alignment horizontal="center" vertical="center" wrapText="1"/>
    </xf>
    <xf fontId="32" fillId="0" borderId="0" numFmtId="49" xfId="0" applyNumberFormat="1" applyFont="1">
      <alignment horizontal="center" vertical="center" wrapText="1"/>
    </xf>
    <xf fontId="22" fillId="0" borderId="27" numFmtId="0" xfId="0" applyNumberFormat="1" applyFont="1" applyBorder="1">
      <alignment vertical="center" wrapText="1"/>
    </xf>
    <xf fontId="48" fillId="0" borderId="0" numFmtId="0" xfId="0" applyNumberFormat="1" applyFont="1">
      <alignment vertical="center" wrapText="1"/>
    </xf>
    <xf fontId="32" fillId="0" borderId="0" numFmtId="0" xfId="0" applyNumberFormat="1" applyFont="1">
      <alignment vertical="center" wrapText="1"/>
    </xf>
    <xf fontId="50" fillId="0" borderId="0" numFmtId="0" xfId="0" applyNumberFormat="1" applyFont="1">
      <alignment horizontal="center" vertical="center" wrapText="1"/>
    </xf>
    <xf fontId="63" fillId="0" borderId="0" numFmtId="49" xfId="0" applyNumberFormat="1" applyFont="1">
      <alignment horizontal="center" vertical="center" wrapText="1"/>
    </xf>
    <xf fontId="72" fillId="0" borderId="0" numFmtId="0" xfId="0" applyNumberFormat="1" applyFont="1">
      <alignment horizontal="center" vertical="center" wrapText="1"/>
    </xf>
    <xf fontId="100" fillId="0" borderId="0" numFmtId="0" xfId="0" applyNumberFormat="1" applyFont="1">
      <alignment horizontal="center" vertical="center" wrapText="1"/>
    </xf>
    <xf fontId="101" fillId="35" borderId="0" numFmtId="0" xfId="0" applyNumberFormat="1" applyFont="1" applyFill="1">
      <alignment horizontal="right" vertical="center"/>
    </xf>
    <xf fontId="63" fillId="0" borderId="0" numFmtId="0" xfId="0" applyNumberFormat="1" applyFont="1">
      <alignment vertical="center" wrapText="1"/>
    </xf>
    <xf fontId="71" fillId="0" borderId="0" numFmtId="0" xfId="0" applyNumberFormat="1" applyFont="1">
      <alignment vertical="center" wrapText="1"/>
    </xf>
    <xf fontId="22" fillId="0" borderId="12" numFmtId="0" xfId="0" applyNumberFormat="1" applyFont="1" applyBorder="1">
      <alignment horizontal="center" vertical="center" wrapText="1"/>
    </xf>
    <xf fontId="48" fillId="0" borderId="0" numFmtId="49" xfId="0" applyNumberFormat="1" applyFont="1">
      <alignment horizontal="center" vertical="center" wrapText="1"/>
    </xf>
    <xf fontId="48" fillId="0" borderId="0" numFmtId="49" xfId="0" applyNumberFormat="1" applyFont="1">
      <alignment horizontal="center" vertical="center" wrapText="1"/>
    </xf>
    <xf fontId="32"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4" xfId="0" applyNumberFormat="1" applyFont="1">
      <alignment horizontal="right" vertical="center" wrapText="1"/>
    </xf>
    <xf fontId="50" fillId="0" borderId="0" numFmtId="9" xfId="0" applyNumberFormat="1" applyFont="1">
      <alignment horizontal="center" vertical="center" wrapText="1"/>
    </xf>
    <xf fontId="71" fillId="0" borderId="0" numFmtId="0" xfId="0" applyNumberFormat="1" applyFont="1">
      <alignment vertical="center" wrapText="1"/>
    </xf>
    <xf fontId="48" fillId="0" borderId="0" numFmtId="0" xfId="0" applyNumberFormat="1" applyFont="1">
      <alignment vertical="center" wrapText="1"/>
    </xf>
    <xf fontId="32" fillId="0" borderId="0" numFmtId="0" xfId="0" applyNumberFormat="1" applyFont="1">
      <alignment vertical="center" wrapText="1"/>
    </xf>
    <xf fontId="0" fillId="0" borderId="0" numFmtId="0" xfId="0" applyNumberFormat="1" applyFont="1">
      <alignment vertical="top"/>
    </xf>
    <xf fontId="0" fillId="0" borderId="0" numFmtId="49" xfId="0" applyNumberFormat="1" applyFont="1">
      <alignment vertical="top"/>
    </xf>
    <xf fontId="48" fillId="0" borderId="17" numFmtId="49" xfId="0" applyNumberFormat="1" applyFont="1" applyBorder="1">
      <alignment horizontal="center" vertical="center" wrapText="1"/>
    </xf>
    <xf fontId="0" fillId="0" borderId="14" numFmtId="0" xfId="0" applyNumberFormat="1" applyFont="1" applyBorder="1">
      <alignment horizontal="right" indent="1" vertical="center" wrapText="1"/>
    </xf>
    <xf fontId="0" fillId="0" borderId="15" numFmtId="0" xfId="0" applyNumberFormat="1" applyFont="1" applyBorder="1">
      <alignment horizontal="right" indent="1" vertical="center" wrapText="1"/>
    </xf>
    <xf fontId="0" fillId="0" borderId="13" numFmtId="0" xfId="0" applyNumberFormat="1" applyFont="1" applyBorder="1">
      <alignment horizontal="right" indent="1" vertical="center" wrapText="1"/>
    </xf>
    <xf fontId="0" fillId="34" borderId="12" numFmtId="0" xfId="0" applyNumberFormat="1" applyFont="1" applyFill="1" applyBorder="1">
      <alignment horizontal="left" indent="1" vertical="center" wrapText="1"/>
    </xf>
    <xf fontId="22" fillId="0" borderId="13" numFmtId="0" xfId="0" applyNumberFormat="1" applyFont="1" applyBorder="1">
      <alignment horizontal="left" indent="1" vertical="center" wrapText="1"/>
    </xf>
    <xf fontId="48" fillId="0" borderId="22" numFmtId="49" xfId="0" applyNumberFormat="1" applyFont="1" applyBorder="1">
      <alignment vertical="top"/>
    </xf>
    <xf fontId="48" fillId="0" borderId="0" numFmtId="49" xfId="0" applyNumberFormat="1" applyFont="1">
      <alignment vertical="top"/>
    </xf>
    <xf fontId="47" fillId="0" borderId="0" numFmtId="49" xfId="0" applyNumberFormat="1" applyFont="1">
      <alignment vertical="top"/>
    </xf>
    <xf fontId="48" fillId="0" borderId="0" numFmtId="49" xfId="0" applyNumberFormat="1" applyFont="1">
      <alignment vertical="top"/>
    </xf>
    <xf fontId="47" fillId="0" borderId="0" numFmtId="49" xfId="0" applyNumberFormat="1" applyFont="1">
      <alignment vertical="top"/>
    </xf>
    <xf fontId="47" fillId="0" borderId="0" numFmtId="0" xfId="0" applyNumberFormat="1" applyFont="1">
      <alignment horizontal="center" vertical="top"/>
    </xf>
    <xf fontId="47" fillId="0" borderId="0" numFmtId="49" xfId="0" applyNumberFormat="1" applyFont="1">
      <alignment vertical="top"/>
    </xf>
    <xf fontId="47" fillId="0" borderId="0" numFmtId="0" xfId="0" applyNumberFormat="1" applyFont="1">
      <alignment vertical="top"/>
    </xf>
    <xf fontId="74" fillId="0" borderId="0" numFmtId="0" xfId="0" applyNumberFormat="1" applyFont="1">
      <alignment vertical="top"/>
    </xf>
    <xf fontId="87" fillId="0" borderId="0" numFmtId="0" xfId="0" applyNumberFormat="1" applyFont="1">
      <alignment vertical="top"/>
    </xf>
    <xf fontId="48"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23" numFmtId="0" xfId="0" applyNumberFormat="1" applyFont="1" applyBorder="1">
      <alignment horizontal="left" vertical="center" wrapText="1"/>
    </xf>
    <xf fontId="22" fillId="0" borderId="23" numFmtId="2" xfId="0" applyNumberFormat="1" applyFont="1" applyBorder="1">
      <alignment horizontal="center" vertical="center" wrapText="1"/>
    </xf>
    <xf fontId="22" fillId="0" borderId="12" numFmtId="0" xfId="0" applyNumberFormat="1" applyFont="1" applyBorder="1">
      <alignment horizontal="left" vertical="center" wrapText="1"/>
    </xf>
    <xf fontId="48" fillId="0" borderId="22" numFmtId="49" xfId="0" applyNumberFormat="1" applyFont="1" applyBorder="1">
      <alignment vertical="top"/>
    </xf>
    <xf fontId="48" fillId="0" borderId="0" numFmtId="0" xfId="0" applyNumberFormat="1" applyFont="1">
      <alignment horizontal="center" vertical="center" wrapText="1"/>
    </xf>
    <xf fontId="48" fillId="0" borderId="0" numFmtId="0" xfId="0" applyNumberFormat="1" applyFont="1">
      <alignment horizontal="center" vertical="center" wrapText="1"/>
    </xf>
    <xf fontId="48" fillId="0" borderId="12" numFmtId="0" xfId="0" applyNumberFormat="1" applyFont="1" applyBorder="1">
      <alignment horizontal="left" vertical="center" wrapText="1"/>
    </xf>
    <xf fontId="48" fillId="0" borderId="12" numFmtId="0" xfId="0" applyNumberFormat="1" applyFont="1" applyBorder="1">
      <alignment vertical="center" wrapText="1"/>
    </xf>
    <xf fontId="48" fillId="0" borderId="22" numFmtId="0" xfId="0" applyNumberFormat="1" applyFont="1" applyBorder="1">
      <alignment vertical="center" wrapText="1"/>
    </xf>
    <xf fontId="40" fillId="37" borderId="14" numFmtId="49" xfId="0" applyNumberFormat="1" applyFont="1" applyFill="1" applyBorder="1">
      <alignment horizontal="left" vertical="center"/>
    </xf>
    <xf fontId="40" fillId="37" borderId="15" numFmtId="49" xfId="0" applyNumberFormat="1" applyFont="1" applyFill="1" applyBorder="1">
      <alignment horizontal="left" indent="1"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0" xfId="0" applyNumberFormat="1" applyFont="1" applyBorder="1">
      <alignment horizontal="left" vertical="center" wrapText="1"/>
    </xf>
    <xf fontId="22" fillId="0" borderId="12" numFmtId="0" xfId="0" applyNumberFormat="1" applyFont="1" applyBorder="1">
      <alignment horizontal="left" vertical="center" wrapText="1"/>
    </xf>
    <xf fontId="47" fillId="0" borderId="0" numFmtId="0" xfId="0" applyNumberFormat="1" applyFont="1">
      <alignment horizontal="center" vertical="top"/>
    </xf>
    <xf fontId="48" fillId="0" borderId="0" numFmtId="0" xfId="0" applyNumberFormat="1" applyFont="1">
      <alignment horizontal="center" vertical="center" wrapText="1"/>
    </xf>
    <xf fontId="48" fillId="0" borderId="23" numFmtId="49" xfId="0" applyNumberFormat="1" applyFont="1" applyBorder="1">
      <alignment horizontal="center" vertical="center" wrapText="1"/>
    </xf>
    <xf fontId="40" fillId="0" borderId="19" numFmtId="49" xfId="0" applyNumberFormat="1" applyFont="1" applyBorder="1">
      <alignment horizontal="right" vertical="center"/>
    </xf>
    <xf fontId="22" fillId="0" borderId="0" numFmtId="0" xfId="0" applyNumberFormat="1" applyFont="1">
      <alignment horizontal="right" vertical="center" wrapText="1"/>
    </xf>
    <xf fontId="0" fillId="0" borderId="0" numFmtId="0" xfId="0" applyNumberFormat="1" applyFont="1">
      <alignment vertical="center"/>
    </xf>
    <xf fontId="45" fillId="0" borderId="0" numFmtId="0" xfId="0" applyNumberFormat="1" applyFont="1">
      <alignment horizontal="right" vertical="top" wrapText="1"/>
    </xf>
    <xf fontId="45" fillId="0" borderId="0" numFmtId="0" xfId="0" applyNumberFormat="1" applyFont="1">
      <alignment horizontal="left" vertical="top" wrapText="1"/>
    </xf>
    <xf fontId="32" fillId="0" borderId="0" numFmtId="49" xfId="0" applyNumberFormat="1" applyFont="1">
      <alignment horizontal="center" vertical="center" wrapText="1"/>
    </xf>
    <xf fontId="47" fillId="55" borderId="12" numFmtId="0" xfId="0" applyNumberFormat="1" applyFont="1" applyFill="1" applyBorder="1">
      <alignment horizontal="left" vertical="center" wrapText="1"/>
    </xf>
    <xf fontId="22" fillId="54" borderId="12" numFmtId="0" xfId="0" applyNumberFormat="1" applyFont="1" applyFill="1" applyBorder="1">
      <alignment vertical="center"/>
    </xf>
    <xf fontId="0" fillId="7" borderId="12" numFmtId="49" xfId="0" applyNumberFormat="1" applyFont="1" applyFill="1" applyBorder="1">
      <alignment horizontal="center" vertical="center" wrapText="1"/>
    </xf>
    <xf fontId="0" fillId="7" borderId="12" numFmtId="49" xfId="0" applyNumberFormat="1" applyFont="1" applyFill="1" applyBorder="1">
      <alignment horizontal="center" vertical="center" wrapText="1"/>
    </xf>
    <xf fontId="36"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0" borderId="13" numFmtId="0" xfId="0" applyNumberFormat="1" applyFont="1" applyBorder="1">
      <alignment horizontal="center" vertical="center" wrapText="1"/>
    </xf>
    <xf fontId="126" fillId="0" borderId="17" numFmtId="49" xfId="0" applyNumberFormat="1" applyFont="1" applyBorder="1">
      <alignment horizontal="center" vertical="center" wrapText="1"/>
    </xf>
    <xf fontId="126" fillId="0" borderId="12" numFmtId="49"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4" numFmtId="0" xfId="0" applyNumberFormat="1" applyFont="1" applyBorder="1">
      <alignment vertical="center" wrapText="1"/>
    </xf>
    <xf fontId="22" fillId="0" borderId="15" numFmtId="0" xfId="0" applyNumberFormat="1" applyFont="1" applyBorder="1">
      <alignment horizontal="right" indent="1" vertical="center" wrapText="1"/>
    </xf>
    <xf fontId="22" fillId="0" borderId="19"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12" numFmtId="0" xfId="0" applyNumberFormat="1" applyFont="1" applyBorder="1">
      <alignment horizontal="center" vertical="center" wrapText="1"/>
    </xf>
    <xf fontId="91" fillId="0" borderId="0" numFmtId="0" xfId="0" applyNumberFormat="1" applyFont="1">
      <alignment horizontal="center" vertical="center" wrapText="1"/>
    </xf>
    <xf fontId="22" fillId="0" borderId="0" numFmtId="49" xfId="0" applyNumberFormat="1" applyFont="1">
      <alignment horizontal="center" vertical="center" wrapText="1"/>
    </xf>
    <xf fontId="22" fillId="0" borderId="28" numFmtId="49" xfId="0" applyNumberFormat="1" applyFont="1" applyBorder="1">
      <alignment horizontal="center" vertical="center" wrapText="1"/>
    </xf>
    <xf fontId="22" fillId="0" borderId="12" numFmtId="0" xfId="0" applyNumberFormat="1" applyFont="1" applyBorder="1">
      <alignment horizontal="left" vertical="center" wrapText="1"/>
    </xf>
    <xf fontId="53" fillId="36" borderId="14" numFmtId="49" xfId="0" applyNumberFormat="1" applyFont="1" applyFill="1" applyBorder="1">
      <alignment horizontal="left" vertical="center" wrapText="1"/>
      <protection locked="0"/>
    </xf>
    <xf fontId="22" fillId="0" borderId="57" numFmtId="49" xfId="0" applyNumberFormat="1" applyFont="1" applyBorder="1">
      <alignment horizontal="center" vertical="center" wrapText="1"/>
    </xf>
    <xf fontId="22" fillId="0" borderId="17" numFmtId="0" xfId="0" applyNumberFormat="1" applyFont="1" applyBorder="1">
      <alignment horizontal="left" vertical="center" wrapText="1"/>
    </xf>
    <xf fontId="22" fillId="0" borderId="17" numFmtId="0" xfId="0" applyNumberFormat="1" applyFont="1" applyBorder="1">
      <alignment horizontal="center" vertical="center" wrapText="1"/>
    </xf>
    <xf fontId="22" fillId="39" borderId="37" numFmtId="4" xfId="0" applyNumberFormat="1" applyFont="1" applyFill="1" applyBorder="1">
      <alignment horizontal="right" vertical="center" wrapText="1"/>
      <protection locked="0"/>
    </xf>
    <xf fontId="22" fillId="39" borderId="17" numFmtId="4" xfId="0" applyNumberFormat="1" applyFont="1" applyFill="1" applyBorder="1">
      <alignment horizontal="right" vertical="center" wrapText="1"/>
      <protection locked="0"/>
    </xf>
    <xf fontId="47" fillId="37" borderId="15" numFmtId="0" xfId="0" applyNumberFormat="1" applyFont="1" applyFill="1" applyBorder="1">
      <alignment vertical="center" wrapText="1"/>
    </xf>
    <xf fontId="22" fillId="0" borderId="58" numFmtId="49" xfId="0" applyNumberFormat="1" applyFont="1" applyBorder="1">
      <alignment horizontal="center" vertical="center" wrapText="1"/>
    </xf>
    <xf fontId="22" fillId="0" borderId="15" numFmtId="0" xfId="0" applyNumberFormat="1" applyFont="1" applyBorder="1">
      <alignment horizontal="center" vertical="center" wrapText="1"/>
    </xf>
    <xf fontId="22" fillId="39" borderId="14" numFmtId="4" xfId="0" applyNumberFormat="1" applyFont="1" applyFill="1" applyBorder="1">
      <alignment horizontal="right" vertical="center" wrapText="1"/>
      <protection locked="0"/>
    </xf>
    <xf fontId="22" fillId="0" borderId="59" numFmtId="49" xfId="0" applyNumberFormat="1" applyFont="1" applyBorder="1">
      <alignment horizontal="center" vertical="center" wrapText="1"/>
    </xf>
    <xf fontId="22" fillId="39" borderId="14" numFmtId="3" xfId="0" applyNumberFormat="1" applyFont="1" applyFill="1" applyBorder="1">
      <alignment horizontal="right" vertical="center" wrapText="1"/>
      <protection locked="0"/>
    </xf>
    <xf fontId="22" fillId="0" borderId="17" numFmtId="0" xfId="0" applyNumberFormat="1" applyFont="1" applyBorder="1">
      <alignment horizontal="left" vertical="center" wrapText="1"/>
    </xf>
    <xf fontId="22" fillId="0" borderId="37" numFmtId="0" xfId="0" applyNumberFormat="1" applyFont="1" applyBorder="1">
      <alignment horizontal="center"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53" fillId="39" borderId="14" numFmtId="49" xfId="0" applyNumberFormat="1" applyFont="1" applyFill="1" applyBorder="1">
      <alignment horizontal="left" vertical="center" wrapText="1"/>
      <protection locked="0"/>
    </xf>
    <xf fontId="22" fillId="0" borderId="0" numFmtId="0" xfId="0" applyNumberFormat="1" applyFont="1">
      <alignment horizontal="left" indent="2" vertical="center" wrapText="1"/>
    </xf>
    <xf fontId="121" fillId="0" borderId="0" numFmtId="49" xfId="0" applyNumberFormat="1" applyFont="1">
      <alignment horizontal="center" vertical="center" wrapText="1"/>
    </xf>
    <xf fontId="0" fillId="35" borderId="12" numFmtId="49" xfId="0" applyNumberFormat="1" applyFont="1" applyFill="1" applyBorder="1">
      <alignment horizontal="center" vertical="center" wrapText="1"/>
    </xf>
    <xf fontId="0" fillId="39" borderId="12" numFmtId="49" xfId="0" applyNumberFormat="1" applyFont="1" applyFill="1" applyBorder="1">
      <alignment horizontal="left" indent="1" vertical="center" wrapText="1"/>
      <protection locked="0"/>
    </xf>
    <xf fontId="22" fillId="0" borderId="12" numFmtId="0" xfId="0" applyNumberFormat="1" applyFont="1" applyBorder="1">
      <alignment vertical="top" wrapText="1"/>
    </xf>
    <xf fontId="22" fillId="35" borderId="0" numFmtId="0" xfId="0" applyNumberFormat="1" applyFont="1" applyFill="1">
      <alignment horizontal="right" vertical="center" wrapText="1"/>
    </xf>
    <xf fontId="64" fillId="0" borderId="0" numFmtId="0" xfId="0" applyNumberFormat="1" applyFont="1">
      <alignment vertical="center" wrapText="1"/>
    </xf>
    <xf fontId="22" fillId="35" borderId="0" numFmtId="0" xfId="0" applyNumberFormat="1" applyFont="1" applyFill="1">
      <alignment horizontal="right" vertical="center"/>
    </xf>
    <xf fontId="22" fillId="35" borderId="14" numFmtId="0" xfId="0" applyNumberFormat="1" applyFont="1" applyFill="1" applyBorder="1">
      <alignment horizontal="center" vertical="center" wrapText="1"/>
    </xf>
    <xf fontId="22" fillId="35" borderId="15"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35" borderId="12" numFmtId="0" xfId="0" applyNumberFormat="1" applyFont="1" applyFill="1" applyBorder="1">
      <alignment horizontal="center" vertical="center"/>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0" fillId="0" borderId="14" numFmtId="0" xfId="0" applyNumberFormat="1" applyFont="1" applyBorder="1">
      <alignment horizontal="center" vertical="center" wrapText="1"/>
    </xf>
    <xf fontId="0" fillId="0" borderId="12" numFmtId="0" xfId="0" applyNumberFormat="1" applyFont="1" applyBorder="1">
      <alignment horizontal="center" vertical="center" wrapText="1"/>
    </xf>
    <xf fontId="0"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0" numFmtId="49" xfId="0" applyNumberFormat="1" applyFont="1">
      <alignment vertical="top"/>
    </xf>
    <xf fontId="22" fillId="37" borderId="14" numFmtId="0" xfId="0" applyNumberFormat="1" applyFont="1" applyFill="1" applyBorder="1">
      <alignment vertical="center" wrapText="1"/>
    </xf>
    <xf fontId="44" fillId="37" borderId="13" numFmtId="49" xfId="0" applyNumberFormat="1" applyFont="1" applyFill="1" applyBorder="1">
      <alignment horizontal="center" vertical="top"/>
    </xf>
    <xf fontId="40" fillId="0" borderId="19" numFmtId="49" xfId="0" applyNumberFormat="1" applyFont="1" applyBorder="1">
      <alignment horizontal="left" vertical="center"/>
    </xf>
    <xf fontId="40" fillId="0" borderId="19" numFmtId="49" xfId="0" applyNumberFormat="1" applyFont="1" applyBorder="1">
      <alignment horizontal="left" indent="2" vertical="center"/>
    </xf>
    <xf fontId="44" fillId="0" borderId="19" numFmtId="49" xfId="0" applyNumberFormat="1" applyFont="1" applyBorder="1">
      <alignment horizontal="center" vertical="top"/>
    </xf>
    <xf fontId="22" fillId="0" borderId="0" numFmtId="0" xfId="0" applyNumberFormat="1" applyFont="1">
      <alignment horizontal="left" vertical="top" wrapText="1"/>
    </xf>
    <xf fontId="22" fillId="0" borderId="0" numFmtId="0" xfId="0" applyNumberFormat="1" applyFont="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wrapText="1"/>
    </xf>
    <xf fontId="22" fillId="0" borderId="0" numFmtId="49" xfId="0" applyNumberFormat="1" applyFont="1">
      <alignment vertical="center" wrapText="1"/>
    </xf>
    <xf fontId="22" fillId="0" borderId="0" numFmtId="49"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48" fillId="0" borderId="15" numFmtId="0" xfId="0" applyNumberFormat="1" applyFont="1" applyBorder="1">
      <alignment horizontal="right" indent="1" vertical="center" wrapText="1"/>
    </xf>
    <xf fontId="48" fillId="0" borderId="13" numFmtId="0" xfId="0" applyNumberFormat="1" applyFont="1" applyBorder="1">
      <alignment horizontal="right" indent="1" vertical="center" wrapText="1"/>
    </xf>
    <xf fontId="48" fillId="0" borderId="14" numFmtId="0" xfId="0" applyNumberFormat="1" applyFont="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0" xfId="0" applyNumberFormat="1" applyFont="1" applyBorder="1">
      <alignment horizontal="left" indent="1"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0" borderId="17" numFmtId="0" xfId="0" applyNumberFormat="1" applyFont="1" applyBorder="1">
      <alignment horizontal="center" vertical="center" wrapText="1"/>
    </xf>
    <xf fontId="40" fillId="37" borderId="19" numFmtId="49" xfId="0" applyNumberFormat="1" applyFont="1" applyFill="1" applyBorder="1">
      <alignment horizontal="left" indent="2" vertical="center"/>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vertical="top" wrapText="1"/>
    </xf>
    <xf fontId="22" fillId="0" borderId="15"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left" vertical="center" wrapText="1"/>
    </xf>
    <xf fontId="0" fillId="0" borderId="12" numFmtId="49" xfId="0" applyNumberFormat="1" applyFont="1" applyBorder="1">
      <alignment horizontal="left" indent="1" vertical="center" wrapText="1"/>
    </xf>
    <xf fontId="0" fillId="0" borderId="12" numFmtId="49" xfId="0" applyNumberFormat="1" applyFont="1" applyBorder="1">
      <alignment horizontal="left" indent="2" vertical="center" wrapText="1"/>
    </xf>
    <xf fontId="22" fillId="0" borderId="17" numFmtId="0" xfId="0" applyNumberFormat="1" applyFont="1" applyBorder="1">
      <alignment horizontal="left" indent="1" vertical="center" wrapText="1"/>
    </xf>
    <xf fontId="22" fillId="0" borderId="17" numFmtId="0"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left" indent="1" vertical="center"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48" fillId="0" borderId="27" numFmtId="0" xfId="0" applyNumberFormat="1" applyFont="1" applyBorder="1">
      <alignment vertical="center" wrapText="1"/>
    </xf>
    <xf fontId="22" fillId="34" borderId="14" numFmtId="0" xfId="0" applyNumberFormat="1" applyFont="1" applyFill="1" applyBorder="1">
      <alignment horizontal="left" vertical="top" wrapText="1"/>
    </xf>
    <xf fontId="22" fillId="34" borderId="13" numFmtId="0" xfId="0" applyNumberFormat="1" applyFont="1" applyFill="1" applyBorder="1">
      <alignment horizontal="left" vertical="top" wrapText="1"/>
    </xf>
    <xf fontId="47" fillId="0" borderId="0" numFmtId="49" xfId="0" applyNumberFormat="1" applyFont="1">
      <alignment horizontal="center" vertical="center" wrapText="1"/>
    </xf>
    <xf fontId="47" fillId="0" borderId="0" numFmtId="49" xfId="0" applyNumberFormat="1" applyFont="1">
      <alignment horizontal="center" vertical="center" wrapText="1"/>
    </xf>
    <xf fontId="22" fillId="0" borderId="0" numFmtId="0" xfId="0" applyNumberFormat="1" applyFont="1">
      <alignment vertical="top"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22" fillId="0" borderId="0" numFmtId="0" xfId="0" applyNumberFormat="1" applyFont="1">
      <alignment horizontal="left" vertical="top" wrapText="1"/>
    </xf>
    <xf fontId="48" fillId="0" borderId="0" numFmtId="49" xfId="0" applyNumberFormat="1" applyFont="1">
      <alignment horizontal="center" vertical="center" wrapText="1"/>
    </xf>
    <xf fontId="48" fillId="0" borderId="0" numFmtId="0" xfId="0" applyNumberFormat="1" applyFont="1">
      <alignment horizontal="center" vertical="center" wrapText="1"/>
    </xf>
    <xf fontId="22" fillId="57" borderId="0" numFmtId="49" xfId="0" applyNumberFormat="1" applyFont="1" applyFill="1">
      <alignment horizontal="center" textRotation="90"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left" vertical="center" wrapText="1"/>
    </xf>
    <xf fontId="22" fillId="0" borderId="12" numFmtId="4" xfId="0" applyNumberFormat="1" applyFont="1" applyBorder="1">
      <alignment horizontal="center" vertical="center" wrapText="1"/>
    </xf>
    <xf fontId="53" fillId="36" borderId="14" numFmtId="49" xfId="0" applyNumberFormat="1" applyFont="1" applyFill="1" applyBorder="1">
      <alignment horizontal="left" vertical="center" wrapText="1"/>
      <protection locked="0"/>
    </xf>
    <xf fontId="71" fillId="0" borderId="22" numFmtId="0" xfId="0" applyNumberFormat="1" applyFont="1" applyBorder="1">
      <alignment vertical="center" wrapText="1"/>
    </xf>
    <xf fontId="22" fillId="0" borderId="12" numFmtId="49" xfId="0" applyNumberFormat="1" applyFont="1" applyBorder="1">
      <alignment horizontal="center" vertical="center" wrapText="1"/>
    </xf>
    <xf fontId="22" fillId="0" borderId="12" numFmtId="0" xfId="0" applyNumberFormat="1" applyFont="1" applyBorder="1">
      <alignment horizontal="center" vertical="center" wrapText="1"/>
    </xf>
    <xf fontId="22" fillId="36" borderId="12" numFmtId="49" xfId="0" applyNumberFormat="1" applyFont="1" applyFill="1" applyBorder="1">
      <alignment horizontal="left" vertical="center" wrapText="1"/>
      <protection locked="0"/>
    </xf>
    <xf fontId="22" fillId="36" borderId="14" numFmtId="3" xfId="0" applyNumberFormat="1" applyFont="1" applyFill="1" applyBorder="1">
      <alignment horizontal="right" vertical="center" wrapText="1"/>
      <protection locked="0"/>
    </xf>
    <xf fontId="22" fillId="36" borderId="14" numFmtId="4" xfId="0" applyNumberFormat="1" applyFont="1" applyFill="1" applyBorder="1">
      <alignment horizontal="right" vertical="center" wrapText="1"/>
      <protection locked="0"/>
    </xf>
    <xf fontId="22" fillId="39" borderId="12" numFmtId="49" xfId="0" applyNumberFormat="1" applyFont="1" applyFill="1" applyBorder="1">
      <alignment horizontal="left" vertical="center" wrapText="1"/>
      <protection locked="0"/>
    </xf>
    <xf fontId="22" fillId="39"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7" numFmtId="0" xfId="0" applyNumberFormat="1" applyFont="1" applyBorder="1">
      <alignment horizontal="center" vertical="center" wrapText="1"/>
    </xf>
    <xf fontId="22" fillId="0" borderId="14" numFmtId="0" xfId="0" applyNumberFormat="1" applyFont="1" applyBorder="1">
      <alignment horizontal="center" vertical="center" wrapText="1"/>
    </xf>
    <xf fontId="83" fillId="0" borderId="0" numFmtId="0" xfId="0" applyNumberFormat="1" applyFont="1">
      <alignment vertical="center" wrapText="1"/>
    </xf>
    <xf fontId="22" fillId="0" borderId="12" numFmtId="0" xfId="0" applyNumberFormat="1" applyFont="1" applyBorder="1">
      <alignment horizontal="left" indent="2" vertical="center" wrapText="1"/>
    </xf>
    <xf fontId="22" fillId="36" borderId="14" numFmtId="49" xfId="0" applyNumberFormat="1" applyFont="1" applyFill="1" applyBorder="1">
      <alignment horizontal="left" vertical="center" wrapText="1"/>
      <protection locked="0"/>
    </xf>
    <xf fontId="22" fillId="0" borderId="0" numFmtId="0" xfId="0" applyNumberFormat="1" applyFont="1">
      <alignment vertical="top" wrapText="1"/>
    </xf>
    <xf fontId="22" fillId="0" borderId="0" numFmtId="0" xfId="0" applyNumberFormat="1" applyFont="1">
      <alignment vertical="top"/>
    </xf>
    <xf fontId="22" fillId="0" borderId="0" numFmtId="0" xfId="0" applyNumberFormat="1" applyFont="1">
      <alignment vertical="top" wrapText="1"/>
    </xf>
    <xf fontId="22" fillId="0" borderId="0" numFmtId="0" xfId="0" applyNumberFormat="1" applyFont="1">
      <alignment vertical="top"/>
    </xf>
    <xf fontId="53" fillId="0" borderId="12" numFmtId="49" xfId="0" applyNumberFormat="1" applyFont="1" applyBorder="1">
      <alignment horizontal="left" vertical="center" wrapText="1"/>
    </xf>
    <xf fontId="22" fillId="0" borderId="32" numFmtId="49" xfId="0" applyNumberFormat="1" applyFont="1" applyBorder="1">
      <alignment horizontal="center" vertical="center" wrapText="1"/>
    </xf>
    <xf fontId="22" fillId="0" borderId="32" numFmtId="0" xfId="0" applyNumberFormat="1" applyFont="1" applyBorder="1">
      <alignment horizontal="left" vertical="center" wrapText="1"/>
    </xf>
    <xf fontId="22" fillId="0" borderId="40" numFmtId="4" xfId="0" applyNumberFormat="1" applyFont="1" applyBorder="1">
      <alignment horizontal="center" vertical="center" wrapText="1"/>
    </xf>
    <xf fontId="53" fillId="0" borderId="30" numFmtId="49" xfId="0" applyNumberFormat="1" applyFont="1" applyBorder="1">
      <alignment horizontal="left" vertical="center" wrapText="1"/>
    </xf>
    <xf fontId="22" fillId="0" borderId="31" numFmtId="49" xfId="0" applyNumberFormat="1" applyFont="1" applyBorder="1">
      <alignment horizontal="center" vertical="center" wrapText="1"/>
    </xf>
    <xf fontId="22" fillId="0" borderId="33" numFmtId="0" xfId="0" applyNumberFormat="1" applyFont="1" applyBorder="1">
      <alignment horizontal="left" indent="1" vertical="center" wrapText="1"/>
    </xf>
    <xf fontId="22" fillId="39" borderId="31" numFmtId="4" xfId="0" applyNumberFormat="1" applyFont="1" applyFill="1" applyBorder="1">
      <alignment horizontal="right" vertical="center" wrapText="1"/>
      <protection locked="0"/>
    </xf>
    <xf fontId="53" fillId="0" borderId="14" numFmtId="49" xfId="0" applyNumberFormat="1" applyFont="1" applyBorder="1">
      <alignment horizontal="left" vertical="center" wrapText="1"/>
    </xf>
    <xf fontId="22" fillId="0" borderId="17" numFmtId="4" xfId="0" applyNumberFormat="1" applyFont="1" applyBorder="1">
      <alignment horizontal="center" vertical="center" wrapText="1"/>
    </xf>
    <xf fontId="22" fillId="39" borderId="35" numFmtId="4" xfId="0" applyNumberFormat="1" applyFont="1" applyFill="1" applyBorder="1">
      <alignment horizontal="right" vertical="center" wrapText="1"/>
      <protection locked="0"/>
    </xf>
    <xf fontId="22" fillId="0" borderId="33" numFmtId="0" xfId="0" applyNumberFormat="1" applyFont="1" applyBorder="1">
      <alignment horizontal="left" vertical="center" wrapText="1"/>
    </xf>
    <xf fontId="53" fillId="0" borderId="15" numFmtId="49" xfId="0" applyNumberFormat="1" applyFont="1" applyBorder="1">
      <alignment horizontal="left" vertical="center" wrapText="1"/>
    </xf>
    <xf fontId="22" fillId="0" borderId="31" numFmtId="0" xfId="0" applyNumberFormat="1" applyFont="1" applyBorder="1">
      <alignment horizontal="left" indent="1" vertical="center" wrapText="1"/>
    </xf>
    <xf fontId="22" fillId="0" borderId="32" numFmtId="4" xfId="0" applyNumberFormat="1" applyFont="1" applyBorder="1">
      <alignment horizontal="center" vertical="center" wrapText="1"/>
    </xf>
    <xf fontId="22" fillId="0" borderId="31" numFmtId="0" xfId="0" applyNumberFormat="1" applyFont="1" applyBorder="1">
      <alignment horizontal="left" vertical="center" wrapText="1"/>
    </xf>
    <xf fontId="22" fillId="0" borderId="31" numFmtId="0" xfId="0" applyNumberFormat="1" applyFont="1" applyBorder="1">
      <alignment horizontal="left" indent="2" vertical="center" wrapText="1"/>
    </xf>
    <xf fontId="22" fillId="0" borderId="31" numFmtId="4" xfId="0" applyNumberFormat="1" applyFont="1" applyBorder="1">
      <alignment horizontal="center" vertical="center" wrapText="1"/>
    </xf>
    <xf fontId="22" fillId="0" borderId="34" numFmtId="49" xfId="0" applyNumberFormat="1" applyFont="1" applyBorder="1">
      <alignment horizontal="center" vertical="center" wrapText="1"/>
    </xf>
    <xf fontId="53" fillId="39" borderId="12" numFmtId="49" xfId="0" applyNumberFormat="1" applyFont="1" applyFill="1" applyBorder="1">
      <alignment horizontal="left" vertical="center" wrapText="1"/>
      <protection locked="0"/>
    </xf>
    <xf fontId="22" fillId="0" borderId="35" numFmtId="0" xfId="0" applyNumberFormat="1" applyFont="1" applyBorder="1">
      <alignment horizontal="left" vertical="center" wrapText="1"/>
    </xf>
    <xf fontId="22" fillId="0" borderId="35" numFmtId="4" xfId="0" applyNumberFormat="1" applyFont="1" applyBorder="1">
      <alignment horizontal="center" vertical="center" wrapText="1"/>
    </xf>
    <xf fontId="53" fillId="0" borderId="37" numFmtId="49" xfId="0" applyNumberFormat="1" applyFont="1" applyBorder="1">
      <alignment horizontal="left" vertical="center" wrapText="1"/>
    </xf>
    <xf fontId="22" fillId="0" borderId="33" numFmtId="49" xfId="0" applyNumberFormat="1" applyFont="1" applyBorder="1">
      <alignment horizontal="center" vertical="center" wrapText="1"/>
    </xf>
    <xf fontId="22" fillId="39" borderId="33" numFmtId="4" xfId="0" applyNumberFormat="1" applyFont="1" applyFill="1" applyBorder="1">
      <alignment horizontal="right" vertical="center" wrapText="1"/>
      <protection locked="0"/>
    </xf>
    <xf fontId="22" fillId="0" borderId="33" numFmtId="4" xfId="0" applyNumberFormat="1" applyFont="1" applyBorder="1">
      <alignment horizontal="center" vertical="center" wrapText="1"/>
    </xf>
    <xf fontId="22" fillId="39" borderId="34" numFmtId="4" xfId="0" applyNumberFormat="1" applyFont="1" applyFill="1" applyBorder="1">
      <alignment horizontal="right" vertical="center" wrapText="1"/>
      <protection locked="0"/>
    </xf>
    <xf fontId="47" fillId="0" borderId="0" numFmtId="49" xfId="0" applyNumberFormat="1" applyFont="1">
      <alignment horizontal="center" vertical="center" wrapText="1"/>
    </xf>
    <xf fontId="47" fillId="0" borderId="0" numFmtId="0" xfId="0" applyNumberFormat="1" applyFont="1">
      <alignment horizontal="center" vertical="center" wrapText="1"/>
    </xf>
    <xf fontId="22" fillId="0" borderId="0" numFmtId="49" xfId="0" applyNumberFormat="1" applyFont="1">
      <alignment vertical="center" wrapText="1"/>
    </xf>
    <xf fontId="36" fillId="0" borderId="24" numFmtId="0" xfId="0" applyNumberFormat="1" applyFont="1" applyBorder="1">
      <alignment horizontal="center" vertical="center" wrapText="1"/>
    </xf>
    <xf fontId="0" fillId="0" borderId="14" numFmtId="0" xfId="0" applyNumberFormat="1" applyFont="1" applyBorder="1">
      <alignment horizontal="center" vertical="center"/>
    </xf>
    <xf fontId="22" fillId="0" borderId="13" numFmtId="0" xfId="0" applyNumberFormat="1" applyFont="1" applyBorder="1">
      <alignment horizontal="center" vertical="center" wrapText="1"/>
    </xf>
    <xf fontId="0" fillId="36" borderId="12" numFmtId="504" xfId="0" applyNumberFormat="1" applyFont="1" applyFill="1" applyBorder="1">
      <alignment horizontal="left" indent="1" vertical="center" wrapText="1"/>
      <protection locked="0"/>
    </xf>
    <xf fontId="22" fillId="39" borderId="14" numFmtId="49" xfId="0" applyNumberFormat="1" applyFont="1" applyFill="1" applyBorder="1">
      <alignment horizontal="left" vertical="center" wrapText="1"/>
      <protection locked="0"/>
    </xf>
    <xf fontId="22" fillId="0" borderId="0" numFmtId="0" xfId="0" applyNumberFormat="1" applyFont="1">
      <alignment horizontal="left" vertical="center" wrapText="1"/>
    </xf>
    <xf fontId="22" fillId="34" borderId="14" numFmtId="0" xfId="0" applyNumberFormat="1" applyFont="1" applyFill="1" applyBorder="1">
      <alignment horizontal="left" indent="1" vertical="top" wrapText="1"/>
    </xf>
    <xf fontId="22" fillId="34" borderId="13" numFmtId="0" xfId="0" applyNumberFormat="1" applyFont="1" applyFill="1" applyBorder="1">
      <alignment horizontal="left" indent="1" vertical="top" wrapText="1"/>
    </xf>
    <xf fontId="22" fillId="0" borderId="15" numFmtId="0" xfId="0" applyNumberFormat="1" applyFont="1" applyBorder="1">
      <alignment horizontal="right" indent="1" vertical="center" wrapText="1"/>
    </xf>
    <xf fontId="22" fillId="0" borderId="13" numFmtId="0" xfId="0" applyNumberFormat="1" applyFont="1" applyBorder="1">
      <alignment horizontal="right" indent="1"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4" numFmtId="0" xfId="0" applyNumberFormat="1" applyFont="1" applyBorder="1">
      <alignment horizontal="center" vertical="center" wrapText="1"/>
    </xf>
    <xf fontId="36" fillId="0" borderId="0" numFmtId="0" xfId="0" applyNumberFormat="1" applyFont="1">
      <alignment horizontal="center" vertical="center" wrapText="1"/>
    </xf>
    <xf fontId="0" fillId="0" borderId="14" numFmtId="49" xfId="0" applyNumberFormat="1" applyFont="1" applyBorder="1">
      <alignment horizontal="center" vertical="center"/>
    </xf>
    <xf fontId="0" fillId="0" borderId="12" numFmtId="49" xfId="0" applyNumberFormat="1" applyFont="1" applyBorder="1">
      <alignment vertical="center" wrapText="1"/>
    </xf>
    <xf fontId="22" fillId="0" borderId="13" numFmtId="0" xfId="0" applyNumberFormat="1" applyFont="1" applyBorder="1">
      <alignment horizontal="center" vertical="center" wrapText="1"/>
    </xf>
    <xf fontId="22" fillId="0" borderId="13" numFmtId="0" xfId="0" applyNumberFormat="1" applyFont="1" applyBorder="1">
      <alignment horizontal="center" vertical="center" wrapText="1"/>
    </xf>
    <xf fontId="22" fillId="37" borderId="19" numFmtId="0" xfId="0" applyNumberFormat="1" applyFont="1" applyFill="1" applyBorder="1">
      <alignment vertical="center" wrapText="1"/>
    </xf>
    <xf fontId="22" fillId="0" borderId="15" numFmtId="0" xfId="0" applyNumberFormat="1" applyFont="1" applyBorder="1">
      <alignment horizontal="center" vertical="center" wrapText="1"/>
    </xf>
    <xf fontId="22" fillId="40" borderId="12" numFmtId="49" xfId="0" applyNumberFormat="1" applyFont="1" applyFill="1" applyBorder="1">
      <alignment horizontal="center" vertical="center" wrapText="1"/>
    </xf>
    <xf fontId="22" fillId="40" borderId="12" numFmtId="49" xfId="0" applyNumberFormat="1" applyFont="1" applyFill="1" applyBorder="1">
      <alignment horizontal="center" vertical="center" wrapText="1"/>
    </xf>
    <xf fontId="22" fillId="0" borderId="12" numFmtId="0" xfId="0" applyNumberFormat="1" applyFont="1" applyBorder="1">
      <alignment horizontal="center" vertical="center" wrapText="1"/>
    </xf>
    <xf fontId="22" fillId="0" borderId="13" numFmtId="0" xfId="0" applyNumberFormat="1" applyFont="1" applyBorder="1">
      <alignment vertical="center" wrapText="1"/>
    </xf>
    <xf fontId="22" fillId="37" borderId="27" numFmtId="0" xfId="0" applyNumberFormat="1" applyFont="1" applyFill="1" applyBorder="1">
      <alignment vertical="center" wrapText="1"/>
    </xf>
    <xf fontId="36" fillId="0" borderId="0" numFmtId="0" xfId="0" applyNumberFormat="1" applyFont="1">
      <alignment horizontal="center" vertical="center" wrapText="1"/>
    </xf>
    <xf fontId="36" fillId="0" borderId="0" numFmtId="0" xfId="0" applyNumberFormat="1" applyFont="1">
      <alignment horizontal="center" vertical="center" wrapText="1"/>
    </xf>
    <xf fontId="83"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22" fillId="0" borderId="0" numFmtId="0" xfId="0" applyNumberFormat="1" applyFont="1">
      <alignment vertical="center" wrapText="1"/>
    </xf>
    <xf fontId="47" fillId="0" borderId="0" numFmtId="49" xfId="0" applyNumberFormat="1" applyFont="1">
      <alignment horizontal="center" vertical="center" wrapText="1"/>
    </xf>
    <xf fontId="98" fillId="0" borderId="0" numFmtId="49" xfId="0" applyNumberFormat="1" applyFont="1">
      <alignment horizontal="center" vertical="center" wrapText="1"/>
    </xf>
    <xf fontId="0" fillId="35" borderId="14" numFmtId="0" xfId="0" applyNumberFormat="1" applyFont="1" applyFill="1" applyBorder="1">
      <alignment horizontal="center" vertical="center" wrapText="1"/>
    </xf>
    <xf fontId="0" fillId="35" borderId="15" numFmtId="0" xfId="0" applyNumberFormat="1" applyFont="1" applyFill="1" applyBorder="1">
      <alignment horizontal="center" vertical="center" wrapText="1"/>
    </xf>
    <xf fontId="0" fillId="35" borderId="13"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22" fillId="35" borderId="17" numFmtId="0" xfId="0" applyNumberFormat="1" applyFont="1" applyFill="1" applyBorder="1">
      <alignment horizontal="center" vertical="center" wrapText="1"/>
    </xf>
    <xf fontId="0" fillId="35" borderId="17" numFmtId="0" xfId="0" applyNumberFormat="1" applyFont="1" applyFill="1" applyBorder="1">
      <alignment horizontal="center" vertical="center" wrapText="1"/>
    </xf>
    <xf fontId="0" fillId="35" borderId="37"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48" fillId="0" borderId="0" numFmtId="0" xfId="0" applyNumberFormat="1" applyFont="1">
      <alignment horizontal="center" vertical="center" wrapText="1"/>
    </xf>
    <xf fontId="48" fillId="0" borderId="12" numFmtId="49" xfId="0" applyNumberFormat="1" applyFont="1" applyBorder="1">
      <alignment horizontal="center" vertical="center" wrapText="1"/>
    </xf>
    <xf fontId="0" fillId="0" borderId="12" numFmtId="0" xfId="0" applyNumberFormat="1" applyFont="1" applyBorder="1">
      <alignment horizontal="left" indent="1" vertical="center" wrapText="1"/>
    </xf>
    <xf fontId="0" fillId="0" borderId="12" numFmtId="49" xfId="0" applyNumberFormat="1" applyFont="1" applyBorder="1">
      <alignment horizontal="center" vertical="center" wrapText="1"/>
    </xf>
    <xf fontId="22" fillId="0" borderId="12" numFmtId="49" xfId="0" applyNumberFormat="1" applyFont="1" applyBorder="1">
      <alignment horizontal="left" vertical="center" wrapText="1"/>
    </xf>
    <xf fontId="48" fillId="0" borderId="0" numFmtId="49" xfId="0" applyNumberFormat="1" applyFont="1">
      <alignment horizontal="center" vertical="center" wrapText="1"/>
    </xf>
    <xf fontId="22" fillId="0" borderId="14" numFmtId="49" xfId="0" applyNumberFormat="1" applyFont="1" applyBorder="1">
      <alignment horizontal="center" vertical="center" wrapText="1"/>
    </xf>
    <xf fontId="40" fillId="37" borderId="14" numFmtId="49" xfId="0" applyNumberFormat="1" applyFont="1" applyFill="1" applyBorder="1">
      <alignment horizontal="left" indent="1" vertical="center"/>
    </xf>
    <xf fontId="22" fillId="37" borderId="29" numFmtId="0" xfId="0" applyNumberFormat="1" applyFont="1" applyFill="1" applyBorder="1">
      <alignment vertical="center" wrapText="1"/>
    </xf>
    <xf fontId="47" fillId="0" borderId="0" numFmtId="0" xfId="0" applyNumberFormat="1" applyFont="1">
      <alignment vertical="center" wrapText="1"/>
    </xf>
    <xf fontId="47" fillId="0" borderId="0" numFmtId="0" xfId="0" applyNumberFormat="1" applyFont="1">
      <alignment vertical="center" wrapText="1"/>
    </xf>
    <xf fontId="47"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32" fillId="0" borderId="0" numFmtId="0" xfId="0" applyNumberFormat="1" applyFont="1">
      <alignment vertical="center" wrapText="1"/>
    </xf>
    <xf fontId="22" fillId="0" borderId="0" numFmtId="0" xfId="0" applyNumberFormat="1" applyFont="1">
      <alignment horizontal="left" indent="3" vertical="center" wrapText="1"/>
    </xf>
    <xf fontId="22" fillId="35" borderId="0" numFmtId="0" xfId="0" applyNumberFormat="1" applyFont="1" applyFill="1">
      <alignment vertic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73" fillId="0" borderId="39" numFmtId="49" xfId="0" applyNumberFormat="1" applyFont="1" applyBorder="1">
      <alignment vertical="top"/>
    </xf>
    <xf fontId="73" fillId="0" borderId="39" numFmtId="49" xfId="0" applyNumberFormat="1" applyFont="1" applyBorder="1">
      <alignment vertical="top"/>
    </xf>
    <xf fontId="50" fillId="35" borderId="39" numFmtId="0" xfId="0" applyNumberFormat="1" applyFont="1" applyFill="1" applyBorder="1">
      <alignment horizontal="center" wrapText="1"/>
    </xf>
    <xf fontId="50" fillId="35" borderId="39" numFmtId="0" xfId="0" applyNumberFormat="1" applyFont="1" applyFill="1" applyBorder="1">
      <alignment horizontal="center" wrapText="1"/>
    </xf>
    <xf fontId="22" fillId="35" borderId="39" numFmtId="0" xfId="0" applyNumberFormat="1" applyFont="1" applyFill="1" applyBorder="1">
      <alignment vertical="center" wrapText="1"/>
    </xf>
    <xf fontId="22" fillId="35" borderId="39" numFmtId="0" xfId="0" applyNumberFormat="1" applyFont="1" applyFill="1" applyBorder="1">
      <alignment vertical="center" wrapText="1"/>
    </xf>
    <xf fontId="22" fillId="0" borderId="0" numFmtId="49" xfId="0" applyNumberFormat="1" applyFont="1">
      <alignment vertical="top"/>
    </xf>
    <xf fontId="22" fillId="0" borderId="60" numFmtId="0" xfId="0" applyNumberFormat="1" applyFont="1" applyBorder="1">
      <alignment horizontal="center" vertical="center"/>
    </xf>
    <xf fontId="22" fillId="0" borderId="61" numFmtId="0" xfId="0" applyNumberFormat="1" applyFont="1" applyBorder="1">
      <alignment horizontal="center" vertical="center"/>
    </xf>
    <xf fontId="22" fillId="0" borderId="67" numFmtId="0" xfId="0" applyNumberFormat="1" applyFont="1" applyBorder="1">
      <alignment horizontal="center" vertical="center"/>
    </xf>
    <xf fontId="22" fillId="0" borderId="38" numFmtId="0" xfId="0" applyNumberFormat="1" applyFont="1" applyBorder="1">
      <alignment vertical="center" wrapText="1"/>
    </xf>
    <xf fontId="22" fillId="35" borderId="12" numFmtId="0" xfId="0" applyNumberFormat="1" applyFont="1" applyFill="1" applyBorder="1">
      <alignment horizontal="center" vertical="center" wrapText="1"/>
    </xf>
    <xf fontId="22" fillId="35" borderId="37" numFmtId="0" xfId="0" applyNumberFormat="1" applyFont="1" applyFill="1" applyBorder="1">
      <alignment horizontal="center" vertical="center" wrapText="1"/>
    </xf>
    <xf fontId="22" fillId="35" borderId="20" numFmtId="0" xfId="0" applyNumberFormat="1" applyFont="1" applyFill="1" applyBorder="1">
      <alignment horizontal="center"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22" numFmtId="0" xfId="0" applyNumberFormat="1" applyFont="1" applyFill="1" applyBorder="1">
      <alignment horizontal="center" vertical="center" wrapText="1"/>
    </xf>
    <xf fontId="22" fillId="35" borderId="24" numFmtId="0" xfId="0" applyNumberFormat="1" applyFont="1" applyFill="1" applyBorder="1">
      <alignment horizontal="center" vertical="center" wrapText="1"/>
    </xf>
    <xf fontId="22" fillId="0" borderId="0" numFmtId="49" xfId="0" applyNumberFormat="1" applyFont="1">
      <alignment vertical="top"/>
    </xf>
    <xf fontId="98" fillId="0" borderId="0" numFmtId="49" xfId="0" applyNumberFormat="1" applyFont="1">
      <alignment horizontal="center" vertical="center" wrapText="1"/>
    </xf>
    <xf fontId="22" fillId="35" borderId="0" numFmtId="0" xfId="0" applyNumberFormat="1" applyFont="1" applyFill="1">
      <alignment vertical="center" wrapText="1"/>
    </xf>
    <xf fontId="0" fillId="0" borderId="12" numFmtId="0" xfId="0" applyNumberFormat="1" applyFont="1" applyBorder="1">
      <alignment horizontal="center" vertical="center" wrapText="1"/>
    </xf>
    <xf fontId="22" fillId="0" borderId="0" numFmtId="49" xfId="0" applyNumberFormat="1" applyFont="1">
      <alignment vertical="top"/>
    </xf>
    <xf fontId="22" fillId="0" borderId="0" numFmtId="0" xfId="0" applyNumberFormat="1" applyFont="1">
      <alignment vertical="center" wrapText="1"/>
    </xf>
    <xf fontId="22" fillId="35" borderId="30" numFmtId="0" xfId="0" applyNumberFormat="1" applyFont="1" applyFill="1" applyBorder="1">
      <alignment horizontal="center" vertical="center" wrapText="1"/>
    </xf>
    <xf fontId="22" fillId="35" borderId="29" numFmtId="0" xfId="0" applyNumberFormat="1" applyFont="1" applyFill="1" applyBorder="1">
      <alignment horizontal="center" vertical="center" wrapText="1"/>
    </xf>
    <xf fontId="22" fillId="0" borderId="12" numFmtId="0" xfId="0" applyNumberFormat="1" applyFont="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center" vertical="center" wrapText="1"/>
    </xf>
    <xf fontId="22" fillId="35" borderId="0" numFmtId="0" xfId="0" applyNumberFormat="1" applyFont="1" applyFill="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wrapText="1"/>
    </xf>
    <xf fontId="22" fillId="0" borderId="0" numFmtId="0" xfId="0" applyNumberFormat="1" applyFont="1">
      <alignment vertical="center"/>
    </xf>
    <xf fontId="22" fillId="0" borderId="0" numFmtId="0" xfId="0" applyNumberFormat="1" applyFont="1">
      <alignment vertical="center"/>
    </xf>
    <xf fontId="22"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xf>
    <xf fontId="22" fillId="0" borderId="0" numFmtId="0" xfId="0" applyNumberFormat="1" applyFont="1">
      <alignment horizontal="left" vertical="center" wrapText="1"/>
    </xf>
    <xf fontId="22" fillId="0" borderId="0" numFmtId="0" xfId="0" applyNumberFormat="1" applyFont="1">
      <alignment vertical="center" wrapText="1"/>
    </xf>
    <xf fontId="22" fillId="0" borderId="0" numFmtId="0" xfId="0" applyNumberFormat="1" applyFont="1">
      <alignment vertical="center" wrapText="1"/>
    </xf>
    <xf fontId="22" fillId="35" borderId="0" numFmtId="0" xfId="0" applyNumberFormat="1" applyFont="1" applyFill="1">
      <alignment vertical="center" wrapText="1"/>
    </xf>
    <xf fontId="22" fillId="35" borderId="19" numFmtId="0" xfId="0" applyNumberFormat="1" applyFont="1" applyFill="1" applyBorder="1">
      <alignment vertical="center" wrapText="1"/>
    </xf>
    <xf fontId="22" fillId="0" borderId="0" numFmtId="49" xfId="0" applyNumberFormat="1" applyFont="1">
      <alignment vertical="top"/>
    </xf>
    <xf fontId="48" fillId="0" borderId="0" numFmtId="49" xfId="0" applyNumberFormat="1" applyFont="1">
      <alignment vertical="top"/>
    </xf>
    <xf fontId="48" fillId="0" borderId="39" numFmtId="0" xfId="0" applyNumberFormat="1" applyFont="1" applyBorder="1">
      <alignment vertical="center" wrapText="1"/>
    </xf>
    <xf fontId="22" fillId="0" borderId="73" numFmtId="0" xfId="0" applyNumberFormat="1" applyFont="1" applyBorder="1">
      <alignment horizontal="center" vertical="center"/>
    </xf>
    <xf fontId="22" fillId="0" borderId="43" numFmtId="0" xfId="0" applyNumberFormat="1" applyFont="1" applyBorder="1">
      <alignment horizontal="center" vertical="center"/>
    </xf>
    <xf fontId="22" fillId="0" borderId="38" numFmtId="0" xfId="0" applyNumberFormat="1" applyFont="1" applyBorder="1">
      <alignment vertical="center"/>
    </xf>
    <xf fontId="0" fillId="0" borderId="17" numFmtId="49" xfId="0" applyNumberFormat="1" applyFont="1" applyBorder="1">
      <alignment horizontal="center" vertical="center" wrapText="1"/>
    </xf>
    <xf fontId="0" fillId="0" borderId="12" numFmtId="49" xfId="0" applyNumberFormat="1" applyFont="1" applyBorder="1">
      <alignment horizontal="center" vertical="center"/>
    </xf>
    <xf fontId="0" fillId="0" borderId="12" numFmtId="49" xfId="0" applyNumberFormat="1" applyFont="1" applyBorder="1">
      <alignment horizontal="center" vertical="center" wrapText="1"/>
    </xf>
    <xf fontId="22" fillId="0" borderId="22" numFmtId="49" xfId="0" applyNumberFormat="1" applyFont="1" applyBorder="1">
      <alignment vertical="top"/>
    </xf>
    <xf fontId="0" fillId="0" borderId="36" numFmtId="49" xfId="0" applyNumberFormat="1" applyFont="1" applyBorder="1">
      <alignment horizontal="center" vertical="center" wrapText="1"/>
    </xf>
    <xf fontId="0" fillId="34" borderId="12" numFmtId="0" xfId="0" applyNumberFormat="1" applyFont="1" applyFill="1" applyBorder="1">
      <alignment horizontal="center" vertical="center" wrapText="1"/>
    </xf>
    <xf fontId="0" fillId="0" borderId="23" numFmtId="49" xfId="0" applyNumberFormat="1" applyFont="1" applyBorder="1">
      <alignment horizontal="center" vertical="center" wrapText="1"/>
    </xf>
    <xf fontId="0" fillId="0" borderId="12" numFmtId="49" xfId="0" applyNumberFormat="1" applyFont="1" applyBorder="1">
      <alignment horizontal="center" vertical="center"/>
    </xf>
    <xf fontId="0" fillId="34" borderId="12" numFmtId="49" xfId="0" applyNumberFormat="1" applyFont="1" applyFill="1" applyBorder="1">
      <alignment horizontal="center" vertical="center"/>
    </xf>
    <xf fontId="22" fillId="0" borderId="22" numFmtId="0" xfId="0" applyNumberFormat="1" applyFont="1" applyBorder="1">
      <alignment vertical="center" wrapText="1"/>
    </xf>
    <xf fontId="0" fillId="0" borderId="12" numFmtId="49" xfId="0" applyNumberFormat="1" applyFont="1" applyBorder="1">
      <alignment horizontal="center" vertical="center" wrapText="1"/>
    </xf>
    <xf fontId="0" fillId="0" borderId="12" numFmtId="49" xfId="0" applyNumberFormat="1" applyFont="1" applyBorder="1">
      <alignment vertical="center" wrapText="1"/>
    </xf>
    <xf fontId="0" fillId="0" borderId="12" numFmtId="49" xfId="0" applyNumberFormat="1" applyFont="1" applyBorder="1">
      <alignment horizontal="center" vertical="center"/>
    </xf>
    <xf fontId="0" fillId="34" borderId="12" numFmtId="4" xfId="0" applyNumberFormat="1" applyFont="1" applyFill="1" applyBorder="1">
      <alignment horizontal="right" vertical="center" wrapText="1"/>
    </xf>
    <xf fontId="0" fillId="0" borderId="12" numFmtId="49" xfId="0" applyNumberFormat="1" applyFont="1" applyBorder="1">
      <alignment horizontal="left" indent="2" vertical="center" wrapText="1"/>
    </xf>
    <xf fontId="0" fillId="36" borderId="12" numFmtId="4" xfId="0" applyNumberFormat="1" applyFont="1" applyFill="1" applyBorder="1">
      <alignment horizontal="right" vertical="center" wrapText="1"/>
      <protection locked="0"/>
    </xf>
    <xf fontId="0" fillId="0" borderId="12" numFmtId="49" xfId="0" applyNumberFormat="1" applyFont="1" applyBorder="1">
      <alignment horizontal="center" vertical="center" wrapText="1"/>
    </xf>
    <xf fontId="0" fillId="0" borderId="12" numFmtId="49" xfId="0" applyNumberFormat="1" applyFont="1" applyBorder="1">
      <alignment horizontal="left" vertical="center" wrapText="1"/>
    </xf>
    <xf fontId="0" fillId="0" borderId="12" numFmtId="49" xfId="0" applyNumberFormat="1" applyFont="1" applyBorder="1">
      <alignment horizontal="left" indent="3" vertical="center" wrapText="1"/>
    </xf>
    <xf fontId="0" fillId="0" borderId="12" numFmtId="49" xfId="0" applyNumberFormat="1" applyFont="1" applyBorder="1">
      <alignment horizontal="left" vertical="center" wrapText="1"/>
    </xf>
    <xf fontId="45" fillId="0" borderId="0" numFmtId="49" xfId="0" applyNumberFormat="1" applyFont="1">
      <alignment vertical="center"/>
    </xf>
    <xf fontId="99"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45" fillId="0" borderId="0" numFmtId="49" xfId="0" applyNumberFormat="1" applyFont="1">
      <alignment vertical="center"/>
    </xf>
    <xf fontId="99" fillId="0" borderId="0" numFmtId="49" xfId="0" applyNumberFormat="1" applyFont="1">
      <alignment vertical="center" wrapText="1"/>
    </xf>
    <xf fontId="45" fillId="0" borderId="0" numFmtId="49" xfId="0" applyNumberFormat="1" applyFont="1">
      <alignment vertical="center" wrapText="1"/>
    </xf>
    <xf fontId="45" fillId="0" borderId="0" numFmtId="49" xfId="0" applyNumberFormat="1" applyFont="1">
      <alignment vertical="top"/>
    </xf>
    <xf fontId="45" fillId="0" borderId="0" numFmtId="49" xfId="0" applyNumberFormat="1" applyFont="1">
      <alignment vertical="center" wrapText="1"/>
    </xf>
    <xf fontId="45" fillId="0" borderId="0" numFmtId="49" xfId="0" applyNumberFormat="1" applyFont="1">
      <alignment vertical="center" wrapText="1"/>
    </xf>
    <xf fontId="22" fillId="0" borderId="0" numFmtId="49" xfId="0" applyNumberFormat="1" applyFont="1">
      <alignment horizontal="center" vertical="top" wrapText="1"/>
    </xf>
    <xf fontId="32" fillId="0" borderId="0" numFmtId="49" xfId="0" applyNumberFormat="1" applyFont="1">
      <alignment horizontal="center" vertical="top" wrapText="1"/>
    </xf>
    <xf fontId="22" fillId="35" borderId="0" numFmtId="49" xfId="0" applyNumberFormat="1" applyFont="1" applyFill="1">
      <alignment horizontal="center" vertical="top" wrapText="1"/>
    </xf>
    <xf fontId="22" fillId="0" borderId="20" numFmtId="0" xfId="0" applyNumberFormat="1" applyFont="1" applyBorder="1">
      <alignment horizontal="left" vertical="top" wrapText="1"/>
    </xf>
    <xf fontId="22" fillId="0" borderId="0" numFmtId="49" xfId="0" applyNumberFormat="1" applyFont="1">
      <alignment horizontal="center" vertical="top" wrapText="1"/>
    </xf>
    <xf fontId="22" fillId="0" borderId="0" numFmtId="49" xfId="0" applyNumberFormat="1" applyFont="1">
      <alignment horizontal="center" vertical="center" wrapText="1"/>
    </xf>
    <xf fontId="32" fillId="0" borderId="0" numFmtId="49" xfId="0" applyNumberFormat="1" applyFont="1">
      <alignment horizontal="center" vertical="center" wrapText="1"/>
    </xf>
    <xf fontId="22" fillId="35" borderId="0" numFmtId="49" xfId="0" applyNumberFormat="1" applyFont="1" applyFill="1">
      <alignment horizontal="center" vertical="center" wrapText="1"/>
    </xf>
    <xf fontId="22" fillId="0" borderId="0" numFmtId="49"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45" fillId="0" borderId="0" numFmtId="49" xfId="0" applyNumberFormat="1" applyFont="1">
      <alignment horizontal="center" vertical="center" wrapText="1"/>
    </xf>
    <xf fontId="45" fillId="0" borderId="0" numFmtId="0" xfId="0" applyNumberFormat="1" applyFont="1">
      <alignment horizontal="center" vertical="center" wrapText="1"/>
    </xf>
    <xf fontId="45" fillId="0" borderId="0" numFmtId="49" xfId="0" applyNumberFormat="1" applyFont="1">
      <alignment horizontal="center" vertical="center" wrapText="1"/>
    </xf>
    <xf fontId="99" fillId="0" borderId="0" numFmtId="49" xfId="0" applyNumberFormat="1" applyFont="1">
      <alignment horizontal="center" vertical="center" wrapText="1"/>
    </xf>
    <xf fontId="22" fillId="0" borderId="0" numFmtId="49" xfId="0" applyNumberFormat="1" applyFont="1">
      <alignment horizontal="center" vertical="center" wrapText="1"/>
    </xf>
    <xf fontId="22" fillId="0" borderId="0" numFmtId="0" xfId="0" applyNumberFormat="1" applyFont="1">
      <alignment horizontal="center" vertical="center" wrapText="1"/>
    </xf>
    <xf fontId="22" fillId="49" borderId="14" numFmtId="0" xfId="0" applyNumberFormat="1" applyFont="1" applyFill="1" applyBorder="1">
      <alignment horizontal="center" vertical="center" wrapText="1"/>
    </xf>
    <xf fontId="22" fillId="49" borderId="15" numFmtId="0" xfId="0" applyNumberFormat="1" applyFont="1" applyFill="1" applyBorder="1">
      <alignment horizontal="center" vertical="center" wrapText="1"/>
    </xf>
    <xf fontId="22" fillId="49" borderId="13" numFmtId="0" xfId="0" applyNumberFormat="1" applyFont="1" applyFill="1" applyBorder="1">
      <alignment horizontal="center" vertical="center" wrapText="1"/>
    </xf>
    <xf fontId="47" fillId="47" borderId="14" numFmtId="49" xfId="0" applyNumberFormat="1" applyFont="1" applyFill="1" applyBorder="1">
      <alignment horizontal="center" vertical="center" wrapText="1"/>
    </xf>
    <xf fontId="47" fillId="47" borderId="15" numFmtId="49" xfId="0" applyNumberFormat="1" applyFont="1" applyFill="1" applyBorder="1">
      <alignment horizontal="center" vertical="center" wrapText="1"/>
    </xf>
    <xf fontId="47" fillId="47" borderId="13" numFmtId="49" xfId="0" applyNumberFormat="1" applyFont="1" applyFill="1" applyBorder="1">
      <alignment horizontal="center" vertical="center" wrapText="1"/>
    </xf>
    <xf fontId="47" fillId="50" borderId="14" numFmtId="49" xfId="0" applyNumberFormat="1" applyFont="1" applyFill="1" applyBorder="1">
      <alignment horizontal="center" vertical="center" wrapText="1"/>
    </xf>
    <xf fontId="47" fillId="50" borderId="15" numFmtId="49" xfId="0" applyNumberFormat="1" applyFont="1" applyFill="1" applyBorder="1">
      <alignment horizontal="center" vertical="center" wrapText="1"/>
    </xf>
    <xf fontId="47" fillId="50" borderId="13" numFmtId="49" xfId="0" applyNumberFormat="1" applyFont="1" applyFill="1" applyBorder="1">
      <alignment horizontal="center" vertical="center" wrapText="1"/>
    </xf>
    <xf fontId="22" fillId="51" borderId="14" numFmtId="49" xfId="0" applyNumberFormat="1" applyFont="1" applyFill="1" applyBorder="1">
      <alignment horizontal="center" vertical="center" wrapText="1"/>
    </xf>
    <xf fontId="22" fillId="51" borderId="15" numFmtId="49" xfId="0" applyNumberFormat="1" applyFont="1" applyFill="1" applyBorder="1">
      <alignment horizontal="center" vertical="center" wrapText="1"/>
    </xf>
    <xf fontId="22" fillId="41" borderId="19" numFmtId="49" xfId="0" applyNumberFormat="1" applyFont="1" applyFill="1" applyBorder="1">
      <alignment horizontal="center" vertical="center" wrapText="1"/>
    </xf>
    <xf fontId="22" fillId="41" borderId="0" numFmtId="49" xfId="0" applyNumberFormat="1" applyFont="1" applyFill="1">
      <alignment horizontal="center" vertical="center" wrapText="1"/>
    </xf>
    <xf fontId="22" fillId="0" borderId="14" numFmtId="49" xfId="0" applyNumberFormat="1" applyFont="1" applyBorder="1">
      <alignment horizontal="center" vertical="center" wrapText="1"/>
    </xf>
    <xf fontId="22" fillId="0" borderId="15" numFmtId="49" xfId="0" applyNumberFormat="1" applyFont="1" applyBorder="1">
      <alignment horizontal="center" vertical="center" wrapText="1"/>
    </xf>
    <xf fontId="22" fillId="0" borderId="13" numFmtId="49" xfId="0" applyNumberFormat="1" applyFont="1" applyBorder="1">
      <alignment horizontal="center" vertical="center" wrapText="1"/>
    </xf>
    <xf fontId="45" fillId="35" borderId="0" numFmtId="49" xfId="0" applyNumberFormat="1" applyFont="1" applyFill="1">
      <alignment vertical="center" wrapText="1"/>
    </xf>
    <xf fontId="22" fillId="35" borderId="12" numFmtId="49" xfId="0" applyNumberFormat="1" applyFont="1" applyFill="1" applyBorder="1">
      <alignment horizontal="center" vertical="center" wrapText="1"/>
    </xf>
    <xf fontId="22" fillId="41" borderId="12" numFmtId="49" xfId="0" applyNumberFormat="1" applyFont="1" applyFill="1" applyBorder="1">
      <alignment horizontal="center" vertical="center" wrapText="1"/>
    </xf>
    <xf fontId="22" fillId="41" borderId="12" numFmtId="0" xfId="0" applyNumberFormat="1" applyFont="1" applyFill="1" applyBorder="1">
      <alignment horizontal="center" vertical="center" wrapText="1"/>
    </xf>
    <xf fontId="22" fillId="41" borderId="14" numFmtId="0" xfId="0" applyNumberFormat="1" applyFont="1" applyFill="1" applyBorder="1">
      <alignment horizontal="center" vertical="center" wrapText="1"/>
    </xf>
    <xf fontId="22" fillId="35" borderId="13" numFmtId="0" xfId="0" applyNumberFormat="1" applyFont="1" applyFill="1" applyBorder="1">
      <alignment horizontal="center" vertical="center" wrapText="1"/>
    </xf>
    <xf fontId="22" fillId="41" borderId="13" numFmtId="0" xfId="0" applyNumberFormat="1" applyFont="1" applyFill="1" applyBorder="1">
      <alignment horizontal="center" vertical="center" wrapText="1"/>
    </xf>
    <xf fontId="22" fillId="0" borderId="0" numFmtId="49" xfId="0" applyNumberFormat="1" applyFont="1">
      <alignment vertical="center" wrapText="1"/>
    </xf>
    <xf fontId="45" fillId="0" borderId="0" numFmtId="49" xfId="0" applyNumberFormat="1" applyFont="1">
      <alignment vertical="top"/>
    </xf>
    <xf fontId="22" fillId="35" borderId="29" numFmtId="0" xfId="0" applyNumberFormat="1" applyFont="1" applyFill="1" applyBorder="1">
      <alignment horizontal="center" vertical="center" wrapText="1"/>
    </xf>
    <xf fontId="22" fillId="35" borderId="12" numFmtId="0" xfId="0" applyNumberFormat="1" applyFont="1" applyFill="1" applyBorder="1">
      <alignment horizontal="center" vertical="center" wrapText="1"/>
    </xf>
    <xf fontId="22" fillId="41" borderId="27" numFmtId="49" xfId="0" applyNumberFormat="1" applyFont="1" applyFill="1" applyBorder="1">
      <alignment horizontal="center" vertical="center" wrapText="1"/>
    </xf>
    <xf fontId="45" fillId="35" borderId="0" numFmtId="49" xfId="0" applyNumberFormat="1" applyFont="1" applyFill="1">
      <alignment vertical="center"/>
    </xf>
    <xf fontId="36" fillId="0" borderId="12" numFmtId="49" xfId="0" applyNumberFormat="1" applyFont="1" applyBorder="1">
      <alignment horizontal="center" vertical="center"/>
    </xf>
    <xf fontId="36" fillId="41" borderId="12" numFmtId="49" xfId="0" applyNumberFormat="1" applyFont="1" applyFill="1" applyBorder="1">
      <alignment horizontal="center" vertical="center"/>
    </xf>
    <xf fontId="36" fillId="0" borderId="12" numFmtId="0" xfId="0" applyNumberFormat="1" applyFont="1" applyBorder="1">
      <alignment horizontal="center" vertical="center"/>
    </xf>
    <xf fontId="36" fillId="0" borderId="23" numFmtId="49" xfId="0" applyNumberFormat="1" applyFont="1" applyBorder="1">
      <alignment horizontal="center" vertical="center"/>
    </xf>
    <xf fontId="22" fillId="0" borderId="0" numFmtId="49" xfId="0" applyNumberFormat="1" applyFont="1">
      <alignment vertical="center"/>
    </xf>
    <xf fontId="99" fillId="0" borderId="0" numFmtId="49" xfId="0" applyNumberFormat="1" applyFont="1">
      <alignment vertical="center"/>
    </xf>
    <xf fontId="47" fillId="0" borderId="17" numFmtId="49" xfId="0" applyNumberFormat="1" applyFont="1" applyBorder="1">
      <alignment horizontal="center" vertical="center"/>
    </xf>
    <xf fontId="22" fillId="0" borderId="17" numFmtId="49" xfId="0" applyNumberFormat="1" applyFont="1" applyBorder="1">
      <alignment horizontal="center" vertical="center"/>
    </xf>
    <xf fontId="22" fillId="0" borderId="17" numFmtId="0" xfId="0" applyNumberFormat="1" applyFont="1" applyBorder="1">
      <alignment horizontal="right" vertical="center"/>
    </xf>
    <xf fontId="22" fillId="0" borderId="17" numFmtId="0" xfId="0" applyNumberFormat="1" applyFont="1" applyBorder="1">
      <alignment horizontal="center" vertical="center"/>
    </xf>
    <xf fontId="22" fillId="0" borderId="12" numFmtId="0" xfId="0" applyNumberFormat="1" applyFont="1" applyBorder="1">
      <alignment horizontal="right" vertical="center"/>
    </xf>
    <xf fontId="22" fillId="0" borderId="0" numFmtId="49" xfId="0" applyNumberFormat="1" applyFont="1">
      <alignment vertical="center"/>
    </xf>
    <xf fontId="45" fillId="0" borderId="0" numFmtId="49" xfId="0" applyNumberFormat="1" applyFont="1">
      <alignment vertical="top"/>
    </xf>
    <xf fontId="45" fillId="35" borderId="0" numFmtId="4" xfId="0" applyNumberFormat="1" applyFont="1" applyFill="1">
      <alignment vertical="center"/>
    </xf>
    <xf fontId="45" fillId="0" borderId="0" numFmtId="49" xfId="0" applyNumberFormat="1" applyFont="1">
      <alignment vertical="center" wrapText="1"/>
    </xf>
    <xf fontId="45" fillId="0" borderId="0" numFmtId="49" xfId="0" applyNumberFormat="1" applyFont="1">
      <alignment vertical="top"/>
    </xf>
    <xf fontId="45" fillId="0" borderId="0" numFmtId="0" xfId="0" applyNumberFormat="1" applyFont="1">
      <alignment vertical="center" wrapText="1"/>
    </xf>
    <xf fontId="94" fillId="0" borderId="0" numFmtId="49" xfId="0" applyNumberFormat="1" applyFont="1">
      <alignment vertical="center" wrapText="1"/>
    </xf>
    <xf fontId="45" fillId="0" borderId="0" numFmtId="49" xfId="0" applyNumberFormat="1" applyFont="1">
      <alignment vertical="center" wrapText="1"/>
    </xf>
    <xf fontId="99" fillId="0" borderId="0" numFmtId="49" xfId="0" applyNumberFormat="1" applyFont="1">
      <alignment vertical="center" wrapText="1"/>
    </xf>
    <xf fontId="99" fillId="0" borderId="0" numFmtId="49" xfId="0" applyNumberFormat="1" applyFont="1">
      <alignment vertical="center" wrapText="1"/>
    </xf>
    <xf fontId="36" fillId="0" borderId="0" numFmtId="0" xfId="0" applyNumberFormat="1" applyFont="1">
      <alignment horizontal="center" vertical="center" wrapText="1"/>
    </xf>
    <xf fontId="22" fillId="0" borderId="12" numFmtId="0" xfId="0" applyNumberFormat="1" applyFont="1" applyBorder="1">
      <alignment horizontal="center" vertical="center" wrapText="1"/>
    </xf>
    <xf fontId="22" fillId="34" borderId="14" numFmtId="0" xfId="0" applyNumberFormat="1" applyFont="1" applyFill="1" applyBorder="1">
      <alignment horizontal="left" indent="1" vertical="top" wrapText="1"/>
    </xf>
    <xf fontId="22" fillId="0" borderId="14" numFmtId="0" xfId="0" applyNumberFormat="1" applyFont="1" applyBorder="1">
      <alignment horizontal="center" vertical="center" wrapText="1"/>
    </xf>
    <xf fontId="22" fillId="0" borderId="12" numFmtId="0" xfId="0" applyNumberFormat="1" applyFont="1" applyBorder="1">
      <alignment horizontal="left" vertical="top" wrapText="1"/>
    </xf>
    <xf fontId="22" fillId="39" borderId="14" numFmtId="3" xfId="0" applyNumberFormat="1" applyFont="1" applyFill="1" applyBorder="1">
      <alignment vertical="center" wrapText="1"/>
      <protection locked="0"/>
    </xf>
    <xf fontId="22" fillId="0" borderId="12" numFmtId="0" xfId="0" applyNumberFormat="1" applyFont="1" applyBorder="1">
      <alignment vertical="top" wrapText="1"/>
    </xf>
    <xf fontId="22" fillId="0" borderId="12" numFmtId="0" xfId="0" applyNumberFormat="1" applyFont="1" applyBorder="1">
      <alignment horizontal="left" vertical="top" wrapText="1"/>
    </xf>
    <xf fontId="22" fillId="34" borderId="14" numFmtId="4" xfId="0" applyNumberFormat="1" applyFont="1" applyFill="1" applyBorder="1">
      <alignment horizontal="right" vertical="center" wrapText="1"/>
    </xf>
    <xf fontId="47" fillId="0" borderId="12" numFmtId="0" xfId="0" applyNumberFormat="1" applyFont="1" applyBorder="1">
      <alignment vertical="top" wrapText="1"/>
    </xf>
    <xf fontId="22" fillId="39" borderId="12" numFmtId="49" xfId="0" applyNumberFormat="1" applyFont="1" applyFill="1" applyBorder="1">
      <alignment horizontal="left" indent="1" vertical="center" wrapText="1"/>
      <protection locked="0"/>
    </xf>
    <xf fontId="39" fillId="35" borderId="0" numFmtId="0" xfId="0" applyNumberFormat="1" applyFont="1" applyFill="1">
      <alignment vertical="center" wrapText="1"/>
    </xf>
    <xf fontId="22" fillId="35" borderId="0" numFmtId="0" xfId="0" applyNumberFormat="1" applyFont="1" applyFill="1">
      <alignment vertical="center" wrapText="1"/>
    </xf>
    <xf fontId="22" fillId="0" borderId="20" numFmtId="0" xfId="0" applyNumberFormat="1" applyFont="1" applyBorder="1">
      <alignment horizontal="left" indent="1" vertical="top" wrapText="1"/>
    </xf>
    <xf fontId="22" fillId="0" borderId="17" numFmtId="0" xfId="0" applyNumberFormat="1" applyFont="1" applyBorder="1">
      <alignment horizontal="left" indent="1" vertical="top" wrapText="1"/>
    </xf>
    <xf fontId="22" fillId="0" borderId="37" numFmtId="0" xfId="0" applyNumberFormat="1" applyFont="1" applyBorder="1">
      <alignment horizontal="left" indent="1" vertical="top" wrapText="1"/>
    </xf>
    <xf fontId="22" fillId="0" borderId="0" numFmtId="49" xfId="0" applyNumberFormat="1" applyFont="1">
      <alignment vertical="center" wrapText="1"/>
    </xf>
    <xf fontId="22" fillId="0" borderId="29" numFmtId="0" xfId="0" applyNumberFormat="1" applyFont="1" applyBorder="1">
      <alignment horizontal="left" indent="1" vertical="center" wrapText="1"/>
    </xf>
    <xf fontId="22" fillId="0" borderId="23" numFmtId="0" xfId="0" applyNumberFormat="1" applyFont="1" applyBorder="1">
      <alignment horizontal="left" indent="1" vertical="center" wrapText="1"/>
    </xf>
    <xf fontId="22" fillId="0" borderId="30" numFmtId="0" xfId="0" applyNumberFormat="1" applyFont="1" applyBorder="1">
      <alignment horizontal="left" indent="1" vertical="center" wrapText="1"/>
    </xf>
    <xf fontId="22" fillId="35" borderId="0" numFmtId="0" xfId="0" applyNumberFormat="1" applyFont="1" applyFill="1">
      <alignment horizontal="center" vertical="center" wrapText="1"/>
    </xf>
    <xf fontId="22" fillId="0" borderId="0" numFmtId="49" xfId="0" applyNumberFormat="1" applyFont="1">
      <alignment vertical="center" wrapText="1"/>
    </xf>
    <xf fontId="22" fillId="35" borderId="0" numFmtId="0" xfId="0" applyNumberFormat="1" applyFont="1" applyFill="1">
      <alignment horizontal="center" vertical="center" wrapText="1"/>
    </xf>
    <xf fontId="22" fillId="35" borderId="12" numFmtId="0" xfId="0" applyNumberFormat="1" applyFont="1" applyFill="1" applyBorder="1">
      <alignment horizontal="center" vertical="center" wrapText="1"/>
    </xf>
    <xf fontId="0" fillId="0" borderId="12" numFmtId="0" xfId="0" applyNumberFormat="1" applyFont="1" applyBorder="1">
      <alignment horizontal="center" vertical="center" wrapText="1"/>
    </xf>
    <xf fontId="36" fillId="35" borderId="0" numFmtId="49" xfId="0" applyNumberFormat="1" applyFont="1" applyFill="1">
      <alignment horizontal="center" vertical="center" wrapText="1"/>
    </xf>
    <xf fontId="22" fillId="0" borderId="0" numFmtId="49" xfId="0" applyNumberFormat="1" applyFont="1">
      <alignment vertical="top"/>
    </xf>
    <xf fontId="0" fillId="35" borderId="12" numFmtId="49" xfId="0" applyNumberFormat="1" applyFont="1" applyFill="1" applyBorder="1">
      <alignment horizontal="center" vertical="center" wrapText="1"/>
    </xf>
    <xf fontId="0" fillId="0" borderId="12" numFmtId="0" xfId="0" applyNumberFormat="1" applyFont="1" applyBorder="1">
      <alignment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indent="2" vertical="center" wrapText="1"/>
      <protection locked="0"/>
    </xf>
    <xf fontId="53" fillId="39" borderId="12" numFmtId="49" xfId="0" applyNumberFormat="1" applyFont="1" applyFill="1" applyBorder="1">
      <alignment horizontal="left" vertical="center" wrapText="1"/>
      <protection locked="0"/>
    </xf>
    <xf fontId="22" fillId="37" borderId="14" numFmtId="0" xfId="0" applyNumberFormat="1" applyFont="1" applyFill="1" applyBorder="1">
      <alignment vertical="center" wrapText="1"/>
    </xf>
    <xf fontId="40" fillId="37" borderId="15" numFmtId="49" xfId="0" applyNumberFormat="1" applyFont="1" applyFill="1" applyBorder="1">
      <alignment horizontal="left" indent="2" vertical="center"/>
    </xf>
    <xf fontId="44" fillId="37" borderId="13" numFmtId="49" xfId="0" applyNumberFormat="1" applyFont="1" applyFill="1" applyBorder="1">
      <alignment horizontal="center" vertical="top"/>
    </xf>
    <xf fontId="47" fillId="0" borderId="0" numFmtId="0" xfId="0" applyNumberFormat="1" applyFont="1">
      <alignment vertical="center" wrapText="1"/>
    </xf>
    <xf fontId="39" fillId="35" borderId="0" numFmtId="0" xfId="0" applyNumberFormat="1" applyFont="1" applyFill="1">
      <alignment vertical="center" wrapText="1"/>
    </xf>
    <xf fontId="44" fillId="37" borderId="15" numFmtId="49" xfId="0" applyNumberFormat="1" applyFont="1" applyFill="1" applyBorder="1">
      <alignment horizontal="center" vertical="top"/>
    </xf>
    <xf fontId="48" fillId="0" borderId="0" numFmtId="0" xfId="0" applyNumberFormat="1" applyFont="1">
      <alignment vertical="center"/>
    </xf>
    <xf fontId="22" fillId="0" borderId="0" numFmtId="0" xfId="0" applyNumberFormat="1" applyFont="1">
      <alignment vertical="center"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left" indent="1" vertical="center" wrapText="1"/>
    </xf>
    <xf fontId="0" fillId="35" borderId="12" numFmtId="0" xfId="0" applyNumberFormat="1" applyFont="1" applyFill="1" applyBorder="1">
      <alignment horizontal="center" vertical="center" wrapText="1"/>
    </xf>
    <xf fontId="0" fillId="0" borderId="12" numFmtId="0" xfId="0" applyNumberFormat="1" applyFont="1" applyBorder="1">
      <alignment horizontal="left" indent="1" vertical="center" wrapText="1"/>
    </xf>
    <xf fontId="67" fillId="0" borderId="12" numFmtId="49" xfId="0" applyNumberFormat="1" applyFont="1" applyBorder="1">
      <alignment horizontal="center" vertical="center" wrapText="1"/>
    </xf>
    <xf fontId="67" fillId="0" borderId="12" numFmtId="0" xfId="0" applyNumberFormat="1" applyFont="1" applyBorder="1">
      <alignment horizontal="left" indent="2" vertical="center" wrapText="1"/>
    </xf>
    <xf fontId="70" fillId="0" borderId="14" numFmtId="49" xfId="0" applyNumberFormat="1" applyFont="1" applyBorder="1">
      <alignment horizontal="left" vertical="center" wrapText="1"/>
    </xf>
    <xf fontId="22" fillId="0" borderId="17" numFmtId="0" xfId="0" applyNumberFormat="1" applyFont="1" applyBorder="1">
      <alignment vertical="top" wrapText="1"/>
    </xf>
    <xf fontId="40" fillId="37" borderId="15" numFmtId="49" xfId="0" applyNumberFormat="1" applyFont="1" applyFill="1" applyBorder="1">
      <alignment horizontal="left" indent="1" vertical="center"/>
    </xf>
    <xf fontId="22" fillId="0" borderId="23" numFmtId="0" xfId="0" applyNumberFormat="1" applyFont="1" applyBorder="1">
      <alignment vertical="top" wrapText="1"/>
    </xf>
    <xf fontId="0" fillId="35" borderId="12" numFmtId="49" xfId="0" applyNumberFormat="1" applyFont="1" applyFill="1" applyBorder="1">
      <alignment horizontal="center" vertical="center" wrapText="1"/>
    </xf>
    <xf fontId="0" fillId="0" borderId="12" numFmtId="0" xfId="0" applyNumberFormat="1" applyFont="1" applyBorder="1">
      <alignment horizontal="center" vertical="center" wrapText="1"/>
    </xf>
    <xf fontId="22" fillId="0" borderId="12" numFmtId="0" xfId="0" applyNumberFormat="1" applyFont="1" applyBorder="1">
      <alignment vertical="center" wrapText="1"/>
    </xf>
    <xf fontId="0" fillId="0" borderId="12" numFmtId="0" xfId="0" applyNumberFormat="1" applyFont="1" applyBorder="1">
      <alignment horizontal="left" indent="1" vertical="center" wrapText="1"/>
    </xf>
    <xf fontId="22" fillId="0" borderId="0" numFmtId="0" xfId="0" applyNumberFormat="1" applyFont="1">
      <alignment vertical="top" wrapText="1"/>
    </xf>
    <xf fontId="22" fillId="0" borderId="0" numFmtId="49" xfId="0" applyNumberFormat="1" applyFont="1">
      <alignment vertical="center" wrapText="1"/>
    </xf>
    <xf fontId="39" fillId="0" borderId="0" numFmtId="0" xfId="0" applyNumberFormat="1" applyFont="1">
      <alignment vertical="center" wrapText="1"/>
    </xf>
    <xf fontId="47" fillId="0" borderId="0" numFmtId="49" xfId="0" applyNumberFormat="1" applyFont="1">
      <alignment vertical="top"/>
    </xf>
    <xf fontId="0" fillId="39" borderId="12" numFmtId="0" xfId="0" applyNumberFormat="1" applyFont="1" applyFill="1" applyBorder="1">
      <alignment horizontal="left" indent="1" vertical="center" wrapText="1"/>
      <protection locked="0"/>
    </xf>
    <xf fontId="53" fillId="39" borderId="12" numFmtId="49" xfId="0" applyNumberFormat="1" applyFont="1" applyFill="1" applyBorder="1">
      <alignment horizontal="left" vertical="center" wrapText="1"/>
      <protection locked="0"/>
    </xf>
    <xf fontId="0" fillId="0" borderId="12" numFmtId="0" xfId="0" applyNumberFormat="1" applyFont="1" applyBorder="1">
      <alignment horizontal="left" indent="1" vertical="center" wrapText="1"/>
    </xf>
    <xf fontId="0" fillId="39" borderId="12" numFmtId="0" xfId="0" applyNumberFormat="1" applyFont="1" applyFill="1" applyBorder="1">
      <alignment horizontal="left" vertical="center" wrapText="1"/>
      <protection locked="0"/>
    </xf>
    <xf fontId="0" fillId="0" borderId="12" numFmtId="0" xfId="0" applyNumberFormat="1" applyFont="1" applyBorder="1">
      <alignment horizontal="left" indent="2" vertical="center" wrapText="1"/>
    </xf>
    <xf fontId="22" fillId="40" borderId="12" numFmtId="49" xfId="0" applyNumberFormat="1" applyFont="1" applyFill="1" applyBorder="1">
      <alignment horizontal="left" vertical="center" wrapText="1"/>
    </xf>
    <xf fontId="0" fillId="0" borderId="12" numFmtId="0" xfId="0" applyNumberFormat="1" applyFont="1" applyBorder="1">
      <alignment horizontal="left" vertical="center" wrapText="1"/>
    </xf>
    <xf fontId="0" fillId="39" borderId="12" numFmtId="504" xfId="0" applyNumberFormat="1" applyFont="1" applyFill="1" applyBorder="1">
      <alignment horizontal="left" vertical="center" wrapText="1"/>
      <protection locked="0"/>
    </xf>
    <xf fontId="22" fillId="0" borderId="12" numFmtId="0" xfId="0" applyNumberFormat="1" applyFont="1" applyBorder="1">
      <alignment horizontal="left" vertical="top" wrapText="1"/>
    </xf>
    <xf fontId="0" fillId="0" borderId="12" numFmtId="0" xfId="0" applyNumberFormat="1" applyFont="1" applyBorder="1">
      <alignment horizontal="left" vertical="center" wrapText="1"/>
    </xf>
    <xf fontId="22" fillId="0" borderId="12" numFmtId="0" xfId="0" applyNumberFormat="1" applyFont="1" applyBorder="1">
      <alignment horizontal="left" vertical="center" wrapText="1"/>
    </xf>
    <xf fontId="0" fillId="0" borderId="12" numFmtId="0" xfId="0" applyNumberFormat="1" applyFont="1" applyBorder="1">
      <alignment horizontal="left" vertical="center" wrapText="1"/>
    </xf>
    <xf fontId="22" fillId="0" borderId="12" numFmtId="0" xfId="0" applyNumberFormat="1" applyFont="1" applyBorder="1">
      <alignment vertical="top" wrapText="1"/>
    </xf>
    <xf fontId="40" fillId="37" borderId="15" numFmtId="49" xfId="0" applyNumberFormat="1" applyFont="1" applyFill="1" applyBorder="1">
      <alignment horizontal="left" indent="2" vertical="center"/>
    </xf>
    <xf fontId="40" fillId="37" borderId="15" numFmtId="49" xfId="0" applyNumberFormat="1" applyFont="1" applyFill="1" applyBorder="1">
      <alignment horizontal="left" indent="3" vertical="center"/>
    </xf>
    <xf fontId="22" fillId="40" borderId="12" numFmtId="49" xfId="0" applyNumberFormat="1" applyFont="1" applyFill="1" applyBorder="1">
      <alignment horizontal="left" vertical="center" wrapText="1"/>
    </xf>
    <xf fontId="22" fillId="0" borderId="0" numFmtId="49" xfId="0" applyNumberFormat="1" applyFont="1">
      <alignment vertical="top"/>
    </xf>
    <xf fontId="48" fillId="0" borderId="0" numFmtId="49" xfId="0" applyNumberFormat="1" applyFont="1">
      <alignment vertical="top"/>
    </xf>
    <xf fontId="22" fillId="0" borderId="0" numFmtId="49" xfId="0" applyNumberFormat="1" applyFont="1">
      <alignment vertical="top"/>
    </xf>
    <xf fontId="22" fillId="0" borderId="0" numFmtId="49" xfId="0" applyNumberFormat="1" applyFont="1">
      <alignment vertical="top" wrapText="1"/>
    </xf>
    <xf fontId="22" fillId="0" borderId="0" numFmtId="49" xfId="0" applyNumberFormat="1" applyFont="1">
      <alignment vertical="top"/>
    </xf>
    <xf fontId="0" fillId="0" borderId="13" numFmtId="0" xfId="0" applyNumberFormat="1" applyFont="1" applyBorder="1">
      <alignment horizontal="center" vertical="center" wrapText="1"/>
    </xf>
    <xf fontId="0" fillId="39" borderId="13" numFmtId="504" xfId="0" applyNumberFormat="1" applyFont="1" applyFill="1" applyBorder="1">
      <alignment horizontal="left" vertical="center" wrapText="1"/>
      <protection locked="0"/>
    </xf>
    <xf fontId="0" fillId="39" borderId="14" numFmtId="504" xfId="0" applyNumberFormat="1" applyFont="1" applyFill="1" applyBorder="1">
      <alignment horizontal="left" vertical="center" wrapText="1"/>
      <protection locked="0"/>
    </xf>
    <xf fontId="22" fillId="40" borderId="12" numFmtId="0" xfId="0" applyNumberFormat="1" applyFont="1" applyFill="1" applyBorder="1">
      <alignment horizontal="left" vertical="center" wrapText="1"/>
    </xf>
    <xf fontId="0" fillId="0" borderId="36" numFmtId="0" xfId="0" applyNumberFormat="1" applyFont="1" applyBorder="1">
      <alignment horizontal="center" vertical="center" wrapText="1"/>
    </xf>
    <xf fontId="0" fillId="0" borderId="13" numFmtId="0" xfId="0" applyNumberFormat="1" applyFont="1" applyBorder="1">
      <alignment horizontal="center" vertical="center" wrapText="1"/>
    </xf>
    <xf fontId="22" fillId="0" borderId="0" numFmtId="0" xfId="0" applyNumberFormat="1" applyFont="1">
      <alignment horizontal="left" indent="1" vertical="center" wrapText="1"/>
    </xf>
    <xf fontId="22" fillId="0" borderId="0" numFmtId="0" xfId="0" applyNumberFormat="1" applyFont="1">
      <alignment vertical="center" wrapText="1"/>
    </xf>
    <xf fontId="0" fillId="0" borderId="12" numFmtId="0" xfId="0" applyNumberFormat="1" applyFont="1" applyBorder="1">
      <alignment horizontal="center" vertical="center" wrapText="1"/>
    </xf>
    <xf fontId="22" fillId="0" borderId="15" numFmtId="0" xfId="0" applyNumberFormat="1" applyFont="1" applyBorder="1">
      <alignment horizontal="left" indent="1" vertical="top" wrapText="1"/>
    </xf>
    <xf fontId="46" fillId="0" borderId="0" numFmtId="0" xfId="0" applyNumberFormat="1" applyFont="1">
      <alignment vertical="center" wrapText="1"/>
    </xf>
    <xf fontId="0" fillId="35" borderId="14" numFmtId="0" xfId="0" applyNumberFormat="1" applyFont="1" applyFill="1" applyBorder="1">
      <alignment horizontal="right" indent="1" vertical="center" wrapText="1"/>
    </xf>
    <xf fontId="71" fillId="0" borderId="0" numFmtId="0" xfId="0" applyNumberFormat="1" applyFont="1">
      <alignment vertical="center" wrapText="1"/>
    </xf>
    <xf fontId="36" fillId="35" borderId="0" numFmtId="49" xfId="0" applyNumberFormat="1" applyFont="1" applyFill="1">
      <alignment horizontal="center" vertical="center" wrapText="1"/>
    </xf>
    <xf fontId="36" fillId="35" borderId="19" numFmtId="49" xfId="0" applyNumberFormat="1" applyFont="1" applyFill="1" applyBorder="1">
      <alignment horizontal="center" vertical="center" wrapText="1"/>
    </xf>
    <xf fontId="0" fillId="35" borderId="17" numFmtId="49" xfId="0" applyNumberFormat="1" applyFont="1" applyFill="1" applyBorder="1">
      <alignment horizontal="center" vertical="center" wrapText="1"/>
    </xf>
    <xf fontId="0" fillId="0" borderId="17" numFmtId="0" xfId="0" applyNumberFormat="1" applyFont="1" applyBorder="1">
      <alignment horizontal="left" vertical="center" wrapText="1"/>
    </xf>
    <xf fontId="0" fillId="0" borderId="17" numFmtId="0" xfId="0" applyNumberFormat="1" applyFont="1" applyBorder="1">
      <alignment horizontal="left" vertical="center" wrapText="1"/>
    </xf>
    <xf fontId="22" fillId="0" borderId="12" numFmtId="0" xfId="0" applyNumberFormat="1" applyFont="1" applyBorder="1">
      <alignment horizontal="left" vertical="center" wrapText="1"/>
    </xf>
    <xf fontId="39" fillId="35" borderId="0" numFmtId="0" xfId="0" applyNumberFormat="1" applyFont="1" applyFill="1">
      <alignment horizontal="center" vertical="top" wrapText="1"/>
    </xf>
    <xf fontId="0" fillId="34" borderId="14"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9" borderId="13" numFmtId="504" xfId="0" applyNumberFormat="1" applyFont="1" applyFill="1" applyBorder="1">
      <alignment horizontal="left" vertical="center" wrapText="1"/>
      <protection locked="0"/>
    </xf>
    <xf fontId="0" fillId="39" borderId="14" numFmtId="504" xfId="0" applyNumberFormat="1" applyFont="1" applyFill="1" applyBorder="1">
      <alignment horizontal="left" vertical="center" wrapText="1"/>
      <protection locked="0"/>
    </xf>
    <xf fontId="0" fillId="0" borderId="13" numFmtId="0" xfId="0" applyNumberFormat="1" applyFont="1" applyBorder="1">
      <alignment horizontal="center" vertical="center" wrapText="1"/>
    </xf>
    <xf fontId="40" fillId="37" borderId="27" numFmtId="49" xfId="0" applyNumberFormat="1" applyFont="1" applyFill="1" applyBorder="1">
      <alignment horizontal="left" indent="2" vertical="center"/>
    </xf>
    <xf fontId="40" fillId="37" borderId="15" numFmtId="49" xfId="0" applyNumberFormat="1" applyFont="1" applyFill="1" applyBorder="1">
      <alignment horizontal="left" vertical="center"/>
    </xf>
    <xf fontId="39" fillId="35" borderId="24" numFmtId="0" xfId="0" applyNumberFormat="1" applyFont="1" applyFill="1" applyBorder="1">
      <alignment horizontal="center" vertical="top" wrapText="1"/>
    </xf>
    <xf fontId="0" fillId="35" borderId="23" numFmtId="49" xfId="0" applyNumberFormat="1" applyFont="1" applyFill="1" applyBorder="1">
      <alignment horizontal="center" vertical="center" wrapText="1"/>
    </xf>
    <xf fontId="0" fillId="34" borderId="23" numFmtId="0" xfId="0" applyNumberFormat="1" applyFont="1" applyFill="1" applyBorder="1">
      <alignment horizontal="left" indent="1" vertical="center" wrapText="1"/>
    </xf>
    <xf fontId="0" fillId="0" borderId="13" numFmtId="0" xfId="0" applyNumberFormat="1" applyFont="1" applyBorder="1">
      <alignment horizontal="center" vertical="center" wrapText="1"/>
    </xf>
    <xf fontId="0" fillId="35" borderId="14" numFmtId="49" xfId="0" applyNumberFormat="1" applyFont="1" applyFill="1" applyBorder="1">
      <alignment horizontal="center" vertical="center" wrapText="1"/>
    </xf>
    <xf fontId="27" fillId="39" borderId="12" numFmtId="49" xfId="0" applyNumberFormat="1" applyFont="1" applyFill="1" applyBorder="1">
      <alignment horizontal="left" vertical="center" wrapText="1"/>
      <protection locked="0"/>
    </xf>
    <xf fontId="22" fillId="0" borderId="0" numFmtId="0" xfId="0" applyNumberFormat="1" applyFont="1">
      <alignment vertical="center" wrapText="1"/>
    </xf>
    <xf fontId="22" fillId="0" borderId="0" numFmtId="49" xfId="0" applyNumberFormat="1" applyFont="1">
      <alignment vertical="top"/>
    </xf>
    <xf fontId="22" fillId="0" borderId="0" numFmtId="0" xfId="0" applyNumberFormat="1" applyFont="1">
      <alignment vertical="top" wrapText="1"/>
    </xf>
    <xf fontId="39" fillId="0" borderId="0" numFmtId="0" xfId="0" applyNumberFormat="1" applyFont="1">
      <alignment vertical="center" wrapText="1"/>
    </xf>
    <xf fontId="22" fillId="0" borderId="36" numFmtId="0" xfId="0" applyNumberFormat="1" applyFont="1" applyBorder="1">
      <alignment vertical="center" wrapText="1"/>
    </xf>
    <xf fontId="0" fillId="39" borderId="12" numFmtId="4" xfId="0" applyNumberFormat="1" applyFont="1" applyFill="1" applyBorder="1">
      <alignment horizontal="right" vertical="center" wrapText="1"/>
      <protection locked="0"/>
    </xf>
    <xf fontId="0" fillId="0" borderId="36" numFmtId="0" xfId="0" applyNumberFormat="1" applyFont="1" applyBorder="1">
      <alignment horizontal="center" vertical="center" wrapText="1"/>
    </xf>
    <xf fontId="71" fillId="0" borderId="0" numFmtId="0" xfId="0" applyNumberFormat="1" applyFont="1">
      <alignment vertical="center" wrapText="1"/>
    </xf>
    <xf fontId="48" fillId="0" borderId="0" numFmtId="0" xfId="0" applyNumberFormat="1" applyFont="1">
      <alignment vertical="center"/>
    </xf>
    <xf fontId="22" fillId="0" borderId="36" numFmtId="0" xfId="0" applyNumberFormat="1" applyFont="1" applyBorder="1">
      <alignment horizontal="left" vertical="top" wrapText="1"/>
    </xf>
    <xf fontId="22" fillId="0" borderId="0" numFmtId="49" xfId="0" applyNumberFormat="1" applyFont="1">
      <alignment vertical="top"/>
    </xf>
    <xf fontId="22" fillId="0" borderId="19" numFmtId="49" xfId="0" applyNumberFormat="1" applyFont="1" applyBorder="1">
      <alignment vertical="top"/>
    </xf>
    <xf fontId="46" fillId="0" borderId="0" numFmtId="0" xfId="0" applyNumberFormat="1" applyFont="1">
      <alignment horizontal="right" vertical="top" wrapText="1"/>
    </xf>
    <xf fontId="22" fillId="0" borderId="0" numFmtId="49" xfId="0" applyNumberFormat="1" applyFont="1">
      <alignment vertical="top" wrapText="1"/>
    </xf>
    <xf fontId="22" fillId="0" borderId="0" numFmtId="0" xfId="0" applyNumberFormat="1" applyFont="1">
      <alignment vertical="top" wrapText="1"/>
    </xf>
    <xf fontId="22" fillId="0" borderId="0" numFmtId="49" xfId="0" applyNumberFormat="1" applyFont="1">
      <alignment vertical="top"/>
    </xf>
    <xf fontId="22" fillId="35" borderId="12" numFmtId="0" xfId="0" applyNumberFormat="1" applyFont="1" applyFill="1" applyBorder="1">
      <alignment horizontal="center" vertical="center" wrapText="1"/>
    </xf>
    <xf fontId="37" fillId="35" borderId="0" numFmtId="0" xfId="0" applyNumberFormat="1" applyFont="1" applyFill="1">
      <alignment horizontal="center" vertical="center" wrapText="1"/>
    </xf>
    <xf fontId="0" fillId="0" borderId="12" numFmtId="0" xfId="0" applyNumberFormat="1" applyFont="1" applyBorder="1">
      <alignment horizontal="left" vertical="center" wrapText="1"/>
    </xf>
    <xf fontId="22" fillId="0" borderId="19" numFmtId="0" xfId="0" applyNumberFormat="1" applyFont="1" applyBorder="1">
      <alignment vertical="center" wrapText="1"/>
    </xf>
    <xf fontId="22" fillId="0" borderId="19" numFmtId="0" xfId="0" applyNumberFormat="1" applyFont="1" applyBorder="1">
      <alignment horizontal="left" vertical="top" wrapText="1"/>
    </xf>
    <xf fontId="22" fillId="0" borderId="0" numFmtId="49" xfId="0" applyNumberFormat="1" applyFont="1">
      <alignment vertical="center" wrapText="1"/>
    </xf>
    <xf fontId="83" fillId="0" borderId="0" numFmtId="0" xfId="0" applyNumberFormat="1" applyFont="1">
      <alignment vertical="center" wrapText="1"/>
    </xf>
    <xf fontId="22" fillId="0" borderId="12" numFmtId="0" xfId="0" applyNumberFormat="1" applyFont="1" applyBorder="1">
      <alignment horizontal="center" vertical="center" wrapText="1"/>
    </xf>
    <xf fontId="22" fillId="0" borderId="12" numFmtId="0" xfId="0" applyNumberFormat="1" applyFont="1" applyBorder="1">
      <alignment horizontal="left" vertical="center" wrapText="1"/>
    </xf>
    <xf fontId="22" fillId="0" borderId="14" numFmtId="3" xfId="0" applyNumberFormat="1" applyFont="1" applyBorder="1">
      <alignment vertical="center" wrapText="1"/>
    </xf>
    <xf fontId="22" fillId="0" borderId="12"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7" numFmtId="0" xfId="0" applyNumberFormat="1" applyFont="1" applyBorder="1">
      <alignment horizontal="center" vertical="center" wrapText="1"/>
    </xf>
    <xf fontId="22" fillId="0" borderId="12" numFmtId="0" xfId="0" applyNumberFormat="1" applyFont="1" applyBorder="1">
      <alignment horizontal="left" indent="1" vertical="center" wrapText="1"/>
    </xf>
    <xf fontId="22" fillId="0" borderId="12" numFmtId="49" xfId="0" applyNumberFormat="1" applyFont="1" applyBorder="1">
      <alignment horizontal="center" vertical="center" wrapText="1"/>
    </xf>
    <xf fontId="22" fillId="0" borderId="14" numFmtId="4" xfId="0" applyNumberFormat="1" applyFont="1" applyBorder="1">
      <alignment horizontal="right" vertical="center" wrapText="1"/>
    </xf>
    <xf fontId="22" fillId="0" borderId="30" numFmtId="4" xfId="0" applyNumberFormat="1" applyFont="1" applyBorder="1">
      <alignment horizontal="right" vertical="center" wrapText="1"/>
    </xf>
    <xf fontId="53" fillId="0" borderId="0" numFmtId="0" xfId="0" applyNumberFormat="1" applyFont="1">
      <alignment vertical="center" wrapText="1"/>
    </xf>
    <xf fontId="22" fillId="0" borderId="0" numFmtId="49" xfId="0" applyNumberFormat="1" applyFont="1">
      <alignment horizontal="center" vertical="top"/>
    </xf>
    <xf fontId="32" fillId="47" borderId="0" numFmtId="49" xfId="0" applyNumberFormat="1" applyFont="1" applyFill="1">
      <alignment horizontal="center" vertical="center"/>
    </xf>
    <xf fontId="22" fillId="0" borderId="12" numFmtId="49" xfId="0" applyNumberFormat="1" applyFont="1" applyBorder="1">
      <alignment horizontal="center" vertical="top"/>
    </xf>
    <xf fontId="47" fillId="47" borderId="0" numFmtId="49" xfId="0" applyNumberFormat="1" applyFont="1" applyFill="1">
      <alignment horizontal="center" vertical="center" wrapText="1"/>
    </xf>
    <xf fontId="0" fillId="49" borderId="12" numFmtId="0" xfId="0" applyNumberFormat="1" applyFont="1" applyFill="1" applyBorder="1">
      <alignment horizontal="center" vertical="center"/>
    </xf>
    <xf fontId="0" fillId="0" borderId="0" numFmtId="49" xfId="0" applyNumberFormat="1" applyFont="1">
      <alignment vertical="center"/>
    </xf>
    <xf fontId="47" fillId="47" borderId="12" numFmtId="49" xfId="0" applyNumberFormat="1" applyFont="1" applyFill="1" applyBorder="1">
      <alignment horizontal="center" vertical="center"/>
    </xf>
    <xf fontId="47" fillId="50" borderId="12" numFmtId="49" xfId="0" applyNumberFormat="1" applyFont="1" applyFill="1" applyBorder="1">
      <alignment horizontal="center" vertical="center"/>
    </xf>
    <xf fontId="0" fillId="51" borderId="12" numFmtId="49" xfId="0" applyNumberFormat="1" applyFont="1" applyFill="1" applyBorder="1">
      <alignment horizontal="center" vertical="center"/>
    </xf>
    <xf fontId="22" fillId="0" borderId="0" numFmtId="49" xfId="0" applyNumberFormat="1" applyFont="1">
      <alignment horizontal="center" vertical="top"/>
    </xf>
    <xf fontId="22" fillId="0" borderId="0" numFmtId="49" xfId="0" applyNumberFormat="1" applyFont="1">
      <alignment vertical="top"/>
    </xf>
    <xf fontId="22" fillId="0" borderId="12" numFmtId="0" xfId="0" applyNumberFormat="1" applyFont="1" applyBorder="1">
      <alignment vertical="center"/>
    </xf>
    <xf fontId="0" fillId="0" borderId="12" numFmtId="0" xfId="0" applyNumberFormat="1" applyFont="1" applyBorder="1">
      <alignment vertical="center"/>
    </xf>
    <xf fontId="0" fillId="0" borderId="12" numFmtId="0" xfId="0" applyNumberFormat="1" applyFont="1" applyBorder="1">
      <alignment vertical="center"/>
    </xf>
    <xf fontId="0" fillId="0" borderId="14" numFmtId="0" xfId="0" applyNumberFormat="1" applyFont="1" applyBorder="1">
      <alignment vertical="center"/>
    </xf>
    <xf fontId="0" fillId="0" borderId="14" numFmtId="0" xfId="0" applyNumberFormat="1" applyFont="1" applyBorder="1">
      <alignment vertical="center"/>
    </xf>
    <xf fontId="22" fillId="0" borderId="14" numFmtId="0" xfId="0" applyNumberFormat="1" applyFont="1" applyBorder="1">
      <alignment horizontal="left" vertical="center"/>
    </xf>
    <xf fontId="22" fillId="0" borderId="44" numFmtId="49" xfId="0" applyNumberFormat="1" applyFont="1" applyBorder="1">
      <alignment vertical="center"/>
    </xf>
    <xf fontId="22" fillId="0" borderId="45" numFmtId="49" xfId="0" applyNumberFormat="1" applyFont="1" applyBorder="1">
      <alignment vertical="top"/>
    </xf>
    <xf fontId="22" fillId="0" borderId="16" numFmtId="49" xfId="0" applyNumberFormat="1" applyFont="1" applyBorder="1">
      <alignment vertical="top"/>
    </xf>
    <xf fontId="0" fillId="0" borderId="13" numFmtId="0" xfId="0" applyNumberFormat="1" applyFont="1" applyBorder="1">
      <alignment vertical="center"/>
    </xf>
    <xf fontId="0" fillId="0" borderId="12" numFmtId="0" xfId="0" applyNumberFormat="1" applyFont="1" applyBorder="1">
      <alignment horizontal="right" vertical="top"/>
    </xf>
    <xf fontId="0" fillId="0" borderId="12" numFmtId="0" xfId="0" applyNumberFormat="1" applyFont="1" applyBorder="1">
      <alignment vertical="top"/>
    </xf>
    <xf fontId="22" fillId="0" borderId="13" numFmtId="0" xfId="0" applyNumberFormat="1" applyFont="1" applyBorder="1">
      <alignment vertical="center"/>
    </xf>
    <xf fontId="22" fillId="0" borderId="12" numFmtId="49" xfId="0" applyNumberFormat="1" applyFont="1" applyBorder="1">
      <alignment vertical="center"/>
    </xf>
    <xf fontId="0" fillId="0" borderId="0" numFmtId="0" xfId="0" applyNumberFormat="1" applyFont="1">
      <alignment vertical="top"/>
    </xf>
    <xf fontId="22" fillId="0" borderId="12" numFmtId="0" xfId="0" applyNumberFormat="1" applyFont="1" applyBorder="1">
      <alignment vertical="top"/>
    </xf>
    <xf fontId="0" fillId="48" borderId="0" numFmtId="0" xfId="0" applyNumberFormat="1" applyFont="1" applyFill="1">
      <alignment horizontal="right" vertical="center"/>
    </xf>
    <xf fontId="32" fillId="0" borderId="0" numFmtId="49" xfId="0" applyNumberFormat="1" applyFont="1">
      <alignment horizontal="center" vertical="center"/>
    </xf>
    <xf fontId="0" fillId="0" borderId="0" numFmtId="49" xfId="0" applyNumberFormat="1" applyFont="1">
      <alignment vertical="top"/>
    </xf>
    <xf fontId="32" fillId="47" borderId="0" numFmtId="49" xfId="0" applyNumberFormat="1" applyFont="1" applyFill="1">
      <alignment horizontal="center" vertical="center"/>
    </xf>
    <xf fontId="22" fillId="0" borderId="0" numFmtId="0" xfId="0" applyNumberFormat="1" applyFont="1">
      <alignment vertical="center"/>
    </xf>
    <xf fontId="0" fillId="48" borderId="0" numFmtId="0" xfId="0" applyNumberFormat="1" applyFont="1" applyFill="1">
      <alignment horizontal="left" vertical="center"/>
    </xf>
    <xf fontId="0" fillId="0" borderId="0" numFmtId="0" xfId="0" applyNumberFormat="1" applyFont="1">
      <alignment horizontal="righ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horizontal="right" vertical="top"/>
    </xf>
    <xf fontId="0" fillId="0" borderId="0" numFmtId="0" xfId="0" applyNumberFormat="1" applyFont="1">
      <alignment vertical="top"/>
    </xf>
    <xf fontId="22" fillId="0" borderId="14" numFmtId="49" xfId="0" applyNumberFormat="1" applyFont="1" applyBorder="1">
      <alignment vertical="top"/>
    </xf>
    <xf fontId="0" fillId="48" borderId="0" numFmtId="0" xfId="0" applyNumberFormat="1" applyFont="1" applyFill="1">
      <alignment horizontal="right" vertical="center"/>
    </xf>
    <xf fontId="0" fillId="0" borderId="0" numFmtId="0" xfId="0" applyNumberFormat="1" applyFont="1">
      <alignment horizontal="left" vertical="center"/>
    </xf>
    <xf fontId="0" fillId="48" borderId="0" numFmtId="0" xfId="0" applyNumberFormat="1" applyFont="1" applyFill="1">
      <alignment horizontal="right" vertical="center"/>
    </xf>
    <xf fontId="0" fillId="48" borderId="0" numFmtId="0" xfId="0" applyNumberFormat="1" applyFont="1" applyFill="1">
      <alignment horizontal="left" vertical="center"/>
    </xf>
    <xf fontId="54" fillId="48" borderId="0" numFmtId="0" xfId="0" applyNumberFormat="1" applyFont="1" applyFill="1">
      <alignment horizontal="left" vertical="center"/>
    </xf>
    <xf fontId="0" fillId="0" borderId="0" numFmtId="0" xfId="0" applyNumberFormat="1" applyFont="1">
      <alignment vertical="center"/>
    </xf>
    <xf fontId="22" fillId="0" borderId="0" numFmtId="0" xfId="0" applyNumberFormat="1" applyFont="1">
      <alignment vertical="top"/>
    </xf>
    <xf fontId="54" fillId="0" borderId="0" numFmtId="0" xfId="0" applyNumberFormat="1" applyFont="1">
      <alignment horizontal="left" vertical="center"/>
    </xf>
    <xf fontId="0" fillId="0" borderId="14" numFmtId="49" xfId="0" applyNumberFormat="1" applyFont="1" applyBorder="1">
      <alignment vertical="top"/>
    </xf>
    <xf fontId="22" fillId="0" borderId="12" numFmtId="49" xfId="0" applyNumberFormat="1" applyFont="1" applyBorder="1">
      <alignment horizontal="right" vertical="top"/>
    </xf>
    <xf fontId="0" fillId="0" borderId="14" numFmtId="0" xfId="0" applyNumberFormat="1" applyFont="1" applyBorder="1">
      <alignment horizontal="left" vertical="center"/>
    </xf>
    <xf fontId="54" fillId="48" borderId="0" numFmtId="0" xfId="0" applyNumberFormat="1" applyFont="1" applyFill="1">
      <alignment horizontal="left" vertical="center"/>
    </xf>
    <xf fontId="22" fillId="0" borderId="17" numFmtId="49" xfId="0" applyNumberFormat="1" applyFont="1" applyBorder="1">
      <alignment horizontal="right" vertical="top"/>
    </xf>
    <xf fontId="0" fillId="0" borderId="17" numFmtId="0" xfId="0" applyNumberFormat="1" applyFont="1" applyBorder="1">
      <alignment vertical="top"/>
    </xf>
    <xf fontId="22" fillId="0" borderId="17" numFmtId="0" xfId="0" applyNumberFormat="1" applyFont="1" applyBorder="1">
      <alignment vertical="center"/>
    </xf>
    <xf fontId="22" fillId="0" borderId="31" numFmtId="49" xfId="0" applyNumberFormat="1" applyFont="1" applyBorder="1">
      <alignment horizontal="center" vertical="center"/>
    </xf>
    <xf fontId="22" fillId="0" borderId="12" numFmtId="49" xfId="0" applyNumberFormat="1" applyFont="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22" fillId="48" borderId="0" numFmtId="0" xfId="0" applyNumberFormat="1" applyFont="1" applyFill="1">
      <alignment horizontal="left" vertical="center"/>
    </xf>
    <xf fontId="0" fillId="48" borderId="10" numFmtId="0" xfId="0" applyNumberFormat="1" applyFont="1" applyFill="1" applyBorder="1">
      <alignment horizontal="center"/>
    </xf>
    <xf fontId="104" fillId="0" borderId="16" numFmtId="49" xfId="0" applyNumberFormat="1" applyFont="1" applyBorder="1">
      <alignment vertical="top"/>
    </xf>
    <xf fontId="0" fillId="0" borderId="0" numFmtId="49" xfId="0" applyNumberFormat="1" applyFont="1">
      <alignment vertical="center"/>
    </xf>
    <xf fontId="45" fillId="54" borderId="0" numFmtId="49" xfId="0" applyNumberFormat="1" applyFont="1" applyFill="1">
      <alignment vertical="center" wrapText="1"/>
    </xf>
    <xf fontId="0" fillId="0" borderId="10" numFmtId="0" xfId="0" applyNumberFormat="1" applyFont="1" applyBorder="1">
      <alignment horizontal="center"/>
    </xf>
    <xf fontId="32" fillId="47" borderId="0" numFmtId="49" xfId="0" applyNumberFormat="1" applyFont="1" applyFill="1">
      <alignment horizontal="center" vertical="center" wrapText="1"/>
    </xf>
    <xf fontId="22" fillId="48" borderId="0" numFmtId="49" xfId="0" applyNumberFormat="1" applyFont="1" applyFill="1">
      <alignment horizontal="center" vertical="center"/>
    </xf>
    <xf fontId="22" fillId="0" borderId="0" numFmtId="49" xfId="0" applyNumberFormat="1" applyFont="1">
      <alignment vertical="top"/>
    </xf>
    <xf fontId="0" fillId="36" borderId="31" numFmtId="49" xfId="0" applyNumberFormat="1" applyFont="1" applyFill="1" applyBorder="1">
      <alignment horizontal="left" vertical="center"/>
      <protection locked="0"/>
    </xf>
    <xf fontId="0" fillId="0" borderId="12" numFmtId="49" xfId="0" applyNumberFormat="1" applyFont="1" applyBorder="1">
      <alignment horizontal="center" vertical="center"/>
    </xf>
    <xf fontId="0" fillId="0" borderId="31" numFmtId="49" xfId="0" applyNumberFormat="1" applyFont="1" applyBorder="1">
      <alignment horizontal="right" vertical="center"/>
    </xf>
    <xf fontId="0" fillId="34" borderId="31" numFmtId="0" xfId="0" applyNumberFormat="1" applyFont="1" applyFill="1" applyBorder="1">
      <alignment horizontal="center" vertical="center"/>
    </xf>
    <xf fontId="0" fillId="0" borderId="31" numFmtId="49" xfId="0" applyNumberFormat="1" applyFont="1" applyBorder="1">
      <alignment horizontal="center" vertical="center"/>
    </xf>
    <xf fontId="0" fillId="0" borderId="0" numFmtId="49" xfId="0" applyNumberFormat="1" applyFont="1">
      <alignment horizontal="left" vertical="center"/>
    </xf>
    <xf fontId="0" fillId="0" borderId="0" numFmtId="0" xfId="0" applyNumberFormat="1" applyFont="1">
      <alignment horizontal="center" vertical="center"/>
    </xf>
    <xf fontId="102" fillId="0" borderId="46" numFmtId="0" xfId="0" applyNumberFormat="1" applyFont="1" applyBorder="1">
      <alignment horizontal="center" vertical="center"/>
    </xf>
    <xf fontId="0" fillId="0" borderId="46" numFmtId="0" xfId="0" applyNumberFormat="1" applyFont="1" applyBorder="1">
      <alignment horizontal="center" vertical="center"/>
    </xf>
    <xf fontId="32" fillId="47" borderId="12" numFmtId="49" xfId="0" applyNumberFormat="1" applyFont="1" applyFill="1" applyBorder="1">
      <alignment horizontal="right" vertical="center"/>
    </xf>
    <xf fontId="22" fillId="36" borderId="37" numFmtId="49" xfId="0" applyNumberFormat="1" applyFont="1" applyFill="1" applyBorder="1">
      <alignment vertical="top"/>
      <protection locked="0"/>
    </xf>
    <xf fontId="22" fillId="0" borderId="12" numFmtId="0" xfId="0" applyNumberFormat="1" applyFont="1" applyBorder="1">
      <alignment vertical="top"/>
    </xf>
    <xf fontId="0" fillId="41" borderId="12" numFmtId="0" xfId="0" applyNumberFormat="1" applyFont="1" applyFill="1" applyBorder="1">
      <alignment horizontal="right" vertical="center"/>
    </xf>
    <xf fontId="22" fillId="41" borderId="23" numFmtId="49" xfId="0" applyNumberFormat="1" applyFont="1" applyFill="1" applyBorder="1">
      <alignment vertical="top"/>
    </xf>
    <xf fontId="22" fillId="41" borderId="12" numFmtId="49" xfId="0" applyNumberFormat="1" applyFont="1" applyFill="1" applyBorder="1">
      <alignment vertical="top"/>
    </xf>
    <xf fontId="22" fillId="0" borderId="14" numFmtId="49" xfId="0" applyNumberFormat="1" applyFont="1" applyBorder="1">
      <alignment horizontal="center" vertical="top"/>
    </xf>
    <xf fontId="22" fillId="0" borderId="13" numFmtId="49" xfId="0" applyNumberFormat="1" applyFont="1" applyBorder="1">
      <alignment horizontal="center" vertical="top"/>
    </xf>
    <xf fontId="22" fillId="34" borderId="30" numFmtId="0" xfId="0" applyNumberFormat="1" applyFont="1" applyFill="1" applyBorder="1">
      <alignment horizontal="center" vertical="top"/>
    </xf>
    <xf fontId="22" fillId="34" borderId="30" numFmtId="0" xfId="0" applyNumberFormat="1" applyFont="1" applyFill="1" applyBorder="1">
      <alignment horizontal="left" vertical="top"/>
    </xf>
    <xf fontId="0" fillId="0" borderId="32" numFmtId="0" xfId="0" applyNumberFormat="1" applyFont="1" applyBorder="1">
      <alignment horizontal="center" vertical="center"/>
    </xf>
    <xf fontId="0" fillId="0" borderId="34" numFmtId="0" xfId="0" applyNumberFormat="1" applyFont="1" applyBorder="1">
      <alignment horizontal="center" vertical="center"/>
    </xf>
    <xf fontId="22" fillId="0" borderId="12" numFmtId="0" xfId="0" applyNumberFormat="1" applyFont="1" applyBorder="1">
      <alignment horizontal="left" vertical="top"/>
    </xf>
    <xf fontId="22" fillId="0" borderId="0" numFmtId="49" xfId="0" applyNumberFormat="1" applyFont="1">
      <alignment horizontal="left" vertical="top"/>
    </xf>
    <xf fontId="0" fillId="0" borderId="33" numFmtId="0" xfId="0" applyNumberFormat="1" applyFont="1" applyBorder="1">
      <alignment horizontal="center" vertical="center"/>
    </xf>
    <xf fontId="32" fillId="47" borderId="14" numFmtId="49" xfId="0" applyNumberFormat="1" applyFont="1" applyFill="1" applyBorder="1">
      <alignment horizontal="right" vertical="center"/>
    </xf>
    <xf fontId="22" fillId="0" borderId="12" numFmtId="49" xfId="0" applyNumberFormat="1" applyFont="1" applyBorder="1">
      <alignment vertical="top"/>
    </xf>
    <xf fontId="0" fillId="0" borderId="0" numFmtId="49" xfId="0" applyNumberFormat="1" applyFont="1">
      <alignment vertical="center"/>
    </xf>
    <xf fontId="0" fillId="0" borderId="0" numFmtId="49" xfId="0" applyNumberFormat="1" applyFont="1">
      <alignment vertical="top"/>
    </xf>
    <xf fontId="0" fillId="48" borderId="0" numFmtId="0" xfId="0" applyNumberFormat="1" applyFont="1" applyFill="1">
      <alignment horizontal="right" vertical="top" wrapText="1"/>
    </xf>
    <xf fontId="22" fillId="0" borderId="0" numFmtId="0" xfId="0" applyNumberFormat="1" applyFont="1">
      <alignment horizontal="left" vertical="top" wrapText="1"/>
    </xf>
    <xf fontId="22" fillId="0" borderId="0" numFmtId="49" xfId="0" applyNumberFormat="1" applyFont="1">
      <alignment vertical="center"/>
    </xf>
    <xf fontId="0" fillId="0" borderId="0" numFmtId="49" xfId="0" applyNumberFormat="1" applyFont="1">
      <alignment vertical="center" wrapText="1"/>
    </xf>
    <xf fontId="0" fillId="0" borderId="0" numFmtId="49" xfId="0" applyNumberFormat="1" applyFont="1">
      <alignment vertical="center"/>
    </xf>
    <xf fontId="22" fillId="35" borderId="12" numFmtId="49"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22" fillId="39" borderId="12" numFmtId="0" xfId="0" applyNumberFormat="1" applyFont="1" applyFill="1" applyBorder="1">
      <alignment horizontal="center" vertical="center" wrapText="1"/>
      <protection locked="0"/>
    </xf>
    <xf fontId="47" fillId="35" borderId="0" numFmtId="0" xfId="0" applyNumberFormat="1" applyFont="1" applyFill="1"/>
    <xf fontId="22" fillId="35" borderId="12" numFmtId="49" xfId="0" applyNumberFormat="1" applyFont="1" applyFill="1" applyBorder="1">
      <alignment horizontal="center" vertical="center" wrapText="1"/>
    </xf>
    <xf fontId="0" fillId="35" borderId="12" numFmtId="0" xfId="0" applyNumberFormat="1" applyFont="1" applyFill="1" applyBorder="1">
      <alignment horizontal="center" vertical="center" wrapText="1"/>
    </xf>
    <xf fontId="22" fillId="34" borderId="12" numFmtId="0" xfId="0" applyNumberFormat="1" applyFont="1" applyFill="1" applyBorder="1">
      <alignment horizontal="left" vertical="center" wrapText="1"/>
    </xf>
    <xf fontId="68" fillId="35" borderId="0" numFmtId="0" xfId="0" applyNumberFormat="1" applyFont="1" applyFill="1"/>
    <xf fontId="22" fillId="35" borderId="12" numFmtId="0" xfId="0" applyNumberFormat="1" applyFont="1" applyFill="1" applyBorder="1">
      <alignment horizontal="left" vertical="center" wrapText="1"/>
    </xf>
    <xf fontId="22" fillId="0" borderId="12" numFmtId="0" xfId="0" applyNumberFormat="1" applyFont="1" applyBorder="1">
      <alignment horizontal="center" vertical="center" wrapText="1"/>
    </xf>
    <xf fontId="22" fillId="0" borderId="12" numFmtId="49" xfId="0" applyNumberFormat="1" applyFont="1" applyBorder="1">
      <alignment horizontal="center" vertical="center"/>
    </xf>
    <xf fontId="22" fillId="36" borderId="12" numFmtId="49" xfId="0" applyNumberFormat="1" applyFont="1" applyFill="1" applyBorder="1">
      <alignment horizontal="left" vertical="center" wrapText="1"/>
      <protection locked="0"/>
    </xf>
    <xf fontId="48" fillId="35" borderId="0" numFmtId="0" xfId="0" applyNumberFormat="1" applyFont="1" applyFill="1">
      <alignment horizontal="center" vertical="center" wrapText="1"/>
    </xf>
    <xf fontId="22" fillId="35" borderId="24" numFmtId="0" xfId="0" applyNumberFormat="1" applyFont="1" applyFill="1" applyBorder="1">
      <alignment horizontal="center" vertical="center" wrapText="1"/>
    </xf>
    <xf fontId="0" fillId="35" borderId="17" numFmtId="0" xfId="0" applyNumberFormat="1" applyFont="1" applyFill="1" applyBorder="1">
      <alignment horizontal="left" vertical="top" wrapText="1"/>
    </xf>
    <xf fontId="67" fillId="35" borderId="0" numFmtId="0" xfId="0" applyNumberFormat="1" applyFont="1" applyFill="1"/>
    <xf fontId="72" fillId="35" borderId="0" numFmtId="0" xfId="0" applyNumberFormat="1" applyFont="1" applyFill="1">
      <alignment vertical="center" wrapText="1"/>
    </xf>
    <xf fontId="48" fillId="35" borderId="12" numFmtId="0" xfId="0" applyNumberFormat="1" applyFont="1" applyFill="1" applyBorder="1">
      <alignment horizontal="center" vertical="center"/>
    </xf>
    <xf fontId="0" fillId="35" borderId="36" numFmtId="0" xfId="0" applyNumberFormat="1" applyFont="1" applyFill="1" applyBorder="1">
      <alignment horizontal="left" vertical="top" wrapText="1"/>
    </xf>
    <xf fontId="67" fillId="35" borderId="0" numFmtId="0" xfId="0" applyNumberFormat="1" applyFont="1" applyFill="1"/>
    <xf fontId="0" fillId="35" borderId="23" numFmtId="0" xfId="0" applyNumberFormat="1" applyFont="1" applyFill="1" applyBorder="1">
      <alignment horizontal="left" vertical="top" wrapText="1"/>
    </xf>
    <xf fontId="84" fillId="35" borderId="0" numFmtId="0" xfId="0" applyNumberFormat="1" applyFont="1" applyFill="1"/>
    <xf fontId="22" fillId="35" borderId="12" numFmtId="0" xfId="0" applyNumberFormat="1" applyFont="1" applyFill="1" applyBorder="1">
      <alignment horizontal="left" vertical="top" wrapText="1"/>
    </xf>
    <xf fontId="53" fillId="36" borderId="23" numFmtId="49" xfId="0" applyNumberFormat="1" applyFont="1" applyFill="1" applyBorder="1">
      <alignment horizontal="left" vertical="center" wrapText="1"/>
      <protection locked="0"/>
    </xf>
    <xf fontId="22" fillId="35" borderId="12" numFmtId="0" xfId="0" applyNumberFormat="1" applyFont="1" applyFill="1" applyBorder="1">
      <alignment vertical="top" wrapText="1"/>
    </xf>
    <xf fontId="22" fillId="0" borderId="12" numFmtId="0" xfId="0" applyNumberFormat="1" applyFont="1" applyBorder="1">
      <alignment horizontal="center" vertical="center" wrapText="1"/>
    </xf>
    <xf fontId="22" fillId="40" borderId="12" numFmtId="49" xfId="0" applyNumberFormat="1" applyFont="1" applyFill="1" applyBorder="1">
      <alignment horizontal="left" vertical="center" wrapText="1"/>
    </xf>
    <xf fontId="22" fillId="39" borderId="14" numFmtId="14" xfId="0" applyNumberFormat="1" applyFont="1" applyFill="1" applyBorder="1">
      <alignment horizontal="left" indent="1" vertical="center" wrapText="1"/>
      <protection locked="0"/>
    </xf>
    <xf fontId="47" fillId="0" borderId="36" numFmtId="0" xfId="0" applyNumberFormat="1" applyFont="1" applyBorder="1">
      <alignment horizontal="left" indent="1" vertical="center" wrapText="1"/>
    </xf>
    <xf fontId="112" fillId="0" borderId="0" numFmtId="0" xfId="0" applyNumberFormat="1" applyFont="1">
      <alignment vertical="center"/>
    </xf>
    <xf fontId="37" fillId="0" borderId="0" numFmtId="0" xfId="0" applyNumberFormat="1" applyFont="1">
      <alignment horizontal="center" vertical="center" wrapText="1"/>
    </xf>
    <xf fontId="22" fillId="0" borderId="17" numFmtId="4" xfId="0" applyNumberFormat="1" applyFont="1" applyBorder="1">
      <alignment horizontal="center" vertical="center" wrapText="1"/>
    </xf>
    <xf fontId="22" fillId="0" borderId="37" numFmtId="501" xfId="0" applyNumberFormat="1" applyFont="1" applyBorder="1">
      <alignment horizontal="center" vertical="center" wrapText="1"/>
    </xf>
    <xf fontId="22" fillId="0" borderId="17" numFmtId="501" xfId="0" applyNumberFormat="1" applyFont="1" applyBorder="1">
      <alignment horizontal="center" vertical="center" wrapText="1"/>
    </xf>
    <xf fontId="22" fillId="0" borderId="23" numFmtId="4" xfId="0" applyNumberFormat="1" applyFont="1" applyBorder="1">
      <alignment horizontal="center" vertical="center" wrapText="1"/>
    </xf>
    <xf fontId="22" fillId="40" borderId="12" numFmtId="14" xfId="0" applyNumberFormat="1" applyFont="1" applyFill="1" applyBorder="1">
      <alignment horizontal="left" vertical="center" wrapText="1"/>
    </xf>
    <xf fontId="22" fillId="39" borderId="12" numFmtId="14" xfId="0" applyNumberFormat="1" applyFont="1" applyFill="1" applyBorder="1">
      <alignment horizontal="left" indent="1" vertical="center" wrapText="1"/>
      <protection locked="0"/>
    </xf>
    <xf fontId="50" fillId="37" borderId="30" numFmtId="49" xfId="0" applyNumberFormat="1" applyFont="1" applyFill="1" applyBorder="1">
      <alignment horizontal="right" vertical="center" wrapText="1"/>
    </xf>
    <xf fontId="0" fillId="37" borderId="27" numFmtId="49" xfId="0" applyNumberFormat="1" applyFont="1" applyFill="1" applyBorder="1">
      <alignment horizontal="right" vertical="center" wrapText="1"/>
    </xf>
    <xf fontId="0" fillId="37" borderId="29" numFmtId="49" xfId="0" applyNumberFormat="1" applyFont="1" applyFill="1" applyBorder="1">
      <alignment horizontal="right" vertical="center" wrapText="1"/>
    </xf>
    <xf fontId="112" fillId="0" borderId="0" numFmtId="0" xfId="0" applyNumberFormat="1" applyFont="1">
      <alignment vertical="center" wrapText="1"/>
    </xf>
    <xf fontId="0" fillId="0" borderId="0" numFmtId="49" xfId="0" applyNumberFormat="1" applyFont="1">
      <alignment vertical="top"/>
    </xf>
    <xf fontId="22" fillId="0" borderId="14"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0" fillId="39" borderId="15" numFmtId="504" xfId="0" applyNumberFormat="1" applyFont="1" applyFill="1" applyBorder="1">
      <alignment horizontal="left" indent="1" vertical="center" wrapText="1"/>
      <protection locked="0"/>
    </xf>
    <xf fontId="22" fillId="39" borderId="12" numFmtId="505" xfId="0" applyNumberFormat="1" applyFont="1" applyFill="1" applyBorder="1">
      <alignment horizontal="left" indent="1" vertical="center" wrapText="1"/>
      <protection locked="0"/>
    </xf>
    <xf fontId="48" fillId="0" borderId="0" numFmtId="504" xfId="0" applyNumberFormat="1" applyFont="1">
      <alignment horizontal="center" vertical="center" wrapText="1"/>
    </xf>
    <xf fontId="22" fillId="0" borderId="17" numFmtId="501" xfId="0" applyNumberFormat="1" applyFont="1" applyBorder="1">
      <alignment horizontal="center" vertical="center" wrapText="1"/>
    </xf>
    <xf fontId="22" fillId="0" borderId="14" numFmtId="501" xfId="0" applyNumberFormat="1" applyFont="1" applyBorder="1">
      <alignment horizontal="center" vertical="center" wrapText="1"/>
    </xf>
    <xf fontId="22" fillId="0" borderId="15" numFmtId="501" xfId="0" applyNumberFormat="1" applyFont="1" applyBorder="1">
      <alignment horizontal="center" vertical="center" wrapText="1"/>
    </xf>
    <xf fontId="22" fillId="0" borderId="13" numFmtId="501" xfId="0" applyNumberFormat="1" applyFont="1" applyBorder="1">
      <alignment horizontal="center" vertical="center" wrapText="1"/>
    </xf>
    <xf fontId="22" fillId="0" borderId="36" numFmtId="4"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23" numFmtId="501" xfId="0" applyNumberFormat="1" applyFont="1" applyBorder="1">
      <alignment horizontal="center" vertical="center" wrapText="1"/>
    </xf>
    <xf fontId="22" fillId="0" borderId="23" numFmtId="0" xfId="0" applyNumberFormat="1" applyFont="1" applyBorder="1">
      <alignment horizontal="center" vertical="center" wrapText="1"/>
    </xf>
    <xf fontId="22" fillId="34" borderId="23" numFmtId="0" xfId="0" applyNumberFormat="1" applyFont="1" applyFill="1" applyBorder="1">
      <alignment horizontal="left" indent="1" vertical="center" wrapText="1"/>
    </xf>
    <xf fontId="22" fillId="39" borderId="23" numFmtId="14" xfId="0" applyNumberFormat="1" applyFont="1" applyFill="1" applyBorder="1">
      <alignment horizontal="left" indent="1" vertical="center" wrapText="1"/>
      <protection locked="0"/>
    </xf>
    <xf fontId="22" fillId="0" borderId="29" numFmtId="0" xfId="0" applyNumberFormat="1" applyFont="1" applyBorder="1">
      <alignment horizontal="left" vertical="top" wrapText="1"/>
    </xf>
    <xf fontId="22" fillId="0" borderId="12" numFmtId="0" xfId="0" applyNumberFormat="1" applyFont="1" applyBorder="1">
      <alignment horizontal="center" vertical="center" wrapText="1"/>
    </xf>
    <xf fontId="22" fillId="34" borderId="12" numFmtId="0" xfId="0" applyNumberFormat="1" applyFont="1" applyFill="1" applyBorder="1">
      <alignment horizontal="left" indent="1" vertical="center" wrapText="1"/>
    </xf>
    <xf fontId="48" fillId="0" borderId="0" numFmtId="0" xfId="0" applyNumberFormat="1" applyFont="1">
      <alignment horizontal="center" vertical="center" wrapText="1"/>
    </xf>
    <xf fontId="22" fillId="0" borderId="0" numFmtId="0" xfId="0" applyNumberFormat="1" applyFont="1">
      <alignment horizontal="right" vertical="center" wrapText="1"/>
    </xf>
    <xf fontId="22" fillId="0" borderId="0" numFmtId="0" xfId="0" applyNumberFormat="1" applyFont="1">
      <alignment horizontal="left" indent="1" vertical="center" wrapText="1"/>
    </xf>
    <xf fontId="22" fillId="0" borderId="23" numFmtId="501" xfId="0" applyNumberFormat="1" applyFont="1" applyBorder="1">
      <alignment horizontal="center" vertical="center" wrapText="1"/>
    </xf>
    <xf fontId="22" fillId="0" borderId="23" numFmtId="0" xfId="0" applyNumberFormat="1" applyFont="1" applyBorder="1">
      <alignment horizontal="left" indent="1" vertical="center" wrapText="1"/>
    </xf>
    <xf fontId="22" fillId="0" borderId="23" numFmtId="14" xfId="0" applyNumberFormat="1" applyFont="1" applyBorder="1">
      <alignment horizontal="left" indent="1" vertical="center" wrapText="1"/>
    </xf>
    <xf fontId="22" fillId="40" borderId="12" numFmtId="14" xfId="0" applyNumberFormat="1" applyFont="1" applyFill="1" applyBorder="1">
      <alignment horizontal="left" vertical="center" wrapText="1"/>
    </xf>
    <xf fontId="22" fillId="40" borderId="14" numFmtId="49" xfId="0" applyNumberFormat="1" applyFont="1" applyFill="1" applyBorder="1">
      <alignment horizontal="left" vertical="center" wrapText="1"/>
    </xf>
    <xf fontId="22" fillId="0" borderId="14" numFmtId="0"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22" fillId="40" borderId="12" numFmtId="49" xfId="0" applyNumberFormat="1" applyFont="1" applyFill="1" applyBorder="1">
      <alignment horizontal="left" vertical="center" wrapText="1"/>
    </xf>
    <xf fontId="53" fillId="37" borderId="27" numFmtId="49" xfId="0" applyNumberFormat="1" applyFont="1" applyFill="1" applyBorder="1">
      <alignment horizontal="left" vertical="center" wrapText="1"/>
    </xf>
    <xf fontId="53" fillId="37" borderId="29" numFmtId="49" xfId="0" applyNumberFormat="1" applyFont="1" applyFill="1" applyBorder="1">
      <alignment horizontal="left" vertical="center" wrapText="1"/>
    </xf>
    <xf fontId="22" fillId="35" borderId="36" numFmtId="0" xfId="0" applyNumberFormat="1" applyFont="1" applyFill="1" applyBorder="1">
      <alignment vertical="center" wrapText="1"/>
    </xf>
    <xf fontId="48" fillId="0" borderId="0" numFmtId="0" xfId="0" applyNumberFormat="1" applyFont="1">
      <alignment horizontal="center" vertical="center" wrapText="1"/>
    </xf>
    <xf fontId="48" fillId="0" borderId="27" numFmtId="0" xfId="0" applyNumberFormat="1" applyFont="1" applyBorder="1">
      <alignment horizontal="center" vertical="center" wrapText="1"/>
    </xf>
    <xf fontId="48" fillId="0" borderId="0" numFmtId="0" xfId="0" applyNumberFormat="1" applyFont="1">
      <alignment horizontal="center" vertical="center" wrapText="1"/>
    </xf>
    <xf fontId="48" fillId="0" borderId="0" numFmtId="0" xfId="0" applyNumberFormat="1" applyFont="1">
      <alignment horizontal="center" vertical="center" wrapText="1"/>
    </xf>
    <xf fontId="22" fillId="35" borderId="22" numFmtId="0" xfId="0" applyNumberFormat="1" applyFont="1" applyFill="1" applyBorder="1">
      <alignment vertical="center" wrapText="1"/>
    </xf>
    <xf fontId="36" fillId="0" borderId="12" numFmtId="0" xfId="0" applyNumberFormat="1" applyFont="1" applyBorder="1">
      <alignment horizontal="center" vertical="center" wrapText="1"/>
    </xf>
    <xf fontId="22" fillId="0" borderId="15" numFmtId="0" xfId="0" applyNumberFormat="1" applyFont="1" applyBorder="1">
      <alignment horizontal="center" vertical="center" wrapText="1"/>
    </xf>
    <xf fontId="22" fillId="0" borderId="15" numFmtId="0" xfId="0" applyNumberFormat="1" applyFont="1" applyBorder="1">
      <alignment horizontal="left" vertical="center" wrapText="1"/>
    </xf>
    <xf fontId="42" fillId="0" borderId="0" numFmtId="0" xfId="0" applyNumberFormat="1" applyFont="1">
      <alignment horizontal="center" vertical="center" wrapText="1"/>
    </xf>
    <xf fontId="22" fillId="0" borderId="0" numFmtId="0" xfId="0" applyNumberFormat="1" applyFont="1">
      <alignment horizontal="center" vertical="center" wrapText="1"/>
    </xf>
    <xf fontId="45" fillId="0" borderId="19" numFmtId="501" xfId="0" applyNumberFormat="1" applyFont="1" applyBorder="1">
      <alignment horizontal="center" vertical="center" wrapText="1"/>
    </xf>
    <xf fontId="45" fillId="0" borderId="19" numFmtId="501" xfId="0" applyNumberFormat="1" applyFont="1" applyBorder="1">
      <alignment horizontal="center" vertical="center" wrapText="1"/>
    </xf>
    <xf fontId="45" fillId="0" borderId="20" numFmtId="501" xfId="0" applyNumberFormat="1" applyFont="1" applyBorder="1">
      <alignment horizontal="center" vertical="center" wrapText="1"/>
    </xf>
    <xf fontId="48" fillId="0" borderId="0" numFmtId="0" xfId="0" applyNumberFormat="1" applyFont="1">
      <alignment horizontal="center" vertical="center"/>
    </xf>
    <xf fontId="42" fillId="0" borderId="0" numFmtId="0" xfId="0" applyNumberFormat="1" applyFont="1">
      <alignment horizontal="center" vertical="center" wrapText="1"/>
    </xf>
    <xf fontId="22" fillId="0" borderId="12" numFmtId="501" xfId="0" applyNumberFormat="1" applyFont="1" applyBorder="1">
      <alignment horizontal="center" vertical="center" wrapText="1"/>
    </xf>
    <xf fontId="22" fillId="0" borderId="36" numFmtId="501" xfId="0" applyNumberFormat="1" applyFont="1" applyBorder="1">
      <alignment horizontal="center" vertical="center" wrapText="1"/>
    </xf>
    <xf fontId="22" fillId="0" borderId="12" numFmtId="501" xfId="0" applyNumberFormat="1" applyFont="1" applyBorder="1">
      <alignment horizontal="center" vertical="center" wrapText="1"/>
    </xf>
    <xf fontId="22" fillId="34" borderId="29" numFmtId="0" xfId="0" applyNumberFormat="1" applyFont="1" applyFill="1" applyBorder="1">
      <alignment horizontal="left" vertical="center" wrapText="1"/>
    </xf>
    <xf fontId="22" fillId="40" borderId="23" numFmtId="14" xfId="0" applyNumberFormat="1" applyFont="1" applyFill="1" applyBorder="1">
      <alignment horizontal="left" vertical="center" wrapText="1"/>
    </xf>
    <xf fontId="22" fillId="40" borderId="30" numFmtId="49" xfId="0" applyNumberFormat="1" applyFont="1" applyFill="1" applyBorder="1">
      <alignment horizontal="left" vertical="center" wrapText="1"/>
    </xf>
    <xf fontId="22" fillId="0" borderId="23" numFmtId="0" xfId="0" applyNumberFormat="1" applyFont="1" applyBorder="1">
      <alignment horizontal="center" vertical="center" wrapText="1"/>
    </xf>
    <xf fontId="22" fillId="39" borderId="27" numFmtId="49" xfId="0" applyNumberFormat="1" applyFont="1" applyFill="1" applyBorder="1">
      <alignment horizontal="left" vertical="center" wrapText="1"/>
      <protection locked="0"/>
    </xf>
    <xf fontId="22" fillId="39" borderId="30" numFmtId="49" xfId="0" applyNumberFormat="1" applyFont="1" applyFill="1" applyBorder="1">
      <alignment horizontal="left" vertical="center" wrapText="1"/>
      <protection locked="0"/>
    </xf>
    <xf fontId="22" fillId="0" borderId="12" numFmtId="49" xfId="0" applyNumberFormat="1" applyFont="1" applyBorder="1">
      <alignment horizontal="left" vertical="top" wrapText="1"/>
    </xf>
    <xf fontId="22" fillId="40" borderId="23" numFmtId="49" xfId="0" applyNumberFormat="1" applyFont="1" applyFill="1" applyBorder="1">
      <alignment horizontal="left" vertical="center" wrapText="1"/>
    </xf>
    <xf fontId="127" fillId="0" borderId="12" numFmtId="49" xfId="0" applyNumberFormat="1" applyFont="1" applyBorder="1">
      <alignment horizontal="left" vertical="top" wrapText="1"/>
    </xf>
    <xf fontId="22" fillId="0" borderId="0" numFmtId="49" xfId="0" applyNumberFormat="1" applyFont="1">
      <alignment vertical="top"/>
    </xf>
    <xf fontId="32" fillId="0" borderId="0" numFmtId="0" xfId="0" applyNumberFormat="1" applyFont="1">
      <alignment vertical="center" wrapText="1"/>
    </xf>
    <xf fontId="37" fillId="35" borderId="0" numFmtId="0" xfId="0" applyNumberFormat="1" applyFont="1" applyFill="1">
      <alignment horizontal="center" vertical="center" wrapText="1"/>
    </xf>
    <xf fontId="22" fillId="35" borderId="0" numFmtId="0" xfId="0" applyNumberFormat="1" applyFont="1" applyFill="1"/>
    <xf fontId="22" fillId="0" borderId="0" numFmtId="49" xfId="0" applyNumberFormat="1" applyFont="1">
      <alignment vertical="top"/>
    </xf>
    <xf fontId="37" fillId="0" borderId="0" numFmtId="49" xfId="0" applyNumberFormat="1" applyFont="1">
      <alignment horizontal="center" vertical="center"/>
    </xf>
    <xf fontId="43" fillId="35" borderId="0" numFmtId="0" xfId="0" applyNumberFormat="1" applyFont="1" applyFill="1">
      <alignment horizontal="center" vertical="center" wrapText="1"/>
    </xf>
    <xf fontId="32" fillId="35" borderId="0" numFmtId="0" xfId="0" applyNumberFormat="1" applyFont="1" applyFill="1"/>
    <xf fontId="32" fillId="0" borderId="0" numFmtId="49" xfId="0" applyNumberFormat="1" applyFont="1">
      <alignment vertical="top"/>
    </xf>
    <xf fontId="22" fillId="35" borderId="12" numFmtId="0" xfId="0" applyNumberFormat="1" applyFont="1" applyFill="1" applyBorder="1">
      <alignment horizontal="center" vertical="center" wrapText="1"/>
    </xf>
    <xf fontId="47" fillId="0" borderId="0" numFmtId="49" xfId="0" applyNumberFormat="1" applyFont="1">
      <alignment vertical="top"/>
    </xf>
    <xf fontId="22" fillId="0" borderId="0" numFmtId="49" xfId="0" applyNumberFormat="1" applyFont="1">
      <alignment vertical="top"/>
    </xf>
    <xf fontId="37" fillId="0" borderId="0" numFmtId="49" xfId="0" applyNumberFormat="1" applyFont="1">
      <alignment horizontal="center" vertical="center" wrapText="1"/>
    </xf>
    <xf fontId="22" fillId="0" borderId="12" numFmtId="49" xfId="0" applyNumberFormat="1" applyFont="1" applyBorder="1">
      <alignment horizontal="center" vertical="center" wrapText="1"/>
    </xf>
    <xf fontId="22" fillId="39" borderId="12" numFmtId="49" xfId="0" applyNumberFormat="1" applyFont="1" applyFill="1" applyBorder="1">
      <alignment horizontal="left" vertical="center" wrapText="1"/>
      <protection locked="0"/>
    </xf>
    <xf fontId="48" fillId="0" borderId="0" numFmtId="0" xfId="0" applyNumberFormat="1" applyFont="1">
      <alignment vertical="top"/>
    </xf>
    <xf fontId="48" fillId="0" borderId="0" numFmtId="49" xfId="0" applyNumberFormat="1" applyFont="1">
      <alignment vertical="top"/>
    </xf>
    <xf fontId="22" fillId="0" borderId="0" numFmtId="49" xfId="0" applyNumberFormat="1" applyFont="1">
      <alignment vertical="top"/>
    </xf>
    <xf fontId="40" fillId="37" borderId="15" numFmtId="49" xfId="0" applyNumberFormat="1" applyFont="1" applyFill="1" applyBorder="1">
      <alignment horizontal="left" vertical="center"/>
    </xf>
    <xf fontId="44" fillId="37" borderId="15" numFmtId="49" xfId="0" applyNumberFormat="1" applyFont="1" applyFill="1" applyBorder="1">
      <alignment horizontal="center" vertical="top"/>
    </xf>
    <xf fontId="22" fillId="0" borderId="0" numFmtId="49" xfId="0" applyNumberFormat="1" applyFont="1">
      <alignment horizontal="left" vertical="top" wrapText="1"/>
    </xf>
    <xf fontId="37" fillId="0" borderId="0" numFmtId="49" xfId="0" applyNumberFormat="1" applyFont="1">
      <alignment horizontal="center" vertical="center"/>
    </xf>
    <xf fontId="22" fillId="0" borderId="0" numFmtId="0" xfId="0" applyNumberFormat="1" applyFont="1"/>
    <xf fontId="37" fillId="35" borderId="0" numFmtId="0" xfId="0" applyNumberFormat="1" applyFont="1" applyFill="1">
      <alignment horizontal="center" vertical="center"/>
    </xf>
    <xf fontId="22" fillId="35" borderId="0" numFmtId="0" xfId="0" applyNumberFormat="1" applyFont="1" applyFill="1"/>
    <xf fontId="22" fillId="0" borderId="13" numFmtId="0" xfId="0" applyNumberFormat="1" applyFont="1" applyBorder="1">
      <alignment horizontal="left" indent="1" vertical="center" wrapText="1"/>
    </xf>
    <xf fontId="22" fillId="0" borderId="14" numFmtId="0" xfId="0" applyNumberFormat="1" applyFont="1" applyBorder="1">
      <alignment horizontal="left" indent="1" vertical="center" wrapText="1"/>
    </xf>
    <xf fontId="64" fillId="0" borderId="0" numFmtId="0" xfId="0" applyNumberFormat="1" applyFont="1"/>
    <xf fontId="22" fillId="0" borderId="12" numFmtId="0" xfId="0" applyNumberFormat="1" applyFont="1" applyBorder="1">
      <alignment horizontal="center" vertical="center" wrapText="1"/>
    </xf>
    <xf fontId="22" fillId="35" borderId="17" numFmtId="0" xfId="0" applyNumberFormat="1" applyFont="1" applyFill="1" applyBorder="1">
      <alignment horizontal="center" vertical="center"/>
    </xf>
    <xf fontId="22" fillId="0" borderId="17" numFmtId="49" xfId="0" applyNumberFormat="1" applyFont="1" applyBorder="1">
      <alignment horizontal="left" vertical="center" wrapText="1"/>
    </xf>
    <xf fontId="37" fillId="35" borderId="0" numFmtId="0" xfId="0" applyNumberFormat="1" applyFont="1" applyFill="1">
      <alignment horizontal="center" vertical="center" wrapText="1"/>
    </xf>
    <xf fontId="22" fillId="35" borderId="12" numFmtId="0" xfId="0" applyNumberFormat="1" applyFont="1" applyFill="1" applyBorder="1">
      <alignment horizontal="center" vertical="center"/>
    </xf>
    <xf fontId="22" fillId="39" borderId="12" numFmtId="49" xfId="0" applyNumberFormat="1" applyFont="1" applyFill="1" applyBorder="1">
      <alignment horizontal="left" vertical="center" wrapText="1"/>
      <protection locked="0"/>
    </xf>
    <xf fontId="50" fillId="37" borderId="14" numFmtId="49" xfId="0" applyNumberFormat="1" applyFont="1" applyFill="1" applyBorder="1">
      <alignment horizontal="center" vertical="center"/>
    </xf>
    <xf fontId="40" fillId="37" borderId="13" numFmtId="49" xfId="0" applyNumberFormat="1" applyFont="1" applyFill="1" applyBorder="1">
      <alignment horizontal="left" vertical="center"/>
    </xf>
    <xf fontId="45" fillId="0" borderId="0" numFmtId="49" xfId="0" applyNumberFormat="1" applyFont="1">
      <alignment horizontal="right" vertical="top"/>
    </xf>
    <xf fontId="22" fillId="0" borderId="0" numFmtId="49" xfId="0" applyNumberFormat="1" applyFont="1">
      <alignment horizontal="left" vertical="top" wrapText="1"/>
    </xf>
    <xf fontId="45" fillId="0" borderId="0" numFmtId="49" xfId="0" applyNumberFormat="1" applyFont="1">
      <alignment vertical="top"/>
    </xf>
    <xf fontId="37" fillId="0" borderId="0" numFmtId="0" xfId="0" applyNumberFormat="1" applyFont="1">
      <alignment horizontal="center" vertical="center"/>
    </xf>
    <xf fontId="22" fillId="0" borderId="0" numFmtId="0" xfId="0" applyNumberFormat="1" applyFont="1"/>
    <xf fontId="37" fillId="0" borderId="0" numFmtId="0" xfId="0" applyNumberFormat="1" applyFont="1">
      <alignment horizontal="center" vertical="center"/>
    </xf>
    <xf fontId="22" fillId="0" borderId="0" numFmtId="0" xfId="0" applyNumberFormat="1" applyFont="1"/>
    <xf fontId="22" fillId="0" borderId="12" numFmtId="49" xfId="0" applyNumberFormat="1" applyFont="1" applyBorder="1">
      <alignment horizontal="left" vertical="center" wrapText="1"/>
    </xf>
    <xf fontId="40" fillId="37" borderId="13" numFmtId="49" xfId="0" applyNumberFormat="1" applyFont="1" applyFill="1" applyBorder="1">
      <alignment horizontal="left" vertical="center"/>
    </xf>
    <xf fontId="0" fillId="0" borderId="0" numFmtId="49" xfId="0" applyNumberFormat="1" applyFont="1">
      <alignment vertical="top"/>
    </xf>
    <xf fontId="0" fillId="0" borderId="15" numFmtId="49" xfId="0" applyNumberFormat="1" applyFont="1" applyBorder="1">
      <alignment horizontal="left" indent="1" vertical="center"/>
    </xf>
    <xf fontId="0" fillId="0" borderId="15" numFmtId="49" xfId="0" applyNumberFormat="1" applyFont="1" applyBorder="1">
      <alignment horizontal="left" indent="1" vertical="center"/>
    </xf>
    <xf fontId="65" fillId="0" borderId="0" numFmtId="49" xfId="0" applyNumberFormat="1" applyFont="1">
      <alignment vertical="top"/>
    </xf>
    <xf fontId="0" fillId="0" borderId="25" numFmtId="49" xfId="0" applyNumberFormat="1" applyFont="1" applyBorder="1">
      <alignment horizontal="center" vertical="center"/>
    </xf>
    <xf fontId="0" fillId="0" borderId="25" numFmtId="49" xfId="0" applyNumberFormat="1" applyFont="1" applyBorder="1">
      <alignment horizontal="center" vertical="center"/>
    </xf>
    <xf fontId="0" fillId="38" borderId="0" numFmtId="49" xfId="0" applyNumberFormat="1" applyFont="1" applyFill="1">
      <alignment vertical="top"/>
    </xf>
    <xf fontId="0" fillId="38" borderId="0" numFmtId="49" xfId="0" applyNumberFormat="1" applyFont="1" applyFill="1">
      <alignment vertical="top"/>
    </xf>
    <xf fontId="37" fillId="35" borderId="0" numFmtId="0" xfId="0" applyNumberFormat="1" applyFont="1" applyFill="1">
      <alignment horizontal="center" vertical="center" wrapText="1"/>
    </xf>
    <xf fontId="37" fillId="35" borderId="0" numFmtId="0" xfId="0" applyNumberFormat="1" applyFont="1" applyFill="1">
      <alignment horizontal="center"/>
    </xf>
    <xf fontId="22" fillId="36" borderId="12" numFmtId="49" xfId="0" applyNumberFormat="1" applyFont="1" applyFill="1" applyBorder="1">
      <alignment horizontal="left" vertical="center" wrapText="1"/>
      <protection locked="0"/>
    </xf>
    <xf fontId="37" fillId="0" borderId="0" numFmtId="0" xfId="0" applyNumberFormat="1" applyFont="1">
      <alignment horizontal="center" vertical="center" wrapText="1"/>
    </xf>
    <xf fontId="22" fillId="0" borderId="12" numFmtId="0" xfId="0" applyNumberFormat="1" applyFont="1" applyBorder="1">
      <alignment horizontal="center" vertical="center" wrapText="1"/>
    </xf>
    <xf fontId="48" fillId="0" borderId="12" numFmtId="0" xfId="0" applyNumberFormat="1" applyFont="1" applyBorder="1">
      <alignment horizontal="center" vertical="center"/>
    </xf>
    <xf fontId="22" fillId="0" borderId="23" numFmtId="0" xfId="0" applyNumberFormat="1" applyFont="1" applyBorder="1">
      <alignment horizontal="center" vertical="center" wrapText="1"/>
    </xf>
    <xf fontId="47" fillId="0" borderId="23" numFmtId="0" xfId="0" applyNumberFormat="1" applyFont="1" applyBorder="1">
      <alignment horizontal="center" vertical="center" wrapText="1"/>
    </xf>
    <xf fontId="47" fillId="0" borderId="0" numFmtId="0" xfId="0" applyNumberFormat="1" applyFont="1">
      <alignment horizontal="center" vertical="center" wrapText="1"/>
    </xf>
    <xf fontId="47" fillId="0" borderId="12" numFmtId="0" xfId="0" applyNumberFormat="1" applyFont="1" applyBorder="1">
      <alignment horizontal="center" vertical="center" wrapText="1"/>
    </xf>
    <xf fontId="22" fillId="40" borderId="12" numFmtId="14" xfId="0" applyNumberFormat="1" applyFont="1" applyFill="1" applyBorder="1">
      <alignment horizontal="left" indent="1" vertical="center" wrapText="1"/>
    </xf>
    <xf fontId="22" fillId="34" borderId="12" numFmtId="49" xfId="0" applyNumberFormat="1" applyFont="1" applyFill="1" applyBorder="1">
      <alignment horizontal="center" vertical="center" wrapText="1"/>
    </xf>
    <xf fontId="52" fillId="38" borderId="0" numFmtId="49" xfId="0" applyNumberFormat="1" applyFont="1" applyFill="1">
      <alignment vertical="top"/>
    </xf>
    <xf fontId="52" fillId="0" borderId="0" numFmtId="49" xfId="0" applyNumberFormat="1" applyFont="1">
      <alignment vertical="top"/>
    </xf>
    <xf fontId="36" fillId="0" borderId="24" numFmtId="0" xfId="0" applyNumberFormat="1" applyFont="1" applyBorder="1">
      <alignment horizontal="center" vertical="center" wrapText="1"/>
    </xf>
    <xf fontId="81" fillId="0" borderId="17" numFmtId="14" xfId="0" applyNumberFormat="1" applyFont="1" applyBorder="1">
      <alignment horizontal="center" vertical="center" wrapText="1"/>
    </xf>
    <xf fontId="75" fillId="0" borderId="12" numFmtId="0" xfId="0" applyNumberFormat="1" applyFont="1" applyBorder="1">
      <alignment horizontal="left" indent="1" vertical="center" wrapText="1"/>
    </xf>
    <xf fontId="81" fillId="0" borderId="17" numFmtId="0" xfId="0" applyNumberFormat="1" applyFont="1" applyBorder="1">
      <alignment horizontal="center" vertical="center" wrapText="1"/>
    </xf>
    <xf fontId="22" fillId="0" borderId="12" numFmtId="49" xfId="0" applyNumberFormat="1" applyFont="1" applyBorder="1">
      <alignment horizontal="center" vertical="center" wrapText="1"/>
    </xf>
    <xf fontId="74" fillId="0" borderId="0" numFmtId="0" xfId="0" applyNumberFormat="1" applyFont="1">
      <alignment vertical="center"/>
    </xf>
    <xf fontId="81" fillId="0" borderId="36" numFmtId="14" xfId="0" applyNumberFormat="1" applyFont="1" applyBorder="1">
      <alignment horizontal="center" vertical="center" wrapText="1"/>
    </xf>
    <xf fontId="75" fillId="0" borderId="12" numFmtId="0" xfId="0" applyNumberFormat="1" applyFont="1" applyBorder="1">
      <alignment horizontal="left" indent="1" vertical="top"/>
    </xf>
    <xf fontId="0" fillId="0" borderId="12" numFmtId="49" xfId="0" applyNumberFormat="1" applyFont="1" applyBorder="1">
      <alignment vertical="top"/>
    </xf>
    <xf fontId="36" fillId="0" borderId="12" numFmtId="0" xfId="0" applyNumberFormat="1" applyFont="1" applyBorder="1">
      <alignment horizontal="center" vertical="center" wrapText="1"/>
    </xf>
    <xf fontId="22" fillId="40" borderId="12" numFmtId="0" xfId="0" applyNumberFormat="1" applyFont="1" applyFill="1" applyBorder="1">
      <alignment horizontal="left" indent="1" vertical="center" wrapText="1"/>
    </xf>
    <xf fontId="36" fillId="0" borderId="12" numFmtId="0" xfId="0" applyNumberFormat="1" applyFont="1" applyBorder="1">
      <alignment horizontal="center" vertical="center" wrapText="1"/>
    </xf>
    <xf fontId="22" fillId="0" borderId="13" numFmtId="49" xfId="0" applyNumberFormat="1" applyFont="1" applyBorder="1">
      <alignment horizontal="center" vertical="center" wrapText="1"/>
    </xf>
    <xf fontId="75" fillId="39" borderId="12" numFmtId="49" xfId="0" applyNumberFormat="1" applyFont="1" applyFill="1" applyBorder="1">
      <alignment horizontal="left" indent="1" vertical="center" wrapText="1"/>
      <protection locked="0"/>
    </xf>
    <xf fontId="22" fillId="35" borderId="0" numFmtId="49" xfId="0" applyNumberFormat="1" applyFont="1" applyFill="1">
      <alignment horizontal="center" vertical="center" wrapText="1"/>
    </xf>
    <xf fontId="22" fillId="35" borderId="0" numFmtId="0" xfId="0" applyNumberFormat="1" applyFont="1" applyFill="1">
      <alignment horizontal="center" vertical="top" wrapText="1"/>
    </xf>
    <xf fontId="22" fillId="40" borderId="14" numFmtId="49" xfId="0" applyNumberFormat="1" applyFont="1" applyFill="1" applyBorder="1">
      <alignment horizontal="left" vertical="center" wrapText="1"/>
    </xf>
    <xf fontId="0" fillId="0" borderId="12" numFmtId="49" xfId="0" applyNumberFormat="1" applyFont="1" applyBorder="1">
      <alignment vertical="top"/>
    </xf>
    <xf fontId="0" fillId="0" borderId="12" numFmtId="0"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0" borderId="0" numFmtId="49" xfId="0" applyNumberFormat="1" applyFont="1">
      <alignment vertical="top"/>
    </xf>
    <xf fontId="37" fillId="35" borderId="0" numFmtId="0" xfId="0" applyNumberFormat="1" applyFont="1" applyFill="1">
      <alignment vertical="top" wrapText="1"/>
    </xf>
    <xf fontId="22" fillId="35" borderId="14" numFmtId="0" xfId="0" applyNumberFormat="1" applyFont="1" applyFill="1" applyBorder="1">
      <alignment horizontal="center" vertical="center" wrapText="1"/>
    </xf>
    <xf fontId="48" fillId="35" borderId="12" numFmtId="0" xfId="0" applyNumberFormat="1" applyFont="1" applyFill="1" applyBorder="1">
      <alignment horizontal="center" vertical="center" wrapText="1"/>
    </xf>
    <xf fontId="22" fillId="40" borderId="29" numFmtId="14" xfId="0" applyNumberFormat="1" applyFont="1" applyFill="1" applyBorder="1">
      <alignment horizontal="left" vertical="center" wrapText="1"/>
    </xf>
    <xf fontId="122" fillId="39" borderId="12" numFmtId="49" xfId="0" applyNumberFormat="1" applyFont="1" applyFill="1" applyBorder="1">
      <alignment horizontal="left" vertical="center" wrapText="1"/>
      <protection locked="0"/>
    </xf>
    <xf fontId="0" fillId="0" borderId="12" numFmtId="49" xfId="0" applyNumberFormat="1" applyFont="1" applyBorder="1">
      <alignment horizontal="center" vertical="center" wrapText="1"/>
    </xf>
    <xf fontId="22" fillId="40" borderId="14" numFmtId="0" xfId="0" applyNumberFormat="1" applyFont="1" applyFill="1" applyBorder="1">
      <alignment horizontal="left" vertical="center" wrapText="1"/>
    </xf>
    <xf fontId="0" fillId="0" borderId="23" numFmtId="0" xfId="0" applyNumberFormat="1" applyFont="1" applyBorder="1">
      <alignment horizontal="center" vertical="center" wrapText="1"/>
    </xf>
    <xf fontId="37" fillId="0" borderId="0" numFmtId="49" xfId="0" applyNumberFormat="1" applyFont="1">
      <alignment horizontal="center" vertical="center" wrapText="1"/>
    </xf>
    <xf fontId="0" fillId="39" borderId="12" numFmtId="504" xfId="0" applyNumberFormat="1" applyFont="1" applyFill="1" applyBorder="1">
      <alignment horizontal="center" vertical="center" wrapText="1"/>
      <protection locked="0"/>
    </xf>
    <xf fontId="0" fillId="39" borderId="12" numFmtId="49" xfId="0" applyNumberFormat="1" applyFont="1" applyFill="1" applyBorder="1">
      <alignment horizontal="center" vertical="center" wrapText="1"/>
      <protection locked="0"/>
    </xf>
    <xf fontId="0" fillId="35" borderId="12" numFmtId="49" xfId="0" applyNumberFormat="1" applyFont="1" applyFill="1" applyBorder="1">
      <alignment horizontal="center" vertical="center" wrapText="1"/>
    </xf>
    <xf fontId="0" fillId="39" borderId="14" numFmtId="0" xfId="0" applyNumberFormat="1" applyFont="1" applyFill="1" applyBorder="1">
      <alignment horizontal="left" indent="2" vertical="center" wrapText="1"/>
      <protection locked="0"/>
    </xf>
    <xf fontId="37" fillId="0" borderId="24" numFmtId="0" xfId="0" applyNumberFormat="1" applyFont="1" applyBorder="1">
      <alignment horizontal="center" vertical="center" wrapText="1"/>
    </xf>
    <xf fontId="22" fillId="0" borderId="12" numFmtId="49" xfId="0" applyNumberFormat="1" applyFont="1" applyBorder="1">
      <alignment horizontal="center" vertical="top" wrapText="1"/>
    </xf>
    <xf fontId="0" fillId="34" borderId="12" numFmtId="0" xfId="0" applyNumberFormat="1" applyFont="1" applyFill="1" applyBorder="1">
      <alignment horizontal="left" indent="1" vertical="top" wrapText="1"/>
    </xf>
    <xf fontId="22" fillId="40" borderId="17" numFmtId="49" xfId="0" applyNumberFormat="1" applyFont="1" applyFill="1" applyBorder="1">
      <alignment horizontal="center" vertical="top" wrapText="1"/>
    </xf>
    <xf fontId="0" fillId="39" borderId="12" numFmtId="504" xfId="0" applyNumberFormat="1" applyFont="1" applyFill="1" applyBorder="1">
      <alignment horizontal="center" vertical="top" wrapText="1"/>
      <protection locked="0"/>
    </xf>
    <xf fontId="0" fillId="36" borderId="12" numFmtId="504" xfId="0" applyNumberFormat="1" applyFont="1" applyFill="1" applyBorder="1">
      <alignment horizontal="center" vertical="top" wrapText="1"/>
      <protection locked="0"/>
    </xf>
    <xf fontId="22" fillId="40" borderId="12" numFmtId="49" xfId="0" applyNumberFormat="1" applyFont="1" applyFill="1" applyBorder="1">
      <alignment horizontal="left" vertical="top" wrapText="1"/>
    </xf>
    <xf fontId="22" fillId="39" borderId="12" numFmtId="49" xfId="0" applyNumberFormat="1" applyFont="1" applyFill="1" applyBorder="1">
      <alignment horizontal="left" vertical="top" wrapText="1"/>
      <protection locked="0"/>
    </xf>
    <xf fontId="0" fillId="34" borderId="12" numFmtId="49" xfId="0" applyNumberFormat="1" applyFont="1" applyFill="1" applyBorder="1">
      <alignment horizontal="center" vertical="top" wrapText="1"/>
    </xf>
    <xf fontId="22" fillId="34" borderId="12" numFmtId="0" xfId="0" applyNumberFormat="1" applyFont="1" applyFill="1" applyBorder="1">
      <alignment horizontal="center" vertical="top" wrapText="1"/>
    </xf>
    <xf fontId="22" fillId="36" borderId="12" numFmtId="0" xfId="0" applyNumberFormat="1" applyFont="1" applyFill="1" applyBorder="1">
      <alignment horizontal="left" vertical="top" wrapText="1"/>
      <protection locked="0"/>
    </xf>
    <xf fontId="22" fillId="40" borderId="12" numFmtId="49" xfId="0" applyNumberFormat="1" applyFont="1" applyFill="1" applyBorder="1">
      <alignment horizontal="center" vertical="top" wrapText="1"/>
    </xf>
    <xf fontId="22" fillId="0" borderId="36" numFmtId="0" xfId="0" applyNumberFormat="1" applyFont="1" applyBorder="1">
      <alignment horizontal="center" vertical="center" wrapText="1"/>
    </xf>
    <xf fontId="22" fillId="0" borderId="12" numFmtId="0" xfId="0" applyNumberFormat="1" applyFont="1" applyBorder="1">
      <alignment horizontal="center" vertical="center" wrapText="1"/>
    </xf>
    <xf fontId="22" fillId="39" borderId="17" numFmtId="49" xfId="0" applyNumberFormat="1" applyFont="1" applyFill="1" applyBorder="1">
      <alignment horizontal="left" indent="1" vertical="center" wrapText="1"/>
      <protection locked="0"/>
    </xf>
    <xf fontId="22" fillId="0" borderId="24" numFmtId="0" xfId="0" applyNumberFormat="1" applyFont="1" applyBorder="1">
      <alignment vertical="top" wrapText="1"/>
    </xf>
    <xf fontId="22" fillId="40" borderId="23" numFmtId="49" xfId="0" applyNumberFormat="1" applyFont="1" applyFill="1" applyBorder="1">
      <alignment horizontal="center" vertical="top" wrapText="1"/>
    </xf>
    <xf fontId="0" fillId="39" borderId="12" numFmtId="49" xfId="0" applyNumberFormat="1" applyFont="1" applyFill="1" applyBorder="1">
      <alignment horizontal="center" vertical="top" wrapText="1"/>
      <protection locked="0"/>
    </xf>
    <xf fontId="0" fillId="36" borderId="12" numFmtId="49" xfId="0" applyNumberFormat="1" applyFont="1" applyFill="1" applyBorder="1">
      <alignment horizontal="center" vertical="top" wrapText="1"/>
      <protection locked="0"/>
    </xf>
    <xf fontId="22" fillId="40" borderId="14" numFmtId="49" xfId="0" applyNumberFormat="1" applyFont="1" applyFill="1" applyBorder="1">
      <alignment horizontal="center" vertical="top" wrapText="1"/>
    </xf>
    <xf fontId="22" fillId="0" borderId="36" numFmtId="49" xfId="0" applyNumberFormat="1" applyFont="1" applyBorder="1">
      <alignment horizontal="center" vertical="top" wrapText="1"/>
    </xf>
    <xf fontId="0" fillId="34" borderId="36" numFmtId="0" xfId="0" applyNumberFormat="1" applyFont="1" applyFill="1" applyBorder="1">
      <alignment horizontal="left" indent="1" vertical="top" wrapText="1"/>
    </xf>
    <xf fontId="22" fillId="40" borderId="36" numFmtId="49" xfId="0" applyNumberFormat="1" applyFont="1" applyFill="1" applyBorder="1">
      <alignment horizontal="center" vertical="top" wrapText="1"/>
    </xf>
    <xf fontId="0" fillId="39" borderId="36" numFmtId="49" xfId="0" applyNumberFormat="1" applyFont="1" applyFill="1" applyBorder="1">
      <alignment horizontal="center" vertical="top" wrapText="1"/>
      <protection locked="0"/>
    </xf>
    <xf fontId="0" fillId="36" borderId="36" numFmtId="49" xfId="0" applyNumberFormat="1" applyFont="1" applyFill="1" applyBorder="1">
      <alignment horizontal="center" vertical="top" wrapText="1"/>
      <protection locked="0"/>
    </xf>
    <xf fontId="22" fillId="40" borderId="36" numFmtId="49" xfId="0" applyNumberFormat="1" applyFont="1" applyFill="1" applyBorder="1">
      <alignment horizontal="left" vertical="top" wrapText="1"/>
    </xf>
    <xf fontId="22" fillId="39" borderId="36" numFmtId="49" xfId="0" applyNumberFormat="1" applyFont="1" applyFill="1" applyBorder="1">
      <alignment horizontal="left" vertical="top" wrapText="1"/>
      <protection locked="0"/>
    </xf>
    <xf fontId="0" fillId="34" borderId="36" numFmtId="49" xfId="0" applyNumberFormat="1" applyFont="1" applyFill="1" applyBorder="1">
      <alignment horizontal="center" vertical="top" wrapText="1"/>
    </xf>
    <xf fontId="22" fillId="34" borderId="36" numFmtId="0" xfId="0" applyNumberFormat="1" applyFont="1" applyFill="1" applyBorder="1">
      <alignment horizontal="center" vertical="top" wrapText="1"/>
    </xf>
    <xf fontId="22" fillId="36" borderId="36" numFmtId="0" xfId="0" applyNumberFormat="1" applyFont="1" applyFill="1" applyBorder="1">
      <alignment horizontal="left" vertical="top" wrapText="1"/>
      <protection locked="0"/>
    </xf>
    <xf fontId="103" fillId="0" borderId="48" numFmtId="0" xfId="0" applyNumberFormat="1" applyFont="1" applyBorder="1">
      <alignment horizontal="left" indent="1" vertical="center"/>
    </xf>
    <xf fontId="103" fillId="0" borderId="49" numFmtId="0" xfId="0" applyNumberFormat="1" applyFont="1" applyBorder="1">
      <alignment horizontal="left" indent="1" vertical="center"/>
    </xf>
    <xf fontId="0" fillId="0" borderId="49" numFmtId="0" xfId="0" applyNumberFormat="1" applyFont="1" applyBorder="1">
      <alignment horizontal="left" vertical="center" wrapText="1"/>
    </xf>
    <xf fontId="22" fillId="0" borderId="49" numFmtId="0" xfId="0" applyNumberFormat="1" applyFont="1" applyBorder="1">
      <alignment vertical="center" wrapText="1"/>
    </xf>
    <xf fontId="22" fillId="0" borderId="53" numFmtId="0" xfId="0" applyNumberFormat="1" applyFont="1" applyBorder="1">
      <alignment vertical="center" wrapText="1"/>
    </xf>
    <xf fontId="22" fillId="0" borderId="54" numFmtId="0" xfId="0" applyNumberFormat="1" applyFont="1" applyBorder="1">
      <alignment vertical="center" wrapText="1"/>
    </xf>
    <xf fontId="22" fillId="0" borderId="22" numFmtId="0" xfId="0" applyNumberFormat="1" applyFont="1" applyBorder="1">
      <alignment vertical="center" wrapText="1"/>
    </xf>
    <xf fontId="22" fillId="34" borderId="12" numFmtId="49" xfId="0" applyNumberFormat="1" applyFont="1" applyFill="1" applyBorder="1">
      <alignment horizontal="center" vertical="center" wrapText="1"/>
    </xf>
    <xf fontId="22" fillId="0" borderId="13" numFmtId="49" xfId="0" applyNumberFormat="1" applyFont="1" applyBorder="1">
      <alignment horizontal="center" vertical="center" wrapText="1"/>
    </xf>
    <xf fontId="47" fillId="0" borderId="13" numFmtId="49" xfId="0" applyNumberFormat="1" applyFont="1" applyBorder="1">
      <alignment horizontal="center" vertical="center" wrapText="1"/>
    </xf>
    <xf fontId="47" fillId="0" borderId="13" numFmtId="49" xfId="0" applyNumberFormat="1" applyFont="1" applyBorder="1">
      <alignment horizontal="left" vertical="center" wrapText="1"/>
    </xf>
    <xf fontId="47" fillId="0" borderId="12" numFmtId="49" xfId="0" applyNumberFormat="1" applyFont="1" applyBorder="1">
      <alignment horizontal="left" vertical="center" wrapText="1"/>
    </xf>
    <xf fontId="47" fillId="0" borderId="14" numFmtId="49" xfId="0" applyNumberFormat="1" applyFont="1" applyBorder="1">
      <alignment horizontal="center" vertical="center" wrapText="1"/>
    </xf>
    <xf fontId="94" fillId="0" borderId="43" numFmtId="49" xfId="0" applyNumberFormat="1" applyFont="1" applyBorder="1">
      <alignment horizontal="left" indent="1" vertical="center"/>
    </xf>
    <xf fontId="94" fillId="0" borderId="43" numFmtId="49" xfId="0" applyNumberFormat="1" applyFont="1" applyBorder="1">
      <alignment horizontal="center" vertical="center"/>
    </xf>
    <xf fontId="47" fillId="0" borderId="12" numFmtId="3" xfId="0" applyNumberFormat="1" applyFont="1" applyBorder="1">
      <alignment horizontal="center" vertical="center" wrapText="1"/>
    </xf>
    <xf fontId="125" fillId="0" borderId="13" numFmtId="49" xfId="0" applyNumberFormat="1" applyFont="1" applyBorder="1">
      <alignment horizontal="center" vertical="center" wrapText="1"/>
    </xf>
    <xf fontId="94" fillId="0" borderId="12" numFmtId="0" xfId="0" applyNumberFormat="1" applyFont="1" applyBorder="1">
      <alignment horizontal="center" vertical="center"/>
    </xf>
    <xf fontId="47" fillId="0" borderId="17" numFmtId="49" xfId="0" applyNumberFormat="1" applyFont="1" applyBorder="1">
      <alignment horizontal="left" indent="1" vertical="center" wrapText="1"/>
    </xf>
    <xf fontId="47" fillId="0" borderId="12" numFmtId="49" xfId="0" applyNumberFormat="1" applyFont="1" applyBorder="1">
      <alignment horizontal="left" vertical="center" wrapText="1"/>
    </xf>
    <xf fontId="94" fillId="0" borderId="14" numFmtId="49" xfId="0" applyNumberFormat="1" applyFont="1" applyBorder="1">
      <alignment horizontal="left" indent="1" vertical="center"/>
    </xf>
    <xf fontId="94" fillId="0" borderId="15" numFmtId="49" xfId="0" applyNumberFormat="1" applyFont="1" applyBorder="1">
      <alignment horizontal="left" indent="1" vertical="center"/>
    </xf>
    <xf fontId="94" fillId="0" borderId="15" numFmtId="49" xfId="0" applyNumberFormat="1" applyFont="1" applyBorder="1">
      <alignment vertical="top" wrapText="1"/>
    </xf>
    <xf fontId="94" fillId="0" borderId="13" numFmtId="49" xfId="0" applyNumberFormat="1" applyFont="1" applyBorder="1">
      <alignment vertical="top" wrapText="1"/>
    </xf>
    <xf fontId="47" fillId="0" borderId="36" numFmtId="49" xfId="0" applyNumberFormat="1" applyFont="1" applyBorder="1">
      <alignment horizontal="left" indent="1" vertical="center" wrapText="1"/>
    </xf>
    <xf fontId="125" fillId="0" borderId="0" numFmtId="49" xfId="0" applyNumberFormat="1" applyFont="1">
      <alignment horizontal="center" vertical="top" wrapText="1"/>
    </xf>
    <xf fontId="94" fillId="0" borderId="12" numFmtId="0" xfId="0" applyNumberFormat="1" applyFont="1" applyBorder="1">
      <alignment horizontal="center" vertical="center"/>
    </xf>
    <xf fontId="94" fillId="0" borderId="12" numFmtId="0" xfId="0" applyNumberFormat="1" applyFont="1" applyBorder="1">
      <alignment horizontal="left" indent="1" vertical="center" wrapText="1"/>
    </xf>
    <xf fontId="47" fillId="0" borderId="31" numFmtId="4" xfId="0" applyNumberFormat="1" applyFont="1" applyBorder="1">
      <alignment horizontal="right" vertical="center" wrapText="1"/>
    </xf>
    <xf fontId="47" fillId="0" borderId="23" numFmtId="49" xfId="0" applyNumberFormat="1" applyFont="1" applyBorder="1">
      <alignment horizontal="left" indent="1" vertical="center" wrapText="1"/>
    </xf>
    <xf fontId="47" fillId="0" borderId="15" numFmtId="49" xfId="0" applyNumberFormat="1" applyFont="1" applyBorder="1">
      <alignment horizontal="left" indent="1" vertical="center"/>
    </xf>
    <xf fontId="94" fillId="0" borderId="52" numFmtId="49" xfId="0" applyNumberFormat="1" applyFont="1" applyBorder="1">
      <alignment vertical="top" wrapText="1"/>
    </xf>
    <xf fontId="94" fillId="0" borderId="52" numFmtId="49" xfId="0" applyNumberFormat="1" applyFont="1" applyBorder="1">
      <alignment horizontal="left" indent="1" vertical="center"/>
    </xf>
    <xf fontId="22" fillId="34" borderId="74" numFmtId="49" xfId="0" applyNumberFormat="1" applyFont="1" applyFill="1" applyBorder="1">
      <alignment horizontal="center" vertical="center" wrapText="1"/>
    </xf>
    <xf fontId="0" fillId="37" borderId="50" numFmtId="0" xfId="0" applyNumberFormat="1" applyFont="1" applyFill="1" applyBorder="1">
      <alignment horizontal="left" vertical="center"/>
    </xf>
    <xf fontId="40" fillId="37" borderId="51" numFmtId="49" xfId="0" applyNumberFormat="1" applyFont="1" applyFill="1" applyBorder="1">
      <alignment horizontal="left" indent="1" vertical="center"/>
    </xf>
    <xf fontId="22" fillId="37" borderId="50" numFmtId="0" xfId="0" applyNumberFormat="1" applyFont="1" applyFill="1" applyBorder="1">
      <alignment vertical="center" wrapText="1"/>
    </xf>
    <xf fontId="22" fillId="37" borderId="51" numFmtId="0" xfId="0" applyNumberFormat="1" applyFont="1" applyFill="1" applyBorder="1">
      <alignment vertical="center" wrapText="1"/>
    </xf>
    <xf fontId="0" fillId="34" borderId="36" numFmtId="49" xfId="0" applyNumberFormat="1" applyFont="1" applyFill="1" applyBorder="1">
      <alignment vertical="top"/>
    </xf>
    <xf fontId="0" fillId="0" borderId="36" numFmtId="49" xfId="0" applyNumberFormat="1" applyFont="1" applyBorder="1">
      <alignment vertical="top"/>
    </xf>
    <xf fontId="22" fillId="40" borderId="17" numFmtId="49" xfId="0" applyNumberFormat="1" applyFont="1" applyFill="1" applyBorder="1">
      <alignment vertical="center" wrapText="1"/>
    </xf>
    <xf fontId="0" fillId="39" borderId="36" numFmtId="49" xfId="0" applyNumberFormat="1" applyFont="1" applyFill="1" applyBorder="1">
      <alignment vertical="top"/>
      <protection locked="0"/>
    </xf>
    <xf fontId="123" fillId="0" borderId="12" numFmtId="49" xfId="0" applyNumberFormat="1" applyFont="1" applyBorder="1">
      <alignment horizontal="center" vertical="center" wrapText="1"/>
    </xf>
    <xf fontId="45" fillId="0" borderId="12" numFmtId="0" xfId="0" applyNumberFormat="1" applyFont="1" applyBorder="1">
      <alignment horizontal="center" vertical="center"/>
    </xf>
    <xf fontId="22" fillId="40" borderId="17" numFmtId="49" xfId="0" applyNumberFormat="1" applyFont="1" applyFill="1" applyBorder="1">
      <alignment horizontal="left" indent="1" vertical="center" wrapText="1"/>
    </xf>
    <xf fontId="22" fillId="0" borderId="12" numFmtId="49" xfId="0" applyNumberFormat="1" applyFont="1" applyBorder="1">
      <alignment horizontal="left" vertical="center" wrapText="1"/>
    </xf>
    <xf fontId="105" fillId="37" borderId="14" numFmtId="49" xfId="0" applyNumberFormat="1" applyFont="1" applyFill="1" applyBorder="1">
      <alignment horizontal="left" indent="1" vertical="center"/>
    </xf>
    <xf fontId="105" fillId="37" borderId="15" numFmtId="49" xfId="0" applyNumberFormat="1" applyFont="1" applyFill="1" applyBorder="1">
      <alignment horizontal="left" indent="1" vertical="center"/>
    </xf>
    <xf fontId="45" fillId="37" borderId="15" numFmtId="49" xfId="0" applyNumberFormat="1" applyFont="1" applyFill="1" applyBorder="1">
      <alignment vertical="top" wrapText="1"/>
    </xf>
    <xf fontId="0" fillId="39" borderId="17" numFmtId="49" xfId="0" applyNumberFormat="1" applyFont="1" applyFill="1" applyBorder="1">
      <alignment vertical="top"/>
      <protection locked="0"/>
    </xf>
    <xf fontId="22" fillId="40" borderId="36" numFmtId="14" xfId="0" applyNumberFormat="1" applyFont="1" applyFill="1" applyBorder="1">
      <alignment horizontal="left" indent="1" vertical="center" wrapText="1"/>
    </xf>
    <xf fontId="22" fillId="40" borderId="22" numFmtId="14" xfId="0" applyNumberFormat="1" applyFont="1" applyFill="1" applyBorder="1">
      <alignment horizontal="left" indent="1" vertical="center" wrapText="1"/>
    </xf>
    <xf fontId="22" fillId="40" borderId="36" numFmtId="49" xfId="0" applyNumberFormat="1" applyFont="1" applyFill="1" applyBorder="1">
      <alignment vertical="center" wrapText="1"/>
    </xf>
    <xf fontId="22" fillId="40" borderId="36" numFmtId="49" xfId="0" applyNumberFormat="1" applyFont="1" applyFill="1" applyBorder="1">
      <alignment horizontal="left" indent="1" vertical="center" wrapText="1"/>
    </xf>
    <xf fontId="22" fillId="34" borderId="12" numFmtId="49" xfId="0" applyNumberFormat="1" applyFont="1" applyFill="1" applyBorder="1">
      <alignment horizontal="left" vertical="center" wrapText="1"/>
    </xf>
    <xf fontId="123" fillId="0" borderId="0" numFmtId="49" xfId="0" applyNumberFormat="1" applyFont="1">
      <alignment horizontal="center" vertical="top" wrapText="1"/>
    </xf>
    <xf fontId="45" fillId="0" borderId="12" numFmtId="0" xfId="0" applyNumberFormat="1" applyFont="1" applyBorder="1">
      <alignment horizontal="center" vertical="center"/>
    </xf>
    <xf fontId="45" fillId="40" borderId="12" numFmtId="0" xfId="0" applyNumberFormat="1" applyFont="1" applyFill="1" applyBorder="1">
      <alignment horizontal="left" indent="1" vertical="center" wrapText="1"/>
    </xf>
    <xf fontId="22" fillId="39" borderId="31" numFmtId="4" xfId="0" applyNumberFormat="1" applyFont="1" applyFill="1" applyBorder="1">
      <alignment horizontal="right" vertical="center" wrapText="1"/>
      <protection locked="0"/>
    </xf>
    <xf fontId="22" fillId="40" borderId="23" numFmtId="49" xfId="0" applyNumberFormat="1" applyFont="1" applyFill="1" applyBorder="1">
      <alignment vertical="center" wrapText="1"/>
    </xf>
    <xf fontId="22" fillId="40" borderId="23" numFmtId="49" xfId="0" applyNumberFormat="1" applyFont="1" applyFill="1" applyBorder="1">
      <alignment horizontal="left" indent="1" vertical="center" wrapText="1"/>
    </xf>
    <xf fontId="40" fillId="37" borderId="15" numFmtId="49" xfId="0" applyNumberFormat="1" applyFont="1" applyFill="1" applyBorder="1">
      <alignment horizontal="left" indent="1" vertical="center"/>
    </xf>
    <xf fontId="0" fillId="39" borderId="23" numFmtId="49" xfId="0" applyNumberFormat="1" applyFont="1" applyFill="1" applyBorder="1">
      <alignment vertical="top"/>
      <protection locked="0"/>
    </xf>
    <xf fontId="123" fillId="0" borderId="36" numFmtId="49" xfId="0" applyNumberFormat="1" applyFont="1" applyBorder="1">
      <alignment horizontal="center" vertical="top" wrapText="1"/>
    </xf>
    <xf fontId="45" fillId="0" borderId="13" numFmtId="0" xfId="0" applyNumberFormat="1" applyFont="1" applyBorder="1">
      <alignment horizontal="center" vertical="center"/>
    </xf>
    <xf fontId="22" fillId="40" borderId="13" numFmtId="49" xfId="0" applyNumberFormat="1" applyFont="1" applyFill="1" applyBorder="1">
      <alignment horizontal="left" vertical="center" wrapText="1"/>
    </xf>
    <xf fontId="22" fillId="39" borderId="12" numFmtId="49" xfId="0" applyNumberFormat="1" applyFont="1" applyFill="1" applyBorder="1">
      <alignment horizontal="left" vertical="center" wrapText="1"/>
      <protection locked="0"/>
    </xf>
    <xf fontId="105" fillId="37" borderId="42" numFmtId="49" xfId="0" applyNumberFormat="1" applyFont="1" applyFill="1" applyBorder="1">
      <alignment horizontal="left" indent="1" vertical="center"/>
    </xf>
    <xf fontId="94" fillId="37" borderId="43" numFmtId="49" xfId="0" applyNumberFormat="1" applyFont="1" applyFill="1" applyBorder="1">
      <alignment horizontal="center" vertical="center"/>
    </xf>
    <xf fontId="105" fillId="37" borderId="43" numFmtId="49" xfId="0" applyNumberFormat="1" applyFont="1" applyFill="1" applyBorder="1">
      <alignment horizontal="left" indent="1" vertical="center"/>
    </xf>
    <xf fontId="22" fillId="39" borderId="12" numFmtId="3" xfId="0" applyNumberFormat="1" applyFont="1" applyFill="1" applyBorder="1">
      <alignment horizontal="center" vertical="center" wrapText="1"/>
      <protection locked="0"/>
    </xf>
    <xf fontId="22" fillId="40" borderId="14" numFmtId="49" xfId="0" applyNumberFormat="1" applyFont="1" applyFill="1" applyBorder="1">
      <alignment horizontal="center" vertical="center" wrapText="1"/>
    </xf>
    <xf fontId="45" fillId="0" borderId="13" numFmtId="0" xfId="0" applyNumberFormat="1" applyFont="1" applyBorder="1">
      <alignment horizontal="center" vertical="center"/>
    </xf>
    <xf fontId="45" fillId="37" borderId="13" numFmtId="49" xfId="0" applyNumberFormat="1" applyFont="1" applyFill="1" applyBorder="1">
      <alignment vertical="top" wrapText="1"/>
    </xf>
    <xf fontId="45" fillId="37" borderId="52" numFmtId="49" xfId="0" applyNumberFormat="1" applyFont="1" applyFill="1" applyBorder="1">
      <alignment vertical="top" wrapText="1"/>
    </xf>
    <xf fontId="105" fillId="37" borderId="52" numFmtId="49" xfId="0" applyNumberFormat="1" applyFont="1" applyFill="1" applyBorder="1">
      <alignment horizontal="left" indent="1" vertical="center"/>
    </xf>
    <xf fontId="103" fillId="0" borderId="47" numFmtId="0" xfId="0" applyNumberFormat="1" applyFont="1" applyBorder="1">
      <alignment horizontal="left" indent="1" vertical="center"/>
    </xf>
    <xf fontId="22" fillId="0" borderId="55" numFmtId="49" xfId="0" applyNumberFormat="1" applyFont="1" applyBorder="1">
      <alignment horizontal="center" vertical="center"/>
    </xf>
    <xf fontId="22" fillId="0" borderId="55" numFmtId="0" xfId="0" applyNumberFormat="1" applyFont="1" applyBorder="1">
      <alignment horizontal="right" vertical="center"/>
    </xf>
    <xf fontId="22" fillId="0" borderId="55" numFmtId="0" xfId="0" applyNumberFormat="1" applyFont="1" applyBorder="1">
      <alignment horizontal="center" vertical="center"/>
    </xf>
    <xf fontId="22" fillId="0" borderId="15" numFmtId="0" xfId="0" applyNumberFormat="1" applyFont="1" applyBorder="1">
      <alignment horizontal="right" vertical="center"/>
    </xf>
    <xf fontId="22" fillId="0" borderId="13" numFmtId="0" xfId="0" applyNumberFormat="1" applyFont="1" applyBorder="1">
      <alignment horizontal="right" vertical="center"/>
    </xf>
    <xf fontId="0" fillId="0" borderId="0" numFmtId="49" xfId="0" applyNumberFormat="1" applyFont="1">
      <alignment vertical="top"/>
    </xf>
    <xf fontId="22" fillId="35" borderId="12" numFmtId="0" xfId="0" applyNumberFormat="1" applyFont="1" applyFill="1" applyBorder="1">
      <alignment horizontal="center" vertical="center"/>
    </xf>
    <xf fontId="22" fillId="40" borderId="12" numFmtId="0" xfId="0" applyNumberFormat="1" applyFont="1" applyFill="1" applyBorder="1">
      <alignment horizontal="left" indent="1" vertical="center" wrapText="1"/>
    </xf>
    <xf fontId="22" fillId="39" borderId="12" numFmtId="0" xfId="0" applyNumberFormat="1" applyFont="1" applyFill="1" applyBorder="1">
      <alignment horizontal="left" indent="1" vertical="center" wrapText="1"/>
      <protection locked="0"/>
    </xf>
    <xf fontId="22" fillId="36" borderId="12" numFmtId="49" xfId="0" applyNumberFormat="1" applyFont="1" applyFill="1" applyBorder="1">
      <alignment horizontal="left" indent="1" vertical="center"/>
      <protection locked="0"/>
    </xf>
    <xf fontId="22" fillId="41" borderId="12" numFmtId="0" xfId="0" applyNumberFormat="1" applyFont="1" applyFill="1" applyBorder="1">
      <alignment horizontal="right" vertical="center"/>
    </xf>
    <xf fontId="22" fillId="36" borderId="12" numFmtId="4" xfId="0" applyNumberFormat="1" applyFont="1" applyFill="1" applyBorder="1">
      <alignment horizontal="right" vertical="center"/>
      <protection locked="0"/>
    </xf>
    <xf fontId="40" fillId="37" borderId="56"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37" borderId="51" numFmtId="49" xfId="0" applyNumberFormat="1" applyFont="1" applyFill="1" applyBorder="1">
      <alignment horizontal="left" indent="1" vertical="center"/>
    </xf>
    <xf fontId="40" fillId="52" borderId="13" numFmtId="49" xfId="0" applyNumberFormat="1" applyFont="1" applyFill="1" applyBorder="1">
      <alignment horizontal="left" indent="1" vertical="center"/>
    </xf>
    <xf fontId="22" fillId="0" borderId="0" numFmtId="49" xfId="0" applyNumberFormat="1" applyFont="1">
      <alignment vertical="top"/>
    </xf>
    <xf fontId="22" fillId="0" borderId="17" numFmtId="49" xfId="0" applyNumberFormat="1" applyFont="1" applyBorder="1">
      <alignment horizontal="center" vertical="center" wrapText="1"/>
    </xf>
    <xf fontId="22" fillId="0" borderId="36" numFmtId="49" xfId="0" applyNumberFormat="1" applyFont="1" applyBorder="1">
      <alignment horizontal="center" vertical="center" wrapText="1"/>
    </xf>
    <xf fontId="47" fillId="0" borderId="0" numFmtId="0" xfId="0" applyNumberFormat="1" applyFont="1">
      <alignment horizontal="center" vertical="center" wrapText="1"/>
    </xf>
    <xf fontId="22" fillId="0" borderId="12" numFmtId="0" xfId="0" applyNumberFormat="1" applyFont="1" applyBorder="1">
      <alignment horizontal="left" vertical="center" wrapText="1"/>
    </xf>
    <xf fontId="48" fillId="0" borderId="0" numFmtId="0" xfId="0" applyNumberFormat="1" applyFont="1">
      <alignment horizontal="center" vertical="center" wrapText="1"/>
    </xf>
    <xf fontId="40" fillId="0" borderId="12" numFmtId="0" xfId="0" applyNumberFormat="1" applyFont="1" applyBorder="1">
      <alignment horizontal="left" indent="1" vertical="center"/>
    </xf>
    <xf fontId="47" fillId="0" borderId="0" numFmtId="0" xfId="0" applyNumberFormat="1" applyFont="1">
      <alignment horizontal="center" vertical="top"/>
    </xf>
    <xf fontId="22" fillId="0" borderId="23" numFmtId="49" xfId="0" applyNumberFormat="1" applyFont="1" applyBorder="1">
      <alignment horizontal="center" vertical="center" wrapText="1"/>
    </xf>
    <xf fontId="48" fillId="0" borderId="23" numFmtId="0" xfId="0" applyNumberFormat="1" applyFont="1" applyBorder="1">
      <alignment vertical="center" wrapText="1"/>
    </xf>
    <xf fontId="48" fillId="0" borderId="12" numFmtId="4" xfId="0" applyNumberFormat="1" applyFont="1" applyBorder="1">
      <alignment horizontal="right" vertical="center" wrapText="1"/>
    </xf>
    <xf fontId="48" fillId="0" borderId="23" numFmtId="2" xfId="0" applyNumberFormat="1" applyFont="1" applyBorder="1">
      <alignment horizontal="center" vertical="center" wrapText="1"/>
    </xf>
    <xf fontId="48" fillId="0" borderId="0" numFmtId="0" xfId="0" applyNumberFormat="1" applyFont="1">
      <alignment horizontal="center" vertical="top"/>
    </xf>
    <xf fontId="48" fillId="0" borderId="0" numFmtId="49" xfId="0" applyNumberFormat="1" applyFont="1">
      <alignment vertical="top"/>
    </xf>
    <xf fontId="48" fillId="0" borderId="14" numFmtId="49" xfId="0" applyNumberFormat="1" applyFont="1" applyBorder="1">
      <alignment horizontal="left" vertical="center"/>
    </xf>
    <xf fontId="48" fillId="0" borderId="15" numFmtId="49" xfId="0" applyNumberFormat="1" applyFont="1" applyBorder="1">
      <alignment horizontal="left" indent="1" vertical="center"/>
    </xf>
    <xf fontId="48" fillId="0" borderId="15" numFmtId="49" xfId="0" applyNumberFormat="1" applyFont="1" applyBorder="1">
      <alignment horizontal="left" vertical="center"/>
    </xf>
    <xf fontId="48" fillId="0" borderId="13" numFmtId="49" xfId="0" applyNumberFormat="1" applyFont="1" applyBorder="1">
      <alignment horizontal="left" indent="1" vertical="center"/>
    </xf>
    <xf fontId="48" fillId="0" borderId="12" numFmtId="0" xfId="0" applyNumberFormat="1" applyFont="1" applyBorder="1">
      <alignment horizontal="left" indent="1" vertical="center"/>
    </xf>
    <xf fontId="0" fillId="0" borderId="19" numFmtId="49" xfId="0" applyNumberFormat="1" applyFont="1" applyBorder="1">
      <alignment vertical="top"/>
    </xf>
    <xf fontId="37" fillId="0" borderId="17" numFmtId="49" xfId="0" applyNumberFormat="1" applyFont="1" applyBorder="1">
      <alignment horizontal="center" vertical="top" wrapText="1"/>
    </xf>
    <xf fontId="22" fillId="39" borderId="14" numFmtId="49" xfId="0" applyNumberFormat="1" applyFont="1" applyFill="1" applyBorder="1">
      <alignment horizontal="left" indent="1" vertical="center" wrapText="1"/>
      <protection locked="0"/>
    </xf>
    <xf fontId="0" fillId="0" borderId="13" numFmtId="49" xfId="0" applyNumberFormat="1" applyFont="1" applyBorder="1">
      <alignment horizontal="center" vertical="center" wrapText="1"/>
    </xf>
    <xf fontId="0" fillId="0" borderId="12" numFmtId="0" xfId="0" applyNumberFormat="1" applyFont="1" applyBorder="1">
      <alignment horizontal="left" vertical="center" wrapText="1"/>
    </xf>
    <xf fontId="0" fillId="0" borderId="12" numFmtId="49" xfId="0" applyNumberFormat="1" applyFont="1" applyBorder="1">
      <alignment horizontal="center" vertical="center"/>
    </xf>
    <xf fontId="0" fillId="0" borderId="12" numFmtId="0" xfId="0" applyNumberFormat="1" applyFont="1" applyBorder="1">
      <alignment horizontal="center" vertical="center" wrapText="1"/>
    </xf>
    <xf fontId="0" fillId="34" borderId="12" numFmtId="4" xfId="0" applyNumberFormat="1" applyFont="1" applyFill="1" applyBorder="1">
      <alignment horizontal="right" vertical="center" wrapText="1"/>
    </xf>
    <xf fontId="22" fillId="0" borderId="36" numFmtId="49" xfId="0" applyNumberFormat="1" applyFont="1" applyBorder="1">
      <alignment horizontal="center" vertical="top" wrapText="1"/>
    </xf>
    <xf fontId="0" fillId="39" borderId="12" numFmtId="0" xfId="0" applyNumberFormat="1" applyFont="1" applyFill="1" applyBorder="1">
      <alignment horizontal="left" vertical="center" wrapText="1"/>
      <protection locked="0"/>
    </xf>
    <xf fontId="0" fillId="39" borderId="14" numFmtId="49" xfId="0" applyNumberFormat="1" applyFont="1" applyFill="1" applyBorder="1">
      <alignment horizontal="left" vertical="center" wrapText="1"/>
      <protection locked="0"/>
    </xf>
    <xf fontId="0" fillId="0" borderId="12" numFmtId="0" xfId="0" applyNumberFormat="1" applyFont="1" applyBorder="1">
      <alignment vertical="center" wrapText="1"/>
    </xf>
    <xf fontId="0" fillId="0" borderId="29"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0" fillId="39" borderId="12" numFmtId="4" xfId="0" applyNumberFormat="1" applyFont="1" applyFill="1" applyBorder="1">
      <alignment horizontal="right" vertical="center" wrapText="1"/>
      <protection locked="0"/>
    </xf>
    <xf fontId="0" fillId="39" borderId="12" numFmtId="49" xfId="0" applyNumberFormat="1" applyFont="1" applyFill="1" applyBorder="1">
      <alignment horizontal="center" vertical="center" wrapText="1"/>
      <protection locked="0"/>
    </xf>
    <xf fontId="47" fillId="0" borderId="12" numFmtId="4" xfId="0" applyNumberFormat="1" applyFont="1" applyBorder="1">
      <alignment horizontal="right" vertical="center" wrapText="1"/>
    </xf>
    <xf fontId="0" fillId="39" borderId="12" numFmtId="49" xfId="0" applyNumberFormat="1" applyFont="1" applyFill="1" applyBorder="1">
      <alignment horizontal="left" vertical="center" wrapText="1"/>
      <protection locked="0"/>
    </xf>
    <xf fontId="0" fillId="37" borderId="30" numFmtId="49" xfId="0" applyNumberFormat="1" applyFont="1" applyFill="1" applyBorder="1">
      <alignment horizontal="center" vertical="center"/>
    </xf>
    <xf fontId="0" fillId="37" borderId="15" numFmtId="49" xfId="0" applyNumberFormat="1" applyFont="1" applyFill="1" applyBorder="1">
      <alignment horizontal="center" vertical="center"/>
    </xf>
    <xf fontId="40" fillId="37" borderId="15" numFmtId="49" xfId="0" applyNumberFormat="1" applyFont="1" applyFill="1" applyBorder="1">
      <alignment horizontal="left" vertical="center"/>
    </xf>
    <xf fontId="40" fillId="37" borderId="13" numFmtId="49" xfId="0" applyNumberFormat="1" applyFont="1" applyFill="1" applyBorder="1">
      <alignment horizontal="left" indent="1" vertical="center"/>
    </xf>
    <xf fontId="22" fillId="0" borderId="23" numFmtId="49" xfId="0" applyNumberFormat="1" applyFont="1" applyBorder="1">
      <alignment horizontal="center" vertical="top" wrapText="1"/>
    </xf>
    <xf fontId="22" fillId="39" borderId="12" numFmtId="49" xfId="0" applyNumberFormat="1" applyFont="1" applyFill="1" applyBorder="1">
      <alignment horizontal="left" indent="1" vertical="center" wrapText="1"/>
      <protection locked="0"/>
    </xf>
    <xf fontId="0" fillId="0" borderId="22" numFmtId="49" xfId="0" applyNumberFormat="1" applyFont="1" applyBorder="1">
      <alignment vertical="top"/>
    </xf>
    <xf fontId="0" fillId="0" borderId="24" numFmtId="49" xfId="0" applyNumberFormat="1" applyFont="1" applyBorder="1">
      <alignment vertical="top"/>
    </xf>
    <xf fontId="0" fillId="0" borderId="0" numFmtId="49" xfId="0" applyNumberFormat="1" applyFont="1">
      <alignment horizontal="left" vertical="top"/>
    </xf>
    <xf fontId="0" fillId="0" borderId="0" numFmtId="49" xfId="0" applyNumberFormat="1" applyFont="1">
      <alignment vertical="center"/>
    </xf>
    <xf fontId="37" fillId="0" borderId="0" numFmtId="0" xfId="0" applyNumberFormat="1" applyFont="1">
      <alignment horizontal="center" vertical="center" wrapText="1"/>
    </xf>
    <xf fontId="0" fillId="0" borderId="12" numFmtId="0" xfId="0" applyNumberFormat="1" applyFont="1" applyBorder="1">
      <alignment horizontal="center" vertical="center"/>
    </xf>
    <xf fontId="22" fillId="40" borderId="12" numFmtId="0" xfId="0" applyNumberFormat="1" applyFont="1" applyFill="1" applyBorder="1">
      <alignment horizontal="left" vertical="top" wrapText="1"/>
    </xf>
    <xf fontId="22" fillId="36" borderId="12" numFmtId="49" xfId="0" applyNumberFormat="1" applyFont="1" applyFill="1" applyBorder="1">
      <alignment horizontal="left" vertical="center" wrapText="1"/>
      <protection locked="0"/>
    </xf>
    <xf fontId="0" fillId="40" borderId="12" numFmtId="0" xfId="0" applyNumberFormat="1" applyFont="1" applyFill="1" applyBorder="1">
      <alignment horizontal="left" vertical="center" wrapText="1"/>
    </xf>
    <xf fontId="0" fillId="39" borderId="12" numFmtId="49" xfId="0" applyNumberFormat="1" applyFont="1" applyFill="1" applyBorder="1">
      <alignment horizontal="left" vertical="center" wrapText="1"/>
      <protection locked="0"/>
    </xf>
    <xf fontId="22" fillId="0" borderId="12" numFmtId="49" xfId="0" applyNumberFormat="1" applyFont="1" applyBorder="1">
      <alignment horizontal="center" vertical="center" wrapText="1"/>
    </xf>
    <xf fontId="0" fillId="39" borderId="12" numFmtId="49" xfId="0" applyNumberFormat="1" applyFont="1" applyFill="1" applyBorder="1">
      <alignment horizontal="left" vertical="center" wrapText="1"/>
      <protection locked="0"/>
    </xf>
    <xf fontId="22" fillId="36" borderId="12" numFmtId="49" xfId="0" applyNumberFormat="1" applyFont="1" applyFill="1" applyBorder="1">
      <alignment horizontal="left" vertical="center" wrapText="1"/>
      <protection locked="0"/>
    </xf>
    <xf fontId="0" fillId="0" borderId="0" numFmtId="0" xfId="0" applyNumberFormat="1" applyFont="1">
      <alignment horizontal="left" indent="1" vertical="center"/>
    </xf>
    <xf fontId="0" fillId="0" borderId="0" numFmtId="0" xfId="0" applyNumberFormat="1" applyFont="1">
      <alignmen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0" fillId="0" borderId="12" numFmtId="49" xfId="0" applyNumberFormat="1" applyFont="1" applyBorder="1">
      <alignment vertical="top"/>
    </xf>
    <xf fontId="0" fillId="0" borderId="12" numFmtId="49" xfId="0" applyNumberFormat="1" applyFont="1" applyBorder="1">
      <alignment horizontal="left" vertical="top"/>
    </xf>
    <xf fontId="0" fillId="40" borderId="12" numFmtId="49" xfId="0" applyNumberFormat="1" applyFont="1" applyFill="1" applyBorder="1">
      <alignment horizontal="left" vertical="top"/>
    </xf>
    <xf fontId="0" fillId="36" borderId="12" numFmtId="49" xfId="0" applyNumberFormat="1" applyFont="1" applyFill="1" applyBorder="1">
      <alignment horizontal="left" vertical="top"/>
      <protection locked="0"/>
    </xf>
    <xf fontId="0" fillId="40" borderId="12" numFmtId="49" xfId="0" applyNumberFormat="1" applyFont="1" applyFill="1" applyBorder="1">
      <alignment horizontal="left" vertical="center" wrapText="1"/>
    </xf>
    <xf fontId="0" fillId="37" borderId="15" numFmtId="0" xfId="0" applyNumberFormat="1" applyFont="1" applyFill="1" applyBorder="1">
      <alignment vertical="center"/>
    </xf>
    <xf fontId="0" fillId="0" borderId="36" numFmtId="49" xfId="0" applyNumberFormat="1" applyFont="1" applyBorder="1">
      <alignment horizontal="left" vertical="top"/>
    </xf>
    <xf fontId="22" fillId="40" borderId="36" numFmtId="0" xfId="0" applyNumberFormat="1" applyFont="1" applyFill="1" applyBorder="1">
      <alignment horizontal="center" vertical="top" wrapText="1"/>
    </xf>
    <xf fontId="0" fillId="40" borderId="36" numFmtId="49" xfId="0" applyNumberFormat="1" applyFont="1" applyFill="1" applyBorder="1">
      <alignment horizontal="left" vertical="top"/>
    </xf>
    <xf fontId="0" fillId="36" borderId="36" numFmtId="49" xfId="0" applyNumberFormat="1" applyFont="1" applyFill="1" applyBorder="1">
      <alignment horizontal="left" vertical="top"/>
      <protection locked="0"/>
    </xf>
    <xf fontId="22" fillId="40" borderId="0" numFmtId="49" xfId="0" applyNumberFormat="1" applyFont="1" applyFill="1">
      <alignment horizontal="center" vertical="center" wrapText="1"/>
    </xf>
    <xf fontId="40" fillId="0" borderId="36" numFmtId="0" xfId="0" applyNumberFormat="1" applyFont="1" applyBorder="1">
      <alignment horizontal="left" vertical="center"/>
    </xf>
    <xf fontId="0" fillId="40" borderId="36" numFmtId="49" xfId="0" applyNumberFormat="1" applyFont="1" applyFill="1" applyBorder="1">
      <alignment horizontal="left" vertical="center" wrapText="1"/>
    </xf>
    <xf fontId="22" fillId="40" borderId="36" numFmtId="49" xfId="0" applyNumberFormat="1" applyFont="1" applyFill="1" applyBorder="1">
      <alignment horizontal="center" vertical="center" wrapText="1"/>
    </xf>
    <xf fontId="40" fillId="36" borderId="36" numFmtId="0" xfId="0" applyNumberFormat="1" applyFont="1" applyFill="1" applyBorder="1">
      <alignment horizontal="left" vertical="center"/>
      <protection locked="0"/>
    </xf>
    <xf fontId="40" fillId="39" borderId="36" numFmtId="0" xfId="0" applyNumberFormat="1" applyFont="1" applyFill="1" applyBorder="1">
      <alignment horizontal="left" vertical="center"/>
      <protection locked="0"/>
    </xf>
    <xf fontId="48" fillId="0" borderId="12" numFmtId="49" xfId="0" applyNumberFormat="1" applyFont="1" applyBorder="1">
      <alignment horizontal="center" vertical="center" wrapText="1"/>
    </xf>
    <xf fontId="48" fillId="0" borderId="14" numFmtId="49" xfId="0" applyNumberFormat="1" applyFont="1" applyBorder="1">
      <alignment horizontal="left" vertical="center" wrapText="1"/>
    </xf>
    <xf fontId="48" fillId="0" borderId="14" numFmtId="0" xfId="0" applyNumberFormat="1" applyFont="1" applyBorder="1">
      <alignment horizontal="left" vertical="center"/>
    </xf>
    <xf fontId="48" fillId="0" borderId="15" numFmtId="0" xfId="0" applyNumberFormat="1" applyFont="1" applyBorder="1">
      <alignment horizontal="left" vertical="center"/>
    </xf>
    <xf fontId="40" fillId="37" borderId="29" numFmtId="0" xfId="0" applyNumberFormat="1" applyFont="1" applyFill="1" applyBorder="1">
      <alignment horizontal="left" vertical="center"/>
    </xf>
    <xf fontId="0" fillId="0" borderId="0" numFmtId="49" xfId="0" applyNumberFormat="1" applyFont="1">
      <alignment vertical="top"/>
    </xf>
    <xf fontId="0" fillId="36" borderId="36" numFmtId="49" xfId="0" applyNumberFormat="1" applyFont="1" applyFill="1" applyBorder="1">
      <alignment vertical="top"/>
      <protection locked="0"/>
    </xf>
    <xf fontId="0" fillId="0" borderId="0" numFmtId="0" xfId="0" applyNumberFormat="1" applyFont="1">
      <alignment vertical="center"/>
    </xf>
    <xf fontId="0" fillId="0" borderId="12" numFmtId="0" xfId="0" applyNumberFormat="1" applyFont="1" applyBorder="1">
      <alignment horizontal="center" vertical="center"/>
    </xf>
    <xf fontId="0" fillId="0" borderId="37" numFmtId="0" xfId="0" applyNumberFormat="1" applyFont="1" applyBorder="1">
      <alignment horizontal="center" vertical="center"/>
    </xf>
    <xf fontId="0" fillId="0" borderId="19" numFmtId="0" xfId="0" applyNumberFormat="1" applyFont="1" applyBorder="1">
      <alignment horizontal="center" vertical="center"/>
    </xf>
    <xf fontId="0" fillId="0" borderId="19" numFmtId="0" xfId="0" applyNumberFormat="1" applyFont="1" applyBorder="1">
      <alignment horizontal="left" vertical="center" wrapText="1"/>
    </xf>
    <xf fontId="0" fillId="0" borderId="19" numFmtId="49" xfId="0" applyNumberFormat="1" applyFont="1" applyBorder="1">
      <alignment horizontal="left" vertical="center" wrapText="1"/>
    </xf>
    <xf fontId="22" fillId="0" borderId="19" numFmtId="49" xfId="0" applyNumberFormat="1" applyFont="1" applyBorder="1">
      <alignment horizontal="center" vertical="center" wrapText="1"/>
    </xf>
    <xf fontId="0" fillId="0" borderId="19" numFmtId="49" xfId="0" applyNumberFormat="1" applyFont="1" applyBorder="1">
      <alignment horizontal="left" vertical="center" wrapText="1"/>
    </xf>
    <xf fontId="0" fillId="0" borderId="22" numFmtId="0" xfId="0" applyNumberFormat="1" applyFont="1" applyBorder="1">
      <alignment horizontal="center" vertical="center"/>
    </xf>
    <xf fontId="0" fillId="0" borderId="0" numFmtId="0" xfId="0" applyNumberFormat="1" applyFont="1">
      <alignment horizontal="center" vertical="center"/>
    </xf>
    <xf fontId="0" fillId="0" borderId="0" numFmtId="0" xfId="0" applyNumberFormat="1" applyFont="1">
      <alignment horizontal="left" vertical="center" wrapText="1"/>
    </xf>
    <xf fontId="0" fillId="0" borderId="0" numFmtId="49" xfId="0" applyNumberFormat="1" applyFont="1">
      <alignment horizontal="left" vertical="center" wrapText="1"/>
    </xf>
    <xf fontId="0" fillId="0" borderId="0" numFmtId="49" xfId="0" applyNumberFormat="1" applyFont="1">
      <alignment horizontal="left" vertical="top"/>
    </xf>
    <xf fontId="22" fillId="0" borderId="0" numFmtId="49" xfId="0" applyNumberFormat="1" applyFont="1">
      <alignment horizontal="center" vertical="center" wrapText="1"/>
    </xf>
    <xf fontId="0" fillId="0" borderId="0" numFmtId="0" xfId="0" applyNumberFormat="1" applyFont="1">
      <alignment vertical="center"/>
    </xf>
    <xf fontId="0" fillId="0" borderId="27" numFmtId="0" xfId="0" applyNumberFormat="1" applyFont="1" applyBorder="1">
      <alignment vertical="center"/>
    </xf>
    <xf fontId="22" fillId="0" borderId="36" numFmtId="49" xfId="0" applyNumberFormat="1" applyFont="1" applyBorder="1">
      <alignment horizontal="center" vertical="center"/>
    </xf>
    <xf fontId="22" fillId="0" borderId="36" numFmtId="49" xfId="0" applyNumberFormat="1" applyFont="1" applyBorder="1">
      <alignment vertical="center" wrapText="1"/>
    </xf>
    <xf fontId="22" fillId="0" borderId="24" numFmtId="0" xfId="0" applyNumberFormat="1" applyFont="1" applyBorder="1">
      <alignment horizontal="center" vertical="center"/>
    </xf>
    <xf fontId="22" fillId="0" borderId="17" numFmtId="49" xfId="0" applyNumberFormat="1" applyFont="1" applyBorder="1">
      <alignment horizontal="left" vertical="center" wrapText="1"/>
    </xf>
    <xf fontId="22" fillId="0" borderId="17" numFmtId="49" xfId="0" applyNumberFormat="1" applyFont="1" applyBorder="1">
      <alignment horizontal="left" vertical="center" wrapText="1"/>
    </xf>
    <xf fontId="37" fillId="0" borderId="36" numFmtId="49" xfId="0" applyNumberFormat="1" applyFont="1" applyBorder="1">
      <alignment vertical="center" wrapText="1"/>
    </xf>
    <xf fontId="22" fillId="40" borderId="17" numFmtId="0" xfId="0" applyNumberFormat="1" applyFont="1" applyFill="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horizontal="left" vertical="center" wrapText="1"/>
    </xf>
    <xf fontId="22" fillId="0" borderId="17" numFmtId="0" xfId="0" applyNumberFormat="1" applyFont="1" applyBorder="1">
      <alignment horizontal="left" vertical="center" wrapText="1"/>
    </xf>
    <xf fontId="22" fillId="0" borderId="17" numFmtId="49" xfId="0" applyNumberFormat="1" applyFont="1" applyBorder="1">
      <alignment horizontal="center" vertical="center" wrapText="1"/>
    </xf>
    <xf fontId="22" fillId="40" borderId="17" numFmtId="49" xfId="0" applyNumberFormat="1" applyFont="1" applyFill="1" applyBorder="1">
      <alignment vertical="center" wrapText="1"/>
    </xf>
    <xf fontId="22" fillId="0" borderId="36" numFmtId="0" xfId="0" applyNumberFormat="1" applyFont="1" applyBorder="1">
      <alignment horizontal="left" vertical="center" wrapText="1"/>
    </xf>
    <xf fontId="22" fillId="0" borderId="36" numFmtId="49" xfId="0" applyNumberFormat="1" applyFont="1" applyBorder="1">
      <alignment horizontal="left" vertical="center" wrapText="1"/>
    </xf>
    <xf fontId="22" fillId="40" borderId="36" numFmtId="0" xfId="0" applyNumberFormat="1" applyFont="1" applyFill="1" applyBorder="1">
      <alignment horizontal="left" vertical="center" wrapText="1"/>
    </xf>
    <xf fontId="22" fillId="0" borderId="36" numFmtId="49" xfId="0" applyNumberFormat="1" applyFont="1" applyBorder="1">
      <alignment horizontal="center" vertical="center" wrapText="1"/>
    </xf>
    <xf fontId="22" fillId="0" borderId="23" numFmtId="0" xfId="0" applyNumberFormat="1" applyFont="1" applyBorder="1">
      <alignment horizontal="left" vertical="center" wrapText="1"/>
    </xf>
    <xf fontId="40" fillId="0" borderId="23" numFmtId="0" xfId="0" applyNumberFormat="1" applyFont="1" applyBorder="1">
      <alignment horizontal="left" vertical="center"/>
    </xf>
    <xf fontId="40" fillId="37" borderId="14" numFmtId="0" xfId="0" applyNumberFormat="1" applyFont="1" applyFill="1" applyBorder="1">
      <alignment horizontal="left" vertical="center"/>
    </xf>
    <xf fontId="40" fillId="37" borderId="15" numFmtId="0" xfId="0" applyNumberFormat="1" applyFont="1" applyFill="1" applyBorder="1">
      <alignment horizontal="left" vertical="center"/>
    </xf>
    <xf fontId="40" fillId="37" borderId="13" numFmtId="0" xfId="0" applyNumberFormat="1" applyFont="1" applyFill="1" applyBorder="1">
      <alignment horizontal="left" vertical="center"/>
    </xf>
    <xf fontId="22" fillId="0" borderId="36" numFmtId="49" xfId="0" applyNumberFormat="1" applyFont="1" applyBorder="1">
      <alignment horizontal="center" vertical="center" wrapText="1"/>
    </xf>
    <xf fontId="40" fillId="37" borderId="37" numFmtId="0" xfId="0" applyNumberFormat="1" applyFont="1" applyFill="1" applyBorder="1">
      <alignment horizontal="left" vertical="center"/>
    </xf>
    <xf fontId="40" fillId="37" borderId="19" numFmtId="0" xfId="0" applyNumberFormat="1" applyFont="1" applyFill="1" applyBorder="1">
      <alignment horizontal="left" vertical="center"/>
    </xf>
    <xf fontId="40" fillId="37" borderId="20" numFmtId="0" xfId="0" applyNumberFormat="1" applyFont="1" applyFill="1" applyBorder="1">
      <alignment horizontal="left" vertical="center"/>
    </xf>
    <xf fontId="22" fillId="39" borderId="17" numFmtId="49" xfId="0" applyNumberFormat="1" applyFont="1" applyFill="1" applyBorder="1">
      <alignment horizontal="left" vertical="center" wrapText="1"/>
      <protection locked="0"/>
    </xf>
    <xf fontId="37" fillId="0" borderId="36" numFmtId="49" xfId="0" applyNumberFormat="1" applyFont="1" applyBorder="1">
      <alignment horizontal="center" vertical="center" wrapText="1"/>
    </xf>
    <xf fontId="40" fillId="37" borderId="37" numFmtId="0" xfId="0" applyNumberFormat="1" applyFont="1" applyFill="1" applyBorder="1">
      <alignment vertical="center"/>
    </xf>
    <xf fontId="40" fillId="0" borderId="36" numFmtId="0" xfId="0" applyNumberFormat="1" applyFont="1" applyBorder="1">
      <alignment horizontal="left" vertical="center"/>
    </xf>
    <xf fontId="22" fillId="36" borderId="17" numFmtId="49" xfId="0" applyNumberFormat="1" applyFont="1" applyFill="1" applyBorder="1">
      <alignment horizontal="left" vertical="center" wrapText="1"/>
      <protection locked="0"/>
    </xf>
    <xf fontId="67" fillId="37" borderId="14" numFmtId="49" xfId="0" applyNumberFormat="1" applyFont="1" applyFill="1" applyBorder="1">
      <alignment vertical="top"/>
    </xf>
    <xf fontId="67" fillId="37" borderId="15" numFmtId="49" xfId="0" applyNumberFormat="1" applyFont="1" applyFill="1" applyBorder="1">
      <alignment vertical="top"/>
    </xf>
    <xf fontId="22" fillId="0" borderId="19" numFmtId="49" xfId="0" applyNumberFormat="1" applyFont="1" applyBorder="1">
      <alignment horizontal="left" vertical="center" wrapText="1"/>
    </xf>
    <xf fontId="22" fillId="0" borderId="19" numFmtId="49" xfId="0" applyNumberFormat="1" applyFont="1" applyBorder="1">
      <alignment horizontal="left" vertical="center" wrapText="1"/>
    </xf>
    <xf fontId="37" fillId="0" borderId="19" numFmtId="49" xfId="0" applyNumberFormat="1" applyFont="1" applyBorder="1">
      <alignment vertical="center" wrapText="1"/>
    </xf>
    <xf fontId="22" fillId="0" borderId="0" numFmtId="49" xfId="0" applyNumberFormat="1" applyFont="1">
      <alignment horizontal="left" vertical="center" wrapText="1"/>
    </xf>
    <xf fontId="37" fillId="0" borderId="0" numFmtId="49" xfId="0" applyNumberFormat="1" applyFont="1">
      <alignment vertical="center" wrapText="1"/>
    </xf>
    <xf fontId="40" fillId="0" borderId="0" numFmtId="0" xfId="0" applyNumberFormat="1" applyFont="1">
      <alignment horizontal="left" vertical="center"/>
    </xf>
    <xf fontId="37" fillId="0" borderId="0" numFmtId="49" xfId="0" applyNumberFormat="1" applyFont="1">
      <alignment horizontal="center" vertical="center" wrapText="1"/>
    </xf>
    <xf fontId="95" fillId="0" borderId="12" numFmtId="49" xfId="0" applyNumberFormat="1" applyFont="1" applyBorder="1">
      <alignment vertical="top" wrapText="1"/>
    </xf>
    <xf fontId="91" fillId="0" borderId="12" numFmtId="49" xfId="0" applyNumberFormat="1" applyFont="1" applyBorder="1">
      <alignment horizontal="center" vertical="top" wrapText="1"/>
    </xf>
    <xf fontId="91" fillId="41" borderId="12" numFmtId="49" xfId="0" applyNumberFormat="1" applyFont="1" applyFill="1" applyBorder="1">
      <alignment horizontal="center" vertical="top"/>
    </xf>
    <xf fontId="91" fillId="0" borderId="12" numFmtId="49" xfId="0" applyNumberFormat="1" applyFont="1" applyBorder="1">
      <alignment vertical="top" wrapText="1"/>
    </xf>
    <xf fontId="91" fillId="0" borderId="12" numFmtId="0" xfId="0" applyNumberFormat="1" applyFont="1" applyBorder="1">
      <alignment vertical="top" wrapText="1"/>
    </xf>
    <xf fontId="91" fillId="0" borderId="12" numFmtId="49" xfId="0" applyNumberFormat="1" applyFont="1" applyBorder="1">
      <alignment vertical="top"/>
    </xf>
    <xf fontId="95" fillId="0" borderId="12" numFmtId="49" xfId="0" applyNumberFormat="1" applyFont="1" applyBorder="1">
      <alignment vertical="top"/>
    </xf>
    <xf fontId="95" fillId="0" borderId="12" numFmtId="0" xfId="0" applyNumberFormat="1" applyFont="1" applyBorder="1">
      <alignment vertical="top" wrapText="1"/>
    </xf>
    <xf fontId="95" fillId="0" borderId="0" numFmtId="49" xfId="0" applyNumberFormat="1" applyFont="1">
      <alignment vertical="top" wrapText="1"/>
    </xf>
    <xf fontId="95" fillId="0" borderId="0" numFmtId="49" xfId="0" applyNumberFormat="1" applyFont="1">
      <alignment vertical="top"/>
    </xf>
    <xf fontId="95" fillId="0" borderId="0" numFmtId="49" xfId="0" applyNumberFormat="1" applyFont="1">
      <alignment horizontal="center" vertical="top" wrapText="1"/>
    </xf>
    <xf fontId="95" fillId="0" borderId="12" numFmtId="49" xfId="0" applyNumberFormat="1" applyFont="1" applyBorder="1">
      <alignment horizontal="center" vertical="top" wrapText="1"/>
    </xf>
    <xf fontId="95" fillId="0" borderId="12" numFmtId="49" xfId="0" applyNumberFormat="1" applyFont="1" applyBorder="1">
      <alignment horizontal="center" vertical="top" wrapText="1"/>
    </xf>
    <xf fontId="95" fillId="41" borderId="12" numFmtId="49" xfId="0" applyNumberFormat="1" applyFont="1" applyFill="1" applyBorder="1">
      <alignment horizontal="center" vertical="top" wrapText="1"/>
    </xf>
    <xf fontId="91" fillId="41" borderId="12" numFmtId="49" xfId="0" applyNumberFormat="1" applyFont="1" applyFill="1" applyBorder="1">
      <alignment horizontal="center" vertical="top" wrapText="1"/>
    </xf>
    <xf fontId="95" fillId="0" borderId="12" numFmtId="49" xfId="0" applyNumberFormat="1" applyFont="1" applyBorder="1">
      <alignment horizontal="left" vertical="top" wrapText="1"/>
    </xf>
    <xf fontId="91" fillId="41" borderId="12" numFmtId="0" xfId="0" applyNumberFormat="1" applyFont="1" applyFill="1" applyBorder="1">
      <alignment horizontal="center" vertical="top" wrapText="1"/>
    </xf>
    <xf fontId="95" fillId="41" borderId="12" numFmtId="0" xfId="0" applyNumberFormat="1" applyFont="1" applyFill="1" applyBorder="1">
      <alignment horizontal="right" vertical="center" wrapText="1"/>
    </xf>
    <xf fontId="95" fillId="0" borderId="14" numFmtId="49" xfId="0" applyNumberFormat="1" applyFont="1" applyBorder="1">
      <alignment horizontal="center" vertical="top" wrapText="1"/>
    </xf>
    <xf fontId="95" fillId="0" borderId="15" numFmtId="49" xfId="0" applyNumberFormat="1" applyFont="1" applyBorder="1">
      <alignment horizontal="center" vertical="top" wrapText="1"/>
    </xf>
    <xf fontId="95" fillId="0" borderId="13" numFmtId="49" xfId="0" applyNumberFormat="1" applyFont="1" applyBorder="1">
      <alignment horizontal="center" vertical="top" wrapText="1"/>
    </xf>
    <xf fontId="95" fillId="0" borderId="12" numFmtId="0" xfId="0" applyNumberFormat="1" applyFont="1" applyBorder="1">
      <alignment horizontal="left" vertical="top" wrapText="1"/>
    </xf>
    <xf fontId="95" fillId="41" borderId="12" numFmtId="49" xfId="0" applyNumberFormat="1" applyFont="1" applyFill="1" applyBorder="1">
      <alignment horizontal="left" vertical="top" wrapText="1"/>
    </xf>
    <xf fontId="95" fillId="41" borderId="12" numFmtId="0" xfId="0" applyNumberFormat="1" applyFont="1" applyFill="1" applyBorder="1">
      <alignment horizontal="center" vertical="center" wrapText="1"/>
    </xf>
    <xf fontId="95" fillId="41" borderId="12" numFmtId="0" xfId="0" applyNumberFormat="1" applyFont="1" applyFill="1" applyBorder="1">
      <alignment horizontal="center" vertical="center" wrapText="1"/>
    </xf>
    <xf fontId="95" fillId="0" borderId="17" numFmtId="49" xfId="0" applyNumberFormat="1" applyFont="1" applyBorder="1">
      <alignment horizontal="center" vertical="top" wrapText="1"/>
    </xf>
    <xf fontId="95" fillId="0" borderId="36" numFmtId="49" xfId="0" applyNumberFormat="1" applyFont="1" applyBorder="1">
      <alignment horizontal="center" vertical="top" wrapText="1"/>
    </xf>
    <xf fontId="95" fillId="0" borderId="17" numFmtId="49" xfId="0" applyNumberFormat="1" applyFont="1" applyBorder="1">
      <alignment horizontal="center" vertical="top" wrapText="1"/>
    </xf>
    <xf fontId="95" fillId="0" borderId="17" numFmtId="0" xfId="0" applyNumberFormat="1" applyFont="1" applyBorder="1">
      <alignment horizontal="left" vertical="top" wrapText="1"/>
    </xf>
    <xf fontId="95" fillId="0" borderId="37" numFmtId="49" xfId="0" applyNumberFormat="1" applyFont="1" applyBorder="1">
      <alignment horizontal="center" vertical="top" wrapText="1"/>
    </xf>
    <xf fontId="95" fillId="0" borderId="37" numFmtId="49" xfId="0" applyNumberFormat="1" applyFont="1" applyBorder="1">
      <alignment horizontal="center" vertical="top" wrapText="1"/>
    </xf>
    <xf fontId="95" fillId="0" borderId="13" numFmtId="0" xfId="0" applyNumberFormat="1" applyFont="1" applyBorder="1">
      <alignment horizontal="left" vertical="top" wrapText="1"/>
    </xf>
    <xf fontId="95" fillId="0" borderId="23" numFmtId="49" xfId="0" applyNumberFormat="1" applyFont="1" applyBorder="1">
      <alignment horizontal="center" vertical="top" wrapText="1"/>
    </xf>
    <xf fontId="95" fillId="0" borderId="30" numFmtId="49" xfId="0" applyNumberFormat="1" applyFont="1" applyBorder="1">
      <alignment horizontal="center" vertical="top" wrapText="1"/>
    </xf>
    <xf fontId="95" fillId="0" borderId="22" numFmtId="49" xfId="0" applyNumberFormat="1" applyFont="1" applyBorder="1">
      <alignment horizontal="center" vertical="top" wrapText="1"/>
    </xf>
    <xf fontId="95" fillId="0" borderId="17" numFmtId="0" xfId="0" applyNumberFormat="1" applyFont="1" applyBorder="1">
      <alignment vertical="top" wrapText="1"/>
    </xf>
    <xf fontId="91" fillId="0" borderId="12" numFmtId="49" xfId="0" applyNumberFormat="1" applyFont="1" applyBorder="1">
      <alignment horizontal="left" vertical="top" wrapText="1"/>
    </xf>
    <xf fontId="91" fillId="0" borderId="14" numFmtId="0" xfId="0" applyNumberFormat="1" applyFont="1" applyBorder="1">
      <alignment horizontal="center" vertical="center" wrapText="1"/>
    </xf>
    <xf fontId="91" fillId="0" borderId="14" numFmtId="0" xfId="0" applyNumberFormat="1" applyFont="1" applyBorder="1">
      <alignment horizontal="center" vertical="center"/>
    </xf>
    <xf fontId="91" fillId="0" borderId="12" numFmtId="49" xfId="0" applyNumberFormat="1" applyFont="1" applyBorder="1">
      <alignment horizontal="center" vertical="center" wrapText="1"/>
    </xf>
    <xf fontId="91" fillId="0" borderId="12" numFmtId="0" xfId="0" applyNumberFormat="1" applyFont="1" applyBorder="1">
      <alignment vertical="center" wrapText="1"/>
    </xf>
    <xf fontId="95" fillId="0" borderId="14" numFmtId="49" xfId="0" applyNumberFormat="1" applyFont="1" applyBorder="1">
      <alignment horizontal="left" vertical="top" wrapText="1"/>
    </xf>
    <xf fontId="91" fillId="0" borderId="12" numFmtId="0" xfId="0" applyNumberFormat="1" applyFont="1" applyBorder="1">
      <alignment horizontal="center" vertical="center" wrapText="1"/>
    </xf>
    <xf fontId="91" fillId="0" borderId="17" numFmtId="0" xfId="0" applyNumberFormat="1" applyFont="1" applyBorder="1">
      <alignment vertical="center" wrapText="1"/>
    </xf>
    <xf fontId="91" fillId="0" borderId="23" numFmtId="0" xfId="0" applyNumberFormat="1" applyFont="1" applyBorder="1">
      <alignment vertical="center" wrapText="1"/>
    </xf>
    <xf fontId="95" fillId="0" borderId="30" numFmtId="49" xfId="0" applyNumberFormat="1" applyFont="1" applyBorder="1">
      <alignment horizontal="left" vertical="top" wrapText="1"/>
    </xf>
    <xf fontId="95" fillId="0" borderId="13" numFmtId="49" xfId="0" applyNumberFormat="1" applyFont="1" applyBorder="1">
      <alignment horizontal="left" vertical="top" wrapText="1"/>
    </xf>
    <xf fontId="91" fillId="0" borderId="17" numFmtId="49" xfId="0" applyNumberFormat="1" applyFont="1" applyBorder="1">
      <alignment horizontal="center" vertical="center" wrapText="1"/>
    </xf>
    <xf fontId="91" fillId="0" borderId="23" numFmtId="49" xfId="0" applyNumberFormat="1" applyFont="1" applyBorder="1">
      <alignment horizontal="center" vertical="center" wrapText="1"/>
    </xf>
    <xf fontId="91" fillId="0" borderId="17" numFmtId="0" xfId="0" applyNumberFormat="1" applyFont="1" applyBorder="1">
      <alignment horizontal="center" vertical="center" wrapText="1"/>
    </xf>
    <xf fontId="95" fillId="0" borderId="36" numFmtId="49" xfId="0" applyNumberFormat="1" applyFont="1" applyBorder="1">
      <alignment horizontal="left" vertical="top" wrapText="1"/>
    </xf>
    <xf fontId="95" fillId="0" borderId="36" numFmtId="0" xfId="0" applyNumberFormat="1" applyFont="1" applyBorder="1">
      <alignment horizontal="left" vertical="top" wrapText="1"/>
    </xf>
    <xf fontId="95" fillId="0" borderId="0" numFmtId="49" xfId="0" applyNumberFormat="1" applyFont="1">
      <alignment horizontal="left" vertical="top" wrapText="1"/>
    </xf>
    <xf fontId="95" fillId="41" borderId="0" numFmtId="49" xfId="0" applyNumberFormat="1" applyFont="1" applyFill="1">
      <alignment horizontal="left" vertical="top" wrapText="1"/>
    </xf>
    <xf fontId="95" fillId="0" borderId="0" numFmtId="0" xfId="0" applyNumberFormat="1" applyFont="1">
      <alignment vertical="top" wrapText="1"/>
    </xf>
    <xf fontId="46" fillId="0" borderId="19" numFmtId="0" xfId="0" applyNumberFormat="1" applyFont="1" applyBorder="1">
      <alignment horizontal="left" indent="1" vertical="center" wrapText="1"/>
    </xf>
    <xf fontId="46" fillId="0" borderId="27" numFmtId="0" xfId="0" applyNumberFormat="1" applyFont="1" applyBorder="1">
      <alignment horizontal="left" indent="1" vertical="center" wrapText="1"/>
    </xf>
    <xf fontId="0" fillId="0" borderId="0" numFmtId="0" xfId="0" applyNumberFormat="1" applyFont="1">
      <alignment horizontal="left" vertical="center"/>
    </xf>
    <xf fontId="0" fillId="35" borderId="12" numFmtId="0" xfId="0" applyNumberFormat="1" applyFont="1" applyFill="1" applyBorder="1">
      <alignment horizontal="right" indent="1" vertical="center" wrapText="1"/>
    </xf>
    <xf fontId="0" fillId="0" borderId="14" numFmtId="0" xfId="0" applyNumberFormat="1" applyFont="1" applyBorder="1">
      <alignment vertical="center"/>
    </xf>
    <xf fontId="22" fillId="0" borderId="0" numFmtId="0" xfId="0" applyNumberFormat="1" applyFont="1">
      <alignment horizontal="left" vertical="center" wrapText="1"/>
    </xf>
    <xf fontId="22" fillId="0" borderId="0" numFmtId="0" xfId="0" applyNumberFormat="1" applyFont="1">
      <alignment horizontal="right" vertical="center" wrapText="1"/>
    </xf>
    <xf fontId="22" fillId="0" borderId="0" numFmtId="0" xfId="0" applyNumberFormat="1" applyFont="1">
      <alignment horizontal="right" vertical="center" wrapText="1"/>
    </xf>
    <xf fontId="0" fillId="0" borderId="12" numFmtId="0" xfId="0" applyNumberFormat="1" applyFont="1" applyBorder="1">
      <alignment horizontal="center" vertical="center" wrapText="1"/>
    </xf>
    <xf fontId="80" fillId="35" borderId="19" numFmtId="0" xfId="0" applyNumberFormat="1" applyFont="1" applyFill="1" applyBorder="1">
      <alignment horizontal="center" vertical="center" wrapText="1"/>
    </xf>
    <xf fontId="22" fillId="35" borderId="12" numFmtId="0" xfId="0" applyNumberFormat="1" applyFont="1" applyFill="1" applyBorder="1">
      <alignment horizontal="left" vertical="center" wrapText="1"/>
    </xf>
    <xf fontId="22" fillId="34" borderId="12" numFmtId="4" xfId="0" applyNumberFormat="1" applyFont="1" applyFill="1" applyBorder="1">
      <alignment horizontal="left" vertical="center" wrapText="1"/>
    </xf>
    <xf fontId="22" fillId="0" borderId="0" numFmtId="0" xfId="0" applyNumberFormat="1" applyFont="1">
      <alignment horizontal="center" vertical="center" wrapText="1"/>
    </xf>
    <xf fontId="47" fillId="0" borderId="0" numFmtId="0" xfId="0" applyNumberFormat="1" applyFont="1">
      <alignment horizontal="center" vertical="center" wrapText="1"/>
    </xf>
    <xf fontId="48" fillId="0" borderId="0" numFmtId="0" xfId="0" applyNumberFormat="1" applyFont="1">
      <alignment horizontal="center" vertical="center" wrapText="1"/>
    </xf>
    <xf fontId="0" fillId="39" borderId="12" numFmtId="504" xfId="0" applyNumberFormat="1" applyFont="1" applyFill="1" applyBorder="1">
      <alignment horizontal="center" vertical="center" wrapText="1"/>
      <protection locked="0"/>
    </xf>
    <xf fontId="22" fillId="0" borderId="12" numFmtId="49" xfId="0" applyNumberFormat="1" applyFont="1" applyBorder="1">
      <alignment horizontal="left" vertical="center" wrapText="1"/>
    </xf>
    <xf fontId="101" fillId="37" borderId="14" numFmtId="49" xfId="0" applyNumberFormat="1" applyFont="1" applyFill="1" applyBorder="1">
      <alignment horizontal="left" vertical="center"/>
    </xf>
    <xf fontId="109" fillId="37" borderId="15" numFmtId="49" xfId="0" applyNumberFormat="1" applyFont="1" applyFill="1" applyBorder="1">
      <alignment horizontal="left" indent="3" vertical="center"/>
    </xf>
    <xf fontId="72" fillId="37" borderId="15" numFmtId="49" xfId="0" applyNumberFormat="1" applyFont="1" applyFill="1" applyBorder="1">
      <alignment horizontal="center" vertical="center" wrapText="1"/>
    </xf>
    <xf fontId="67" fillId="37" borderId="15" numFmtId="49" xfId="0" applyNumberFormat="1" applyFont="1" applyFill="1" applyBorder="1">
      <alignment horizontal="center" vertical="center" wrapText="1"/>
    </xf>
    <xf fontId="67" fillId="37" borderId="13" numFmtId="49" xfId="0" applyNumberFormat="1" applyFont="1" applyFill="1" applyBorder="1">
      <alignment horizontal="center" vertical="center" wrapText="1"/>
    </xf>
    <xf fontId="47" fillId="0" borderId="0" numFmtId="49" xfId="0" applyNumberFormat="1" applyFont="1">
      <alignment horizontal="left" vertical="center"/>
    </xf>
    <xf fontId="32" fillId="0" borderId="0" numFmtId="49" xfId="0" applyNumberFormat="1" applyFont="1">
      <alignment vertical="top"/>
    </xf>
    <xf fontId="0" fillId="0" borderId="24" numFmtId="49" xfId="0" applyNumberFormat="1" applyFont="1" applyBorder="1">
      <alignment vertical="top"/>
    </xf>
    <xf fontId="109" fillId="37" borderId="15" numFmtId="49" xfId="0" applyNumberFormat="1" applyFont="1" applyFill="1" applyBorder="1">
      <alignment horizontal="left" indent="2" vertical="center"/>
    </xf>
    <xf fontId="109" fillId="37" borderId="15" numFmtId="49" xfId="0" applyNumberFormat="1" applyFont="1" applyFill="1" applyBorder="1">
      <alignment horizontal="left" indent="1" vertical="center"/>
    </xf>
    <xf fontId="47" fillId="0" borderId="0" numFmtId="49" xfId="0" applyNumberFormat="1" applyFont="1">
      <alignment horizontal="left" vertical="center"/>
    </xf>
    <xf fontId="47" fillId="0" borderId="0" numFmtId="49" xfId="0" applyNumberFormat="1" applyFont="1">
      <alignment horizontal="left" vertical="top"/>
    </xf>
    <xf fontId="67" fillId="37" borderId="14" numFmtId="49" xfId="0" applyNumberFormat="1" applyFont="1" applyFill="1" applyBorder="1">
      <alignment horizontal="left" vertical="top"/>
    </xf>
    <xf fontId="109" fillId="37" borderId="15" numFmtId="49" xfId="0" applyNumberFormat="1" applyFont="1" applyFill="1" applyBorder="1">
      <alignment horizontal="left" vertical="center"/>
    </xf>
    <xf fontId="48" fillId="0" borderId="0" numFmtId="49" xfId="0" applyNumberFormat="1" applyFont="1">
      <alignment vertical="top"/>
    </xf>
    <xf fontId="22" fillId="0" borderId="0" numFmtId="0" xfId="0" applyNumberFormat="1" applyFont="1">
      <alignment horizontal="left" vertical="top" wrapText="1"/>
    </xf>
    <xf fontId="22" fillId="0" borderId="0" numFmtId="49" xfId="0" applyNumberFormat="1" applyFont="1">
      <alignment vertical="center" wrapText="1"/>
    </xf>
    <xf fontId="0" fillId="0" borderId="0" numFmtId="49" xfId="0" applyNumberFormat="1" applyFont="1">
      <alignment vertical="top"/>
    </xf>
    <xf fontId="0" fillId="0" borderId="12" numFmtId="49" xfId="0" applyNumberFormat="1" applyFont="1" applyBorder="1">
      <alignment vertical="top"/>
    </xf>
    <xf fontId="0" fillId="0" borderId="14" numFmtId="49" xfId="0" applyNumberFormat="1" applyFont="1" applyBorder="1">
      <alignment vertical="top"/>
    </xf>
    <xf fontId="0" fillId="0" borderId="12" numFmtId="49" xfId="0" applyNumberFormat="1" applyFont="1" applyBorder="1">
      <alignment horizontal="center"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43" borderId="17" numFmtId="49" xfId="0" applyNumberFormat="1" applyFont="1" applyFill="1" applyBorder="1">
      <alignment vertical="top"/>
    </xf>
    <xf fontId="0" fillId="0" borderId="14" numFmtId="49" xfId="0" applyNumberFormat="1" applyFont="1" applyBorder="1">
      <alignment horizontal="center" vertical="top"/>
    </xf>
    <xf fontId="0" fillId="0" borderId="12" numFmtId="49" xfId="0" applyNumberFormat="1" applyFont="1" applyBorder="1">
      <alignment vertical="top"/>
    </xf>
    <xf fontId="0" fillId="0" borderId="14" numFmtId="49" xfId="0" applyNumberFormat="1" applyFont="1" applyBorder="1">
      <alignment vertical="top"/>
    </xf>
    <xf fontId="0" fillId="44" borderId="12" numFmtId="49" xfId="0" applyNumberFormat="1" applyFont="1" applyFill="1" applyBorder="1">
      <alignment vertical="top"/>
    </xf>
    <xf fontId="0" fillId="0" borderId="15" numFmtId="49" xfId="0" applyNumberFormat="1" applyFont="1" applyBorder="1">
      <alignment horizontal="center" vertical="top"/>
    </xf>
    <xf fontId="0" fillId="3" borderId="12" numFmtId="49" xfId="0" applyNumberFormat="1" applyFont="1" applyFill="1" applyBorder="1">
      <alignment vertical="top"/>
    </xf>
    <xf fontId="0" fillId="0" borderId="15" numFmtId="49" xfId="0" applyNumberFormat="1" applyFont="1" applyBorder="1">
      <alignment horizontal="center" vertical="top"/>
    </xf>
    <xf fontId="0" fillId="45" borderId="12" numFmtId="49" xfId="0" applyNumberFormat="1" applyFont="1" applyFill="1" applyBorder="1">
      <alignment vertical="top"/>
    </xf>
    <xf fontId="0" fillId="16" borderId="17" numFmtId="49" xfId="0" applyNumberFormat="1" applyFont="1" applyFill="1" applyBorder="1">
      <alignment vertical="top"/>
    </xf>
    <xf fontId="0" fillId="5" borderId="14" numFmtId="49" xfId="0" applyNumberFormat="1" applyFont="1" applyFill="1" applyBorder="1">
      <alignment vertical="top"/>
    </xf>
    <xf fontId="0" fillId="5" borderId="12" numFmtId="49" xfId="0" applyNumberFormat="1" applyFont="1" applyFill="1" applyBorder="1">
      <alignment vertical="top"/>
    </xf>
    <xf fontId="0" fillId="16" borderId="12" numFmtId="49" xfId="0" applyNumberFormat="1" applyFont="1" applyFill="1" applyBorder="1">
      <alignment vertical="top"/>
    </xf>
    <xf fontId="0" fillId="16" borderId="17" numFmtId="49" xfId="0" applyNumberFormat="1" applyFont="1" applyFill="1" applyBorder="1">
      <alignment vertical="top"/>
    </xf>
    <xf fontId="0" fillId="0" borderId="0" numFmtId="49" xfId="0" applyNumberFormat="1" applyFont="1">
      <alignment vertical="top"/>
    </xf>
    <xf fontId="0" fillId="0" borderId="0" numFmtId="49" xfId="0" applyNumberFormat="1" applyFont="1">
      <alignment vertical="top"/>
    </xf>
    <xf fontId="0" fillId="0" borderId="0" numFmtId="49" xfId="0" applyNumberFormat="1" applyFont="1">
      <alignment vertical="top"/>
    </xf>
    <xf fontId="0" fillId="0" borderId="0" numFmtId="0" xfId="0" applyNumberFormat="1" applyFont="1">
      <alignment vertical="top"/>
    </xf>
    <xf fontId="0" fillId="0" borderId="0" numFmtId="0" xfId="0" applyNumberFormat="1" applyFont="1">
      <alignment vertical="top"/>
    </xf>
    <xf fontId="0" fillId="0" borderId="0" numFmtId="0" xfId="0" applyNumberFormat="1" applyFont="1">
      <alignment vertical="top"/>
    </xf>
    <xf fontId="0" fillId="35" borderId="0" numFmtId="49" xfId="0" applyNumberFormat="1" applyFont="1" applyFill="1">
      <alignment vertical="top"/>
    </xf>
    <xf fontId="0" fillId="35" borderId="0" numFmtId="49" xfId="0" applyNumberFormat="1" applyFont="1" applyFill="1">
      <alignment vertical="top"/>
    </xf>
    <xf fontId="0" fillId="35" borderId="0" numFmtId="49" xfId="0" applyNumberFormat="1" applyFont="1" applyFill="1">
      <alignment vertical="top"/>
    </xf>
    <xf fontId="0" fillId="0" borderId="0" numFmtId="0" xfId="0" applyNumberFormat="1" applyFont="1"/>
    <xf fontId="1" fillId="0" borderId="0" numFmtId="0" xfId="0" applyNumberFormat="1" applyFont="1"/>
    <xf fontId="29" fillId="0" borderId="0" numFmtId="0" xfId="0" applyNumberFormat="1" applyFont="1"/>
    <xf fontId="22" fillId="34" borderId="10" numFmtId="49" xfId="0" applyNumberFormat="1" applyFont="1" applyFill="1" applyBorder="1">
      <alignment horizontal="center" vertical="top"/>
    </xf>
    <xf fontId="38" fillId="0" borderId="11" numFmtId="49" xfId="0" applyNumberFormat="1" applyFont="1" applyBorder="1">
      <alignment vertical="top" wrapText="1"/>
    </xf>
    <xf fontId="0" fillId="0" borderId="11" numFmtId="0" xfId="0" applyNumberFormat="1" applyFont="1" applyBorder="1">
      <alignment vertical="top" wrapText="1"/>
    </xf>
    <xf fontId="46" fillId="0" borderId="18" numFmtId="0" xfId="0" applyNumberFormat="1" applyFont="1" applyBorder="1">
      <alignment vertical="top" wrapText="1"/>
    </xf>
    <xf fontId="0" fillId="0" borderId="0" numFmtId="0" xfId="0" applyNumberFormat="1" applyFont="1">
      <alignment vertical="top"/>
    </xf>
    <xf fontId="0" fillId="0" borderId="12" numFmtId="0" xfId="0" applyNumberFormat="1" applyFont="1" applyBorder="1">
      <alignment vertical="top" wrapText="1"/>
    </xf>
    <xf fontId="0" fillId="0" borderId="12" numFmtId="49" xfId="0" applyNumberFormat="1" applyFont="1" applyBorder="1">
      <alignment vertical="top" wrapText="1"/>
    </xf>
    <xf fontId="0" fillId="0" borderId="17" numFmtId="49" xfId="0" applyNumberFormat="1" applyFont="1" applyBorder="1">
      <alignment vertical="top"/>
    </xf>
    <xf fontId="0" fillId="0" borderId="0" numFmtId="49" xfId="0" applyNumberFormat="1" applyFont="1">
      <alignment vertical="top"/>
    </xf>
    <xf fontId="50" fillId="0" borderId="11" numFmtId="0" xfId="0" applyNumberFormat="1" applyFont="1" applyBorder="1">
      <alignment vertical="center" wrapText="1"/>
    </xf>
    <xf fontId="46" fillId="0" borderId="0" numFmtId="0" xfId="0" applyNumberFormat="1" applyFont="1">
      <alignment vertical="top" wrapText="1"/>
    </xf>
    <xf fontId="22" fillId="0" borderId="11" numFmtId="0" xfId="0" applyNumberFormat="1"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Relationships xmlns="http://schemas.openxmlformats.org/package/2006/relationships"><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4" Type="http://schemas.openxmlformats.org/officeDocument/2006/relationships/worksheet" Target="worksheets/sheet84.xml"/><Relationship  Id="rId82" Type="http://schemas.openxmlformats.org/officeDocument/2006/relationships/worksheet" Target="worksheets/sheet82.xml"/><Relationship  Id="rId81" Type="http://schemas.openxmlformats.org/officeDocument/2006/relationships/worksheet" Target="worksheets/sheet81.xml"/><Relationship  Id="rId75" Type="http://schemas.openxmlformats.org/officeDocument/2006/relationships/worksheet" Target="worksheets/sheet75.xml"/><Relationship  Id="rId71" Type="http://schemas.openxmlformats.org/officeDocument/2006/relationships/worksheet" Target="worksheets/sheet71.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85" Type="http://schemas.openxmlformats.org/officeDocument/2006/relationships/worksheet" Target="worksheets/sheet85.xml"/><Relationship  Id="rId66" Type="http://schemas.openxmlformats.org/officeDocument/2006/relationships/worksheet" Target="worksheets/sheet66.xml"/><Relationship  Id="rId65" Type="http://schemas.openxmlformats.org/officeDocument/2006/relationships/worksheet" Target="worksheets/sheet65.xml"/><Relationship  Id="rId60" Type="http://schemas.openxmlformats.org/officeDocument/2006/relationships/worksheet" Target="worksheets/sheet60.xml"/><Relationship  Id="rId83" Type="http://schemas.openxmlformats.org/officeDocument/2006/relationships/worksheet" Target="worksheets/sheet83.xml"/><Relationship  Id="rId59" Type="http://schemas.openxmlformats.org/officeDocument/2006/relationships/worksheet" Target="worksheets/sheet59.xml"/><Relationship  Id="rId63" Type="http://schemas.openxmlformats.org/officeDocument/2006/relationships/worksheet" Target="worksheets/sheet63.xml"/><Relationship  Id="rId57" Type="http://schemas.openxmlformats.org/officeDocument/2006/relationships/worksheet" Target="worksheets/sheet57.xml"/><Relationship  Id="rId56" Type="http://schemas.openxmlformats.org/officeDocument/2006/relationships/worksheet" Target="worksheets/sheet56.xml"/><Relationship  Id="rId91" Type="http://schemas.openxmlformats.org/officeDocument/2006/relationships/sharedStrings" Target="sharedStrings.xml"/><Relationship  Id="rId51" Type="http://schemas.openxmlformats.org/officeDocument/2006/relationships/worksheet" Target="worksheets/sheet51.xml"/><Relationship  Id="rId48" Type="http://schemas.openxmlformats.org/officeDocument/2006/relationships/worksheet" Target="worksheets/sheet48.xml"/><Relationship  Id="rId55" Type="http://schemas.openxmlformats.org/officeDocument/2006/relationships/worksheet" Target="worksheets/sheet55.xml"/><Relationship  Id="rId78" Type="http://schemas.openxmlformats.org/officeDocument/2006/relationships/worksheet" Target="worksheets/sheet78.xml"/><Relationship  Id="rId47" Type="http://schemas.openxmlformats.org/officeDocument/2006/relationships/worksheet" Target="worksheets/sheet47.xml"/><Relationship  Id="rId45" Type="http://schemas.openxmlformats.org/officeDocument/2006/relationships/worksheet" Target="worksheets/sheet45.xml"/><Relationship  Id="rId64" Type="http://schemas.openxmlformats.org/officeDocument/2006/relationships/worksheet" Target="worksheets/sheet64.xml"/><Relationship  Id="rId44" Type="http://schemas.openxmlformats.org/officeDocument/2006/relationships/worksheet" Target="worksheets/sheet44.xml"/><Relationship  Id="rId74" Type="http://schemas.openxmlformats.org/officeDocument/2006/relationships/worksheet" Target="worksheets/sheet74.xml"/><Relationship  Id="rId70" Type="http://schemas.openxmlformats.org/officeDocument/2006/relationships/worksheet" Target="worksheets/sheet70.xml"/><Relationship  Id="rId62" Type="http://schemas.openxmlformats.org/officeDocument/2006/relationships/worksheet" Target="worksheets/sheet62.xml"/><Relationship  Id="rId43" Type="http://schemas.openxmlformats.org/officeDocument/2006/relationships/worksheet" Target="worksheets/sheet43.xml"/><Relationship  Id="rId49" Type="http://schemas.openxmlformats.org/officeDocument/2006/relationships/worksheet" Target="worksheets/sheet49.xml"/><Relationship  Id="rId42" Type="http://schemas.openxmlformats.org/officeDocument/2006/relationships/worksheet" Target="worksheets/sheet42.xml"/><Relationship  Id="rId90" Type="http://schemas.openxmlformats.org/officeDocument/2006/relationships/theme" Target="theme/theme1.xml"/><Relationship  Id="rId40" Type="http://schemas.openxmlformats.org/officeDocument/2006/relationships/worksheet" Target="worksheets/sheet40.xml"/><Relationship  Id="rId79" Type="http://schemas.openxmlformats.org/officeDocument/2006/relationships/worksheet" Target="worksheets/sheet79.xml"/><Relationship  Id="rId39" Type="http://schemas.openxmlformats.org/officeDocument/2006/relationships/worksheet" Target="worksheets/sheet39.xml"/><Relationship  Id="rId38" Type="http://schemas.openxmlformats.org/officeDocument/2006/relationships/worksheet" Target="worksheets/sheet38.xml"/><Relationship  Id="rId54" Type="http://schemas.openxmlformats.org/officeDocument/2006/relationships/worksheet" Target="worksheets/sheet54.xml"/><Relationship  Id="rId41" Type="http://schemas.openxmlformats.org/officeDocument/2006/relationships/worksheet" Target="worksheets/sheet41.xml"/><Relationship  Id="rId36" Type="http://schemas.openxmlformats.org/officeDocument/2006/relationships/worksheet" Target="worksheets/sheet36.xml"/><Relationship  Id="rId80" Type="http://schemas.openxmlformats.org/officeDocument/2006/relationships/worksheet" Target="worksheets/sheet80.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58" Type="http://schemas.openxmlformats.org/officeDocument/2006/relationships/worksheet" Target="worksheets/sheet58.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3" Type="http://schemas.openxmlformats.org/officeDocument/2006/relationships/worksheet" Target="worksheets/sheet23.xml"/><Relationship  Id="rId52" Type="http://schemas.openxmlformats.org/officeDocument/2006/relationships/worksheet" Target="worksheets/sheet52.xml"/><Relationship  Id="rId61" Type="http://schemas.openxmlformats.org/officeDocument/2006/relationships/worksheet" Target="worksheets/sheet61.xml"/><Relationship  Id="rId76" Type="http://schemas.openxmlformats.org/officeDocument/2006/relationships/worksheet" Target="worksheets/sheet76.xml"/><Relationship  Id="rId22" Type="http://schemas.openxmlformats.org/officeDocument/2006/relationships/worksheet" Target="worksheets/sheet22.xml"/><Relationship  Id="rId21" Type="http://schemas.openxmlformats.org/officeDocument/2006/relationships/worksheet" Target="worksheets/sheet21.xml"/><Relationship  Id="rId25" Type="http://schemas.openxmlformats.org/officeDocument/2006/relationships/worksheet" Target="worksheets/sheet25.xml"/><Relationship  Id="rId13" Type="http://schemas.openxmlformats.org/officeDocument/2006/relationships/worksheet" Target="worksheets/sheet13.xml"/><Relationship  Id="rId50" Type="http://schemas.openxmlformats.org/officeDocument/2006/relationships/worksheet" Target="worksheets/sheet50.xml"/><Relationship  Id="rId24" Type="http://schemas.openxmlformats.org/officeDocument/2006/relationships/worksheet" Target="worksheets/sheet24.xml"/><Relationship  Id="rId11" Type="http://schemas.openxmlformats.org/officeDocument/2006/relationships/worksheet" Target="worksheets/sheet11.xml"/><Relationship  Id="rId17" Type="http://schemas.openxmlformats.org/officeDocument/2006/relationships/worksheet" Target="worksheets/sheet17.xml"/><Relationship  Id="rId10" Type="http://schemas.openxmlformats.org/officeDocument/2006/relationships/worksheet" Target="worksheets/sheet10.xml"/><Relationship  Id="rId18" Type="http://schemas.openxmlformats.org/officeDocument/2006/relationships/worksheet" Target="worksheets/sheet18.xml"/><Relationship  Id="rId26" Type="http://schemas.openxmlformats.org/officeDocument/2006/relationships/worksheet" Target="worksheets/sheet26.xml"/><Relationship  Id="rId86" Type="http://schemas.openxmlformats.org/officeDocument/2006/relationships/worksheet" Target="worksheets/sheet86.xml"/><Relationship  Id="rId53" Type="http://schemas.openxmlformats.org/officeDocument/2006/relationships/worksheet" Target="worksheets/sheet53.xml"/><Relationship  Id="rId15" Type="http://schemas.openxmlformats.org/officeDocument/2006/relationships/worksheet" Target="worksheets/sheet15.xml"/><Relationship  Id="rId9" Type="http://schemas.openxmlformats.org/officeDocument/2006/relationships/worksheet" Target="worksheets/sheet9.xml"/><Relationship  Id="rId20" Type="http://schemas.openxmlformats.org/officeDocument/2006/relationships/worksheet" Target="worksheets/sheet20.xml"/><Relationship  Id="rId8" Type="http://schemas.openxmlformats.org/officeDocument/2006/relationships/worksheet" Target="worksheets/sheet8.xml"/><Relationship  Id="rId31" Type="http://schemas.openxmlformats.org/officeDocument/2006/relationships/worksheet" Target="worksheets/sheet31.xml"/><Relationship  Id="rId19" Type="http://schemas.openxmlformats.org/officeDocument/2006/relationships/worksheet" Target="worksheets/sheet19.xml"/><Relationship  Id="rId37" Type="http://schemas.openxmlformats.org/officeDocument/2006/relationships/worksheet" Target="worksheets/sheet37.xml"/><Relationship  Id="rId46" Type="http://schemas.openxmlformats.org/officeDocument/2006/relationships/worksheet" Target="worksheets/sheet46.xml"/><Relationship  Id="rId7" Type="http://schemas.openxmlformats.org/officeDocument/2006/relationships/worksheet" Target="worksheets/sheet7.xml"/><Relationship  Id="rId73" Type="http://schemas.openxmlformats.org/officeDocument/2006/relationships/worksheet" Target="worksheets/sheet73.xml"/><Relationship  Id="rId14" Type="http://schemas.openxmlformats.org/officeDocument/2006/relationships/worksheet" Target="worksheets/sheet14.xml"/><Relationship  Id="rId77" Type="http://schemas.openxmlformats.org/officeDocument/2006/relationships/worksheet" Target="worksheets/sheet77.xml"/><Relationship  Id="rId6" Type="http://schemas.openxmlformats.org/officeDocument/2006/relationships/worksheet" Target="worksheets/sheet6.xml"/><Relationship  Id="rId5" Type="http://schemas.openxmlformats.org/officeDocument/2006/relationships/worksheet" Target="worksheets/sheet5.xml"/><Relationship  Id="rId16" Type="http://schemas.openxmlformats.org/officeDocument/2006/relationships/worksheet" Target="worksheets/sheet16.xml"/><Relationship  Id="rId4" Type="http://schemas.openxmlformats.org/officeDocument/2006/relationships/worksheet" Target="worksheets/sheet4.xml"/><Relationship  Id="rId12" Type="http://schemas.openxmlformats.org/officeDocument/2006/relationships/worksheet" Target="worksheets/sheet12.xml"/><Relationship  Id="rId72" Type="http://schemas.openxmlformats.org/officeDocument/2006/relationships/worksheet" Target="worksheets/sheet72.xml"/><Relationship  Id="rId32" Type="http://schemas.openxmlformats.org/officeDocument/2006/relationships/worksheet" Target="worksheets/sheet32.xml"/><Relationship  Id="rId30" Type="http://schemas.openxmlformats.org/officeDocument/2006/relationships/worksheet" Target="worksheets/sheet30.xml"/><Relationship  Id="rId3" Type="http://schemas.openxmlformats.org/officeDocument/2006/relationships/worksheet" Target="worksheets/sheet3.xml"/><Relationship  Id="rId2" Type="http://schemas.openxmlformats.org/officeDocument/2006/relationships/worksheet" Target="worksheets/sheet2.xml"/><Relationship  Id="rId92"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g"/></Relationships>
</file>

<file path=xl/drawings/_rels/drawing2.xml.rels><?xml version="1.0" encoding="UTF-8" standalone="yes"?><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Relationships xmlns="http://schemas.openxmlformats.org/package/2006/relationships"><Relationship Id="rId1" Type="http://schemas.openxmlformats.org/officeDocument/2006/relationships/image" Target="../media/image8.png"/></Relationships>
</file>

<file path=xl/drawings/_rels/drawing4.xml.rels><?xml version="1.0" encoding="UTF-8" standalone="yes"?><Relationships xmlns="http://schemas.openxmlformats.org/package/2006/relationships"><Relationship Id="rId1" Type="http://schemas.openxmlformats.org/officeDocument/2006/relationships/image" Target="../media/image9.png"/></Relationships>
</file>

<file path=xl/drawings/_rels/drawing5.xml.rels><?xml version="1.0" encoding="UTF-8" standalone="yes"?><Relationships xmlns="http://schemas.openxmlformats.org/package/2006/relationships"><Relationship Id="rId1" Type="http://schemas.openxmlformats.org/officeDocument/2006/relationships/image" Target="../media/image10.png"/></Relationships>
</file>

<file path=xl/drawings/_rels/drawing6.xml.rels><?xml version="1.0" encoding="UTF-8" standalone="yes"?><Relationships xmlns="http://schemas.openxmlformats.org/package/2006/relationships"><Relationship Id="rId1" Type="http://schemas.openxmlformats.org/officeDocument/2006/relationships/image" Target="../media/image11.png"/></Relationships>
</file>

<file path=xl/drawings/_rels/drawing7.xml.rels><?xml version="1.0" encoding="UTF-8" standalone="yes"?><Relationships xmlns="http://schemas.openxmlformats.org/package/2006/relationships"><Relationship Id="rId1" Type="http://schemas.openxmlformats.org/officeDocument/2006/relationships/image" Target="../media/image12.png"/></Relationships>
</file>

<file path=xl/drawings/_rels/drawing8.xml.rels><?xml version="1.0" encoding="UTF-8" standalone="yes"?><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r:embed="rId2"/>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3"/>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4"/>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r:embed="rId5"/>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13</xdr:row>
      <xdr:rowOff>0</xdr:rowOff>
    </xdr:from>
    <xdr:to>
      <xdr:col>3</xdr:col>
      <xdr:colOff>0</xdr:colOff>
      <xdr:row>13</xdr:row>
      <xdr:rowOff>247649</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miter/>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m="http://schemas.openxmlformats.org/officeDocument/2006/math" xmlns:w="http://schemas.openxmlformats.org/wordprocessingml/2006/main">
  <xdr:twoCellAnchor>
    <xdr:from>
      <xdr:col>0</xdr:col>
      <xdr:colOff>0</xdr:colOff>
      <xdr:row>4</xdr:row>
      <xdr:rowOff>0</xdr:rowOff>
    </xdr:from>
    <xdr:to>
      <xdr:col>3</xdr:col>
      <xdr:colOff>0</xdr:colOff>
      <xdr:row>4</xdr:row>
      <xdr:rowOff>247649</xdr:rowOff>
    </xdr:to>
    <xdr:pic>
      <xdr:nvPicPr>
        <xdr:cNvPr id="1" name="UNFREEZE_PANES" descr="update_org.png" hidden="1"/>
        <xdr:cNvPicPr>
          <a:picLocks noChangeAspect="1"/>
        </xdr:cNvPicPr>
      </xdr:nvPicPr>
      <xdr:blipFill>
        <a:blip r:embed="rId1"/>
        <a:stretch/>
      </xdr:blipFill>
      <xdr:spPr>
        <a:xfrm>
          <a:off x="0" y="0"/>
          <a:ext cx="0" cy="0"/>
        </a:xfrm>
        <a:prstGeom prst="rect">
          <a:avLst/>
        </a:prstGeom>
        <a:ln w="0">
          <a:noFill/>
          <a:prstDash val="solid"/>
        </a:ln>
      </xdr:spPr>
    </xdr:pic>
    <xdr:clientData/>
  </xdr:twoCellAnchor>
</xdr:wsDr>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Arial"/>
        <a:cs typeface="Arial"/>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Arial"/>
        <a:cs typeface="Arial"/>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s://portal.eias.ru/Portal/DownloadPage.aspx?type=12&amp;guid=c8719f78-3eb9-42ae-b12f-66420844f6f5" TargetMode="External"/></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showRowColHeaders="0" topLeftCell="A1" workbookViewId="0">
      <selection activeCell="A1" sqref="A1"/>
    </sheetView>
  </sheetViews>
  <sheetFormatPr defaultColWidth="11.00390625" defaultRowHeight="12.75" customHeight="1"/>
  <cols>
    <col customWidth="1" min="1" max="1" style="9094" width="5.421875"/>
    <col customWidth="1" min="2" max="2" style="9094" width="9.140625"/>
    <col customWidth="1" min="3" max="3" style="9094" width="16.421875"/>
    <col customWidth="1" min="4" max="25" style="9094" width="6.28125"/>
    <col min="26" max="28" style="9094" width="11.00390625"/>
  </cols>
  <sheetData>
    <row r="1" ht="15.75" customHeight="1">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r="2" ht="17.25" customHeight="1">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r="3" ht="15.75" customHeight="1">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r="4" ht="17.25" customHeight="1">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r="5" ht="22.5" customHeight="1">
      <c r="A5" s="1878"/>
      <c r="B5" s="2249" t="str">
        <f>IF(TEMPLATE_SPHERE="","Информация, подлежащая раскрытию регулируемыми организациями",Титульный!E5)</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r="6" ht="15" customHeight="1">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r="7" ht="15" customHeight="1">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r="8" ht="15" customHeight="1">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r="9" ht="15" customHeight="1">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r="10" ht="30" customHeight="1">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r="11" ht="19.5" customHeight="1">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r="12" ht="69" customHeight="1">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r="13" ht="15" customHeight="1">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r="14" ht="57" customHeight="1">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r="15" ht="16.5" customHeight="1">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r="16" ht="95.25" customHeight="1">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r="17" ht="14.25" customHeight="1">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r="18" ht="14.25" customHeight="1">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r="19" ht="14.25" customHeight="1">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r="20" ht="14.25" customHeight="1">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r="21" ht="14.25" customHeight="1">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autoFilter="0" deleteColumns="1" deleteRows="1" formatColumns="0" formatRows="0" insertColumns="1" insertRows="1" sheet="1" sort="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topLeftCell="C5" zoomScale="90" workbookViewId="0">
      <selection activeCell="I25" sqref="I25"/>
    </sheetView>
  </sheetViews>
  <sheetFormatPr defaultColWidth="9.140625" defaultRowHeight="11.25" customHeight="1"/>
  <cols>
    <col customWidth="1" hidden="1" min="1" max="1" style="9212" width="10.7109375"/>
    <col customWidth="1" hidden="1" min="2" max="2" style="9213" width="10.7109375"/>
    <col customWidth="1" min="3" max="3" style="9214" width="3.00390625"/>
    <col customWidth="1" min="4" max="4" style="9138" width="1.00390625"/>
    <col customWidth="1" min="5" max="6" style="9138" width="55.00390625"/>
    <col customWidth="1" min="7" max="7" style="9215" width="1.00390625"/>
    <col customWidth="1" hidden="1" min="8" max="8" style="9138" width="18.00390625"/>
    <col customWidth="1" min="9" max="9" style="9216" width="59.00390625"/>
    <col customWidth="1" hidden="1" min="10" max="10" style="9217" width="52.140625"/>
    <col customWidth="1" min="11" max="11" style="9138" width="8.00390625"/>
    <col customWidth="1" min="12" max="12" style="9138" width="77.00390625"/>
    <col customWidth="1" min="13" max="16" style="9138" width="8.00390625"/>
    <col customWidth="1" hidden="1" min="17" max="17" style="9138" width="12.00390625"/>
  </cols>
  <sheetData>
    <row r="1" s="9095" customFormat="1" ht="3" customHeight="1">
      <c r="A1" s="953"/>
      <c r="B1" s="411"/>
      <c r="F1" s="412" t="s">
        <v>13</v>
      </c>
      <c r="G1" s="581"/>
      <c r="H1" s="241"/>
      <c r="I1" s="581"/>
      <c r="J1" s="1041"/>
      <c r="Q1" s="412" t="s">
        <v>14</v>
      </c>
    </row>
    <row r="2" s="9102" customFormat="1" ht="14.25" customHeight="1">
      <c r="A2" s="953"/>
      <c r="B2" s="268"/>
      <c r="E2" s="1910" t="str">
        <f>code</f>
        <v xml:space="preserve">Код отчёта: PP110.OPEN.INFO.REQUEST.HEAT.EIAS</v>
      </c>
      <c r="F2" s="439"/>
      <c r="G2" s="415"/>
      <c r="H2" s="415"/>
      <c r="I2" s="415"/>
      <c r="J2" s="1042"/>
      <c r="K2" s="415"/>
      <c r="Q2" s="241">
        <v>14</v>
      </c>
    </row>
    <row r="3" ht="14.65" customHeight="1">
      <c r="E3" s="416" t="str">
        <f>version</f>
        <v xml:space="preserve">Версия отчёта: 1.1.1</v>
      </c>
      <c r="F3" s="439"/>
      <c r="G3" s="940"/>
      <c r="H3" s="940"/>
      <c r="I3" s="940"/>
      <c r="J3" s="1043"/>
      <c r="K3" s="258"/>
      <c r="Q3" s="244">
        <v>14</v>
      </c>
    </row>
    <row r="4" s="9113" customFormat="1" ht="6.2999999999999998" customHeight="1">
      <c r="A4" s="954"/>
      <c r="B4" s="402"/>
      <c r="C4" s="403"/>
      <c r="D4" s="404"/>
      <c r="E4" s="413"/>
      <c r="F4" s="414"/>
      <c r="G4" s="941"/>
      <c r="H4" s="579"/>
      <c r="I4" s="581"/>
      <c r="J4" s="1044"/>
      <c r="Q4" s="406">
        <v>6</v>
      </c>
    </row>
    <row r="5" ht="39.75" customHeight="1">
      <c r="D5" s="245"/>
      <c r="E5" s="2265" t="str">
        <f>NameTemplatesInTitle</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66"/>
      <c r="G5" s="942"/>
      <c r="J5" s="1045"/>
      <c r="Q5" s="244">
        <v>38</v>
      </c>
    </row>
    <row r="6" s="9113" customFormat="1" ht="6.2999999999999998" customHeight="1">
      <c r="A6" s="954"/>
      <c r="B6" s="402"/>
      <c r="C6" s="403"/>
      <c r="D6" s="404"/>
      <c r="E6" s="407"/>
      <c r="F6" s="408"/>
      <c r="G6" s="942"/>
      <c r="H6" s="579"/>
      <c r="I6" s="581"/>
      <c r="J6" s="1044"/>
      <c r="Q6" s="406">
        <v>6</v>
      </c>
    </row>
    <row r="7" ht="21" customHeight="1">
      <c r="D7" s="245"/>
      <c r="E7" s="561" t="s">
        <v>15</v>
      </c>
      <c r="F7" s="385" t="s">
        <v>16</v>
      </c>
      <c r="G7" s="942"/>
      <c r="Q7" s="244">
        <v>20</v>
      </c>
    </row>
    <row r="8" s="9113" customFormat="1" ht="6.2999999999999998" customHeight="1">
      <c r="A8" s="955"/>
      <c r="B8" s="402"/>
      <c r="C8" s="403"/>
      <c r="D8" s="409"/>
      <c r="E8" s="407"/>
      <c r="F8" s="410"/>
      <c r="G8" s="247"/>
      <c r="H8" s="579"/>
      <c r="I8" s="581"/>
      <c r="J8" s="1047"/>
      <c r="Q8" s="406">
        <v>6</v>
      </c>
    </row>
    <row r="9" s="9138" customFormat="1" ht="19.5" hidden="1" customHeight="1">
      <c r="A9" s="954"/>
      <c r="B9" s="268"/>
      <c r="C9" s="578"/>
      <c r="D9" s="580"/>
      <c r="E9" s="1335" t="s">
        <v>17</v>
      </c>
      <c r="F9" s="2091"/>
      <c r="G9" s="942"/>
      <c r="I9" s="2070" t="str">
        <f>IF(TITLE_STRUCTURE_INFO_ROIV="","","раскрывается "&amp;INDEX(ROIV_INFO_COMMENT,MATCH(TITLE_STRUCTURE_INFO_ROIV,ROIV_INFO_LIST,0)))</f>
        <v/>
      </c>
      <c r="J9" s="1046"/>
      <c r="Q9" s="579">
        <v>0</v>
      </c>
    </row>
    <row r="10" s="9113" customFormat="1" ht="24" hidden="1" customHeight="1">
      <c r="A10" s="955"/>
      <c r="B10" s="596"/>
      <c r="C10" s="597"/>
      <c r="D10" s="409"/>
      <c r="E10" s="1335" t="s">
        <v>18</v>
      </c>
      <c r="F10" s="2236" t="s">
        <v>19</v>
      </c>
      <c r="G10" s="247"/>
      <c r="H10" s="579"/>
      <c r="I10" s="581"/>
      <c r="J10" s="1047"/>
      <c r="Q10" s="600">
        <v>24</v>
      </c>
    </row>
    <row r="11" ht="22.5" customHeight="1">
      <c r="A11" s="2268" t="s">
        <v>20</v>
      </c>
      <c r="D11" s="245"/>
      <c r="E11" s="1335" t="s">
        <v>21</v>
      </c>
      <c r="F11" s="2900">
        <v>45292</v>
      </c>
      <c r="G11" s="247"/>
      <c r="H11" s="943" t="s">
        <v>22</v>
      </c>
      <c r="J11" s="1046" t="s">
        <v>23</v>
      </c>
      <c r="Q11" s="244">
        <v>0</v>
      </c>
    </row>
    <row r="12" ht="22.5" customHeight="1">
      <c r="A12" s="2268"/>
      <c r="D12" s="245"/>
      <c r="E12" s="1335" t="s">
        <v>24</v>
      </c>
      <c r="F12" s="2900">
        <v>47118</v>
      </c>
      <c r="G12" s="243"/>
      <c r="J12" s="1046" t="s">
        <v>25</v>
      </c>
      <c r="Q12" s="244">
        <v>0</v>
      </c>
    </row>
    <row r="13" s="9138" customFormat="1" ht="22.5" hidden="1" customHeight="1">
      <c r="A13" s="958" t="s">
        <v>26</v>
      </c>
      <c r="B13" s="268"/>
      <c r="C13" s="578"/>
      <c r="D13" s="580"/>
      <c r="E13" s="1945" t="s">
        <v>27</v>
      </c>
      <c r="F13" s="1902" t="s">
        <v>28</v>
      </c>
      <c r="G13" s="247"/>
      <c r="H13" s="940"/>
      <c r="I13" s="581"/>
      <c r="J13" s="1946" t="s">
        <v>29</v>
      </c>
      <c r="Q13" s="579">
        <v>0</v>
      </c>
    </row>
    <row r="14" s="9138" customFormat="1" ht="27" hidden="1" customHeight="1">
      <c r="A14" s="958" t="s">
        <v>30</v>
      </c>
      <c r="B14" s="268"/>
      <c r="C14" s="578"/>
      <c r="D14" s="580"/>
      <c r="E14" s="1335" t="s">
        <v>31</v>
      </c>
      <c r="F14" s="1937"/>
      <c r="G14" s="247"/>
      <c r="H14" s="940"/>
      <c r="I14" s="581"/>
      <c r="J14" s="1046" t="s">
        <v>32</v>
      </c>
      <c r="Q14" s="579">
        <v>0</v>
      </c>
    </row>
    <row r="15" s="9138" customFormat="1" ht="19.5" hidden="1" customHeight="1">
      <c r="A15" s="958" t="s">
        <v>33</v>
      </c>
      <c r="B15" s="268"/>
      <c r="C15" s="578"/>
      <c r="D15" s="580"/>
      <c r="E15" s="1335" t="s">
        <v>34</v>
      </c>
      <c r="F15" s="1937"/>
      <c r="G15" s="247"/>
      <c r="H15" s="940"/>
      <c r="I15" s="581"/>
      <c r="J15" s="1046" t="s">
        <v>35</v>
      </c>
      <c r="Q15" s="579">
        <v>0</v>
      </c>
    </row>
    <row r="16" s="9113" customFormat="1" ht="6.2999999999999998" customHeight="1">
      <c r="A16" s="955"/>
      <c r="B16" s="402"/>
      <c r="C16" s="403"/>
      <c r="D16" s="409"/>
      <c r="E16" s="407"/>
      <c r="F16" s="410"/>
      <c r="G16" s="247"/>
      <c r="H16" s="579"/>
      <c r="I16" s="581"/>
      <c r="J16" s="1044"/>
      <c r="Q16" s="406">
        <v>6</v>
      </c>
    </row>
    <row r="17" ht="21" customHeight="1">
      <c r="D17" s="245"/>
      <c r="E17" s="561" t="s">
        <v>36</v>
      </c>
      <c r="F17" s="2908" t="s">
        <v>37</v>
      </c>
      <c r="G17" s="243"/>
      <c r="H17" s="943" t="s">
        <v>22</v>
      </c>
      <c r="Q17" s="244">
        <v>20</v>
      </c>
    </row>
    <row r="18" ht="25.5" customHeight="1">
      <c r="D18" s="245"/>
      <c r="E18" s="1945" t="s">
        <v>38</v>
      </c>
      <c r="F18" s="5999">
        <v>45646</v>
      </c>
      <c r="G18" s="243"/>
      <c r="I18" s="944"/>
      <c r="J18" s="2267" t="s">
        <v>39</v>
      </c>
      <c r="Q18" s="244">
        <v>0</v>
      </c>
    </row>
    <row r="19" ht="25.5" customHeight="1">
      <c r="D19" s="245"/>
      <c r="E19" s="1335" t="str">
        <f>"Дата периода регулирования, с которой "&amp;IF(TEMPLATE_GROUP="P","вводятся","предлагаются")&amp;" изменения в тарифы"</f>
        <v xml:space="preserve">Дата периода регулирования, с которой предлагаются изменения в тарифы</v>
      </c>
      <c r="F19" s="2909">
        <v>45658</v>
      </c>
      <c r="G19" s="243"/>
      <c r="I19" s="944"/>
      <c r="J19" s="2267"/>
      <c r="Q19" s="244">
        <v>0</v>
      </c>
    </row>
    <row r="20" ht="22.5" customHeight="1">
      <c r="D20" s="245"/>
      <c r="E20" s="246"/>
      <c r="F20" s="440" t="str">
        <f>"Первичное "&amp;IF(TEMPLATE_GROUP="P","установление тарифов","предложение по тарифам")</f>
        <v xml:space="preserve">Первичное предложение по тарифам</v>
      </c>
      <c r="G20" s="243"/>
      <c r="I20" s="564"/>
      <c r="J20" s="1045" t="s">
        <v>40</v>
      </c>
      <c r="Q20" s="244">
        <v>0</v>
      </c>
    </row>
    <row r="21" ht="19.5" customHeight="1">
      <c r="D21" s="245"/>
      <c r="E21" s="561" t="str">
        <f>"Дата "&amp;IF(TEMPLATE_GROUP="P","документа","подачи заявления")&amp;" об утверждении тарифов"</f>
        <v xml:space="preserve">Дата подачи заявления об утверждении тарифов</v>
      </c>
      <c r="F21" s="5999">
        <v>45043</v>
      </c>
      <c r="G21" s="243"/>
      <c r="I21" s="945"/>
      <c r="Q21" s="244">
        <v>0</v>
      </c>
    </row>
    <row r="22" ht="19.5" customHeight="1">
      <c r="D22" s="245"/>
      <c r="E22" s="561" t="str">
        <f>"Номер "&amp;IF(TEMPLATE_GROUP="P","документа","подачи заявления")&amp;" об утверждении тарифов"</f>
        <v xml:space="preserve">Номер подачи заявления об утверждении тарифов</v>
      </c>
      <c r="F22" s="386" t="s">
        <v>41</v>
      </c>
      <c r="G22" s="243"/>
      <c r="I22" s="945"/>
      <c r="Q22" s="244">
        <v>0</v>
      </c>
    </row>
    <row r="23" ht="22.5" hidden="1" customHeight="1">
      <c r="D23" s="245"/>
      <c r="E23" s="561" t="s">
        <v>42</v>
      </c>
      <c r="F23" s="386"/>
      <c r="G23" s="243"/>
      <c r="Q23" s="244">
        <v>0</v>
      </c>
    </row>
    <row r="24" ht="19.5" hidden="1" customHeight="1">
      <c r="D24" s="245"/>
      <c r="E24" s="561" t="s">
        <v>43</v>
      </c>
      <c r="F24" s="386"/>
      <c r="G24" s="243"/>
      <c r="Q24" s="244">
        <v>0</v>
      </c>
    </row>
    <row r="25" ht="22.5" customHeight="1">
      <c r="D25" s="245"/>
      <c r="E25" s="246"/>
      <c r="F25" s="440" t="str">
        <f>"Изменение "&amp;IF(TEMPLATE_GROUP="P","тарифов","предложения по тарифам")</f>
        <v xml:space="preserve">Изменение предложения по тарифам</v>
      </c>
      <c r="G25" s="243"/>
      <c r="J25" s="1045" t="s">
        <v>44</v>
      </c>
      <c r="Q25" s="244">
        <v>0</v>
      </c>
    </row>
    <row r="26" ht="19.5" customHeight="1">
      <c r="D26" s="245"/>
      <c r="E26" s="561" t="str">
        <f>"Дата "&amp;IF(TEMPLATE_GROUP="P","принятия решения","подачи заявления")&amp;" об изменении тарифов"</f>
        <v xml:space="preserve">Дата подачи заявления об изменении тарифов</v>
      </c>
      <c r="F26" s="5999">
        <v>45646</v>
      </c>
      <c r="G26" s="243"/>
      <c r="Q26" s="244">
        <v>0</v>
      </c>
    </row>
    <row r="27" ht="19.5" customHeight="1">
      <c r="D27" s="245"/>
      <c r="E27" s="1335" t="str">
        <f>"Номер "&amp;IF(TEMPLATE_GROUP="P","принятия решения","заявления")&amp;" об изменении тарифов"</f>
        <v xml:space="preserve">Номер заявления об изменении тарифов</v>
      </c>
      <c r="F27" s="2917" t="s">
        <v>45</v>
      </c>
      <c r="G27" s="243"/>
      <c r="Q27" s="244">
        <v>0</v>
      </c>
    </row>
    <row r="28" ht="24.75" hidden="1" customHeight="1">
      <c r="D28" s="245"/>
      <c r="E28" s="561" t="s">
        <v>46</v>
      </c>
      <c r="F28" s="388"/>
      <c r="G28" s="243"/>
      <c r="Q28" s="244">
        <v>0</v>
      </c>
    </row>
    <row r="29" ht="19.5" hidden="1" customHeight="1">
      <c r="D29" s="245"/>
      <c r="E29" s="561" t="s">
        <v>43</v>
      </c>
      <c r="F29" s="388"/>
      <c r="G29" s="243"/>
      <c r="Q29" s="244">
        <v>0</v>
      </c>
    </row>
    <row r="30" s="9113" customFormat="1" ht="6.2999999999999998" customHeight="1">
      <c r="A30" s="955"/>
      <c r="B30" s="402"/>
      <c r="C30" s="403"/>
      <c r="D30" s="409"/>
      <c r="E30" s="407"/>
      <c r="F30" s="410"/>
      <c r="G30" s="247"/>
      <c r="H30" s="579"/>
      <c r="I30" s="581"/>
      <c r="J30" s="1044"/>
      <c r="Q30" s="406">
        <v>6</v>
      </c>
    </row>
    <row r="31" ht="21" customHeight="1">
      <c r="C31" s="248"/>
      <c r="D31" s="249"/>
      <c r="E31" s="561" t="str">
        <f>"Наименование "&amp;IF(TEMPLATE_GROUP="ROIV","органа тарифного регулирования","ЮЛ / ИП")</f>
        <v xml:space="preserve">Наименование ЮЛ / ИП</v>
      </c>
      <c r="F31" s="387" t="s">
        <v>47</v>
      </c>
      <c r="G31" s="946"/>
      <c r="Q31" s="244">
        <v>20</v>
      </c>
    </row>
    <row r="32" ht="21" hidden="1" customHeight="1">
      <c r="C32" s="248"/>
      <c r="D32" s="249"/>
      <c r="E32" s="562" t="s">
        <v>48</v>
      </c>
      <c r="F32" s="387"/>
      <c r="G32" s="946"/>
      <c r="Q32" s="244">
        <v>20</v>
      </c>
    </row>
    <row r="33" ht="21" customHeight="1">
      <c r="C33" s="248"/>
      <c r="D33" s="249"/>
      <c r="E33" s="561" t="s">
        <v>49</v>
      </c>
      <c r="F33" s="387" t="s">
        <v>50</v>
      </c>
      <c r="G33" s="946"/>
      <c r="Q33" s="244">
        <v>20</v>
      </c>
    </row>
    <row r="34" ht="21" customHeight="1">
      <c r="C34" s="248"/>
      <c r="D34" s="249"/>
      <c r="E34" s="561" t="s">
        <v>51</v>
      </c>
      <c r="F34" s="387" t="s">
        <v>52</v>
      </c>
      <c r="G34" s="946"/>
      <c r="H34" s="250"/>
      <c r="Q34" s="244">
        <v>20</v>
      </c>
    </row>
    <row r="35" s="9113" customFormat="1" ht="11.5" customHeight="1">
      <c r="A35" s="955"/>
      <c r="B35" s="402"/>
      <c r="C35" s="403"/>
      <c r="D35" s="409"/>
      <c r="E35" s="407"/>
      <c r="F35" s="410"/>
      <c r="G35" s="247"/>
      <c r="H35" s="579"/>
      <c r="I35" s="581"/>
      <c r="J35" s="1044"/>
      <c r="Q35" s="406">
        <v>11</v>
      </c>
    </row>
    <row r="36" ht="19.5" customHeight="1">
      <c r="A36" s="1049"/>
      <c r="D36" s="249"/>
      <c r="E36" s="561" t="s">
        <v>53</v>
      </c>
      <c r="F36" s="2926" t="s">
        <v>54</v>
      </c>
      <c r="G36" s="247"/>
      <c r="Q36" s="244">
        <v>0</v>
      </c>
    </row>
    <row r="37" ht="21" customHeight="1">
      <c r="A37" s="1049"/>
      <c r="D37" s="249"/>
      <c r="E37" s="561" t="s">
        <v>55</v>
      </c>
      <c r="F37" s="2926" t="s">
        <v>56</v>
      </c>
      <c r="G37" s="247"/>
      <c r="Q37" s="244">
        <v>20</v>
      </c>
    </row>
    <row r="38" s="9113" customFormat="1" ht="6.2999999999999998" customHeight="1">
      <c r="A38" s="955"/>
      <c r="B38" s="402"/>
      <c r="C38" s="403"/>
      <c r="D38" s="404"/>
      <c r="E38" s="405"/>
      <c r="F38" s="1223"/>
      <c r="G38" s="243"/>
      <c r="H38" s="579"/>
      <c r="I38" s="581"/>
      <c r="J38" s="1046"/>
      <c r="Q38" s="406">
        <v>6</v>
      </c>
    </row>
    <row r="39" ht="36.75" customHeight="1">
      <c r="A39" s="955"/>
      <c r="D39" s="245"/>
      <c r="E39" s="561" t="s">
        <v>57</v>
      </c>
      <c r="F39" s="880" t="s">
        <v>19</v>
      </c>
      <c r="G39" s="243"/>
      <c r="H39" s="943" t="s">
        <v>22</v>
      </c>
      <c r="Q39" s="244">
        <v>35</v>
      </c>
    </row>
    <row r="40" s="9113" customFormat="1" ht="6" hidden="1" customHeight="1">
      <c r="A40" s="954"/>
      <c r="B40" s="596"/>
      <c r="C40" s="597"/>
      <c r="D40" s="598"/>
      <c r="E40" s="599"/>
      <c r="F40" s="1223"/>
      <c r="G40" s="243"/>
      <c r="H40" s="579"/>
      <c r="I40" s="581"/>
      <c r="J40" s="1046"/>
      <c r="Q40" s="600">
        <v>6</v>
      </c>
    </row>
    <row r="41" s="9138" customFormat="1" ht="26.25" hidden="1" customHeight="1">
      <c r="A41" s="958" t="s">
        <v>26</v>
      </c>
      <c r="B41" s="583"/>
      <c r="C41" s="578"/>
      <c r="D41" s="580"/>
      <c r="E41" s="561" t="str">
        <f>"Дифференциация информации по централизованным системам  "&amp;TEMPLATE_SPHERE_RUS</f>
        <v xml:space="preserve">Дифференциация информации по централизованным системам  теплоснабжения</v>
      </c>
      <c r="F41" s="880" t="s">
        <v>19</v>
      </c>
      <c r="G41" s="243"/>
      <c r="I41" s="581"/>
      <c r="J41" s="1046"/>
      <c r="Q41" s="579">
        <v>0</v>
      </c>
    </row>
    <row r="42" s="9113" customFormat="1" ht="6" customHeight="1">
      <c r="A42" s="954"/>
      <c r="B42" s="596"/>
      <c r="C42" s="597"/>
      <c r="D42" s="598"/>
      <c r="E42" s="599"/>
      <c r="F42" s="1223"/>
      <c r="G42" s="243"/>
      <c r="H42" s="579"/>
      <c r="I42" s="581"/>
      <c r="J42" s="1044"/>
      <c r="Q42" s="600">
        <v>0</v>
      </c>
    </row>
    <row r="43" s="9138" customFormat="1" ht="27" hidden="1" customHeight="1">
      <c r="A43" s="954"/>
      <c r="B43" s="583"/>
      <c r="C43" s="578"/>
      <c r="D43" s="580"/>
      <c r="E43" s="561" t="s">
        <v>58</v>
      </c>
      <c r="F43" s="880" t="s">
        <v>19</v>
      </c>
      <c r="G43" s="243"/>
      <c r="I43" s="581"/>
      <c r="J43" s="1046"/>
      <c r="Q43" s="579">
        <v>0</v>
      </c>
    </row>
    <row r="44" s="9138" customFormat="1" ht="27" hidden="1" customHeight="1">
      <c r="A44" s="954"/>
      <c r="B44" s="583"/>
      <c r="C44" s="578"/>
      <c r="D44" s="580"/>
      <c r="E44" s="1335" t="s">
        <v>59</v>
      </c>
      <c r="F44" s="2058"/>
      <c r="G44" s="243"/>
      <c r="I44" s="581"/>
      <c r="J44" s="1046"/>
      <c r="Q44" s="579">
        <v>0</v>
      </c>
    </row>
    <row r="45" s="9113" customFormat="1" ht="6" customHeight="1">
      <c r="A45" s="954"/>
      <c r="B45" s="596"/>
      <c r="C45" s="597"/>
      <c r="D45" s="598"/>
      <c r="E45" s="599"/>
      <c r="F45" s="1223"/>
      <c r="G45" s="243"/>
      <c r="H45" s="579"/>
      <c r="I45" s="581"/>
      <c r="J45" s="1046"/>
      <c r="Q45" s="600">
        <v>0</v>
      </c>
    </row>
    <row r="46" s="9113" customFormat="1" ht="24.75" customHeight="1">
      <c r="A46" s="954"/>
      <c r="B46" s="596"/>
      <c r="C46" s="597"/>
      <c r="D46" s="598"/>
      <c r="E46" s="1335" t="s">
        <v>60</v>
      </c>
      <c r="F46" s="880" t="s">
        <v>19</v>
      </c>
      <c r="G46" s="243"/>
      <c r="H46" s="579"/>
      <c r="I46" s="581"/>
      <c r="J46" s="1046"/>
      <c r="Q46" s="600">
        <v>0</v>
      </c>
    </row>
    <row r="47" s="9138" customFormat="1" ht="24.75" customHeight="1">
      <c r="A47" s="954"/>
      <c r="B47" s="583"/>
      <c r="C47" s="578"/>
      <c r="D47" s="580"/>
      <c r="E47" s="1335" t="s">
        <v>61</v>
      </c>
      <c r="F47" s="880" t="s">
        <v>19</v>
      </c>
      <c r="G47" s="243"/>
      <c r="I47" s="581"/>
      <c r="J47" s="1046"/>
      <c r="Q47" s="579">
        <v>0</v>
      </c>
    </row>
    <row r="48" s="9113" customFormat="1" ht="6" hidden="1" customHeight="1">
      <c r="A48" s="954"/>
      <c r="B48" s="402"/>
      <c r="C48" s="403"/>
      <c r="D48" s="404"/>
      <c r="E48" s="405"/>
      <c r="F48" s="1223"/>
      <c r="G48" s="243"/>
      <c r="H48" s="579"/>
      <c r="I48" s="581"/>
      <c r="J48" s="1046"/>
      <c r="Q48" s="406">
        <v>0</v>
      </c>
    </row>
    <row r="49" ht="29.25" hidden="1" customHeight="1">
      <c r="B49" s="318"/>
      <c r="D49" s="245"/>
      <c r="E49" s="561" t="str">
        <f>"Организация осуществляет подключение (технологическое присоединение) к системе "&amp;TEMPLATE_SPHERE_RUS</f>
        <v xml:space="preserve">Организация осуществляет подключение (технологическое присоединение) к системе теплоснабжения</v>
      </c>
      <c r="F49" s="880"/>
      <c r="G49" s="243"/>
      <c r="Q49" s="244">
        <v>0</v>
      </c>
    </row>
    <row r="50" s="9113" customFormat="1" ht="6" hidden="1" customHeight="1">
      <c r="A50" s="955"/>
      <c r="B50" s="596"/>
      <c r="C50" s="597"/>
      <c r="D50" s="409"/>
      <c r="E50" s="407"/>
      <c r="F50" s="410"/>
      <c r="G50" s="247"/>
      <c r="H50" s="579"/>
      <c r="I50" s="581"/>
      <c r="J50" s="1046"/>
      <c r="Q50" s="600">
        <v>0</v>
      </c>
    </row>
    <row r="51" s="9138" customFormat="1" ht="28.5" hidden="1" customHeight="1">
      <c r="A51" s="956"/>
      <c r="B51" s="583"/>
      <c r="C51" s="700"/>
      <c r="D51" s="701"/>
      <c r="E51" s="561" t="s">
        <v>62</v>
      </c>
      <c r="F51" s="880" t="s">
        <v>19</v>
      </c>
      <c r="G51" s="702"/>
      <c r="I51" s="704"/>
      <c r="J51" s="1048"/>
      <c r="P51" s="705"/>
      <c r="Q51" s="703">
        <v>0</v>
      </c>
    </row>
    <row r="52" s="9113" customFormat="1" ht="6" hidden="1" customHeight="1">
      <c r="A52" s="955"/>
      <c r="B52" s="596"/>
      <c r="C52" s="597"/>
      <c r="D52" s="409"/>
      <c r="E52" s="407"/>
      <c r="F52" s="410"/>
      <c r="G52" s="247"/>
      <c r="H52" s="579"/>
      <c r="I52" s="581"/>
      <c r="J52" s="1044"/>
      <c r="Q52" s="600">
        <v>0</v>
      </c>
    </row>
    <row r="53" s="9138" customFormat="1" ht="27" hidden="1" customHeight="1">
      <c r="A53" s="956"/>
      <c r="B53" s="583"/>
      <c r="C53" s="700"/>
      <c r="D53" s="701"/>
      <c r="E53" s="561" t="s">
        <v>63</v>
      </c>
      <c r="F53" s="1218" t="s">
        <v>19</v>
      </c>
      <c r="G53" s="702"/>
      <c r="I53" s="704"/>
      <c r="J53" s="1048"/>
      <c r="P53" s="705"/>
      <c r="Q53" s="703">
        <v>0</v>
      </c>
    </row>
    <row r="54" s="9138" customFormat="1" ht="27" hidden="1" customHeight="1">
      <c r="A54" s="956"/>
      <c r="B54" s="583"/>
      <c r="C54" s="700"/>
      <c r="D54" s="701"/>
      <c r="E54" s="561" t="s">
        <v>64</v>
      </c>
      <c r="F54" s="1944"/>
      <c r="G54" s="702"/>
      <c r="I54" s="704"/>
      <c r="J54" s="1048"/>
      <c r="P54" s="705"/>
      <c r="Q54" s="703">
        <v>0</v>
      </c>
    </row>
    <row r="55" s="9113" customFormat="1" ht="6" hidden="1" customHeight="1">
      <c r="A55" s="955"/>
      <c r="B55" s="596"/>
      <c r="C55" s="597"/>
      <c r="D55" s="409"/>
      <c r="E55" s="407"/>
      <c r="F55" s="410"/>
      <c r="G55" s="247"/>
      <c r="H55" s="579"/>
      <c r="I55" s="581"/>
      <c r="J55" s="1044"/>
      <c r="Q55" s="600">
        <v>0</v>
      </c>
    </row>
    <row r="56" s="9138" customFormat="1" ht="25.5" hidden="1" customHeight="1">
      <c r="A56" s="956"/>
      <c r="B56" s="583"/>
      <c r="C56" s="700"/>
      <c r="D56" s="701"/>
      <c r="E56" s="561" t="s">
        <v>65</v>
      </c>
      <c r="F56" s="1218" t="s">
        <v>19</v>
      </c>
      <c r="G56" s="702"/>
      <c r="I56" s="704"/>
      <c r="J56" s="1048"/>
      <c r="P56" s="705"/>
      <c r="Q56" s="703">
        <v>0</v>
      </c>
    </row>
    <row r="57" s="9113" customFormat="1" ht="6" hidden="1" customHeight="1">
      <c r="A57" s="955"/>
      <c r="B57" s="596"/>
      <c r="C57" s="597"/>
      <c r="D57" s="409"/>
      <c r="E57" s="407"/>
      <c r="F57" s="410"/>
      <c r="G57" s="247"/>
      <c r="H57" s="579"/>
      <c r="I57" s="581"/>
      <c r="J57" s="1044"/>
      <c r="Q57" s="600">
        <v>0</v>
      </c>
    </row>
    <row r="58" s="9138" customFormat="1" ht="15" hidden="1" customHeight="1">
      <c r="A58" s="956"/>
      <c r="B58" s="583"/>
      <c r="C58" s="700"/>
      <c r="D58" s="701"/>
      <c r="E58" s="561" t="s">
        <v>66</v>
      </c>
      <c r="F58" s="1218" t="s">
        <v>67</v>
      </c>
      <c r="G58" s="702"/>
      <c r="I58" s="704"/>
      <c r="J58" s="1048"/>
      <c r="P58" s="705"/>
      <c r="Q58" s="703">
        <v>0</v>
      </c>
    </row>
    <row r="59" s="9138" customFormat="1" ht="75" hidden="1" customHeight="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 xml:space="preserve">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59"/>
      <c r="G59" s="702"/>
      <c r="I59" s="704"/>
      <c r="J59" s="1048"/>
      <c r="P59" s="705"/>
      <c r="Q59" s="703">
        <v>0</v>
      </c>
    </row>
    <row r="60" s="9138" customFormat="1" ht="15" hidden="1" customHeight="1">
      <c r="A60" s="956"/>
      <c r="B60" s="583"/>
      <c r="C60" s="700"/>
      <c r="D60" s="701"/>
      <c r="E60" s="1335" t="s">
        <v>68</v>
      </c>
      <c r="F60" s="1321"/>
      <c r="G60" s="702"/>
      <c r="I60" s="704"/>
      <c r="J60" s="1048"/>
      <c r="P60" s="705"/>
      <c r="Q60" s="703">
        <v>0</v>
      </c>
    </row>
    <row r="61" s="9113" customFormat="1" ht="6" hidden="1" customHeight="1">
      <c r="A61" s="955"/>
      <c r="B61" s="596"/>
      <c r="C61" s="597"/>
      <c r="D61" s="598"/>
      <c r="E61" s="599"/>
      <c r="F61" s="1223"/>
      <c r="G61" s="243"/>
      <c r="H61" s="579"/>
      <c r="I61" s="581"/>
      <c r="J61" s="1046"/>
      <c r="Q61" s="600">
        <v>0</v>
      </c>
    </row>
    <row r="62" s="9138" customFormat="1" ht="33.75" hidden="1" customHeight="1">
      <c r="A62" s="955"/>
      <c r="B62" s="268"/>
      <c r="C62" s="578"/>
      <c r="D62" s="580"/>
      <c r="E62" s="1335" t="s">
        <v>69</v>
      </c>
      <c r="F62" s="1841" t="s">
        <v>67</v>
      </c>
      <c r="G62" s="243"/>
      <c r="H62" s="943" t="s">
        <v>22</v>
      </c>
      <c r="I62" s="581"/>
      <c r="J62" s="1046"/>
      <c r="Q62" s="579">
        <v>0</v>
      </c>
    </row>
    <row r="63" s="9113" customFormat="1" ht="6.2999999999999998" customHeight="1">
      <c r="A63" s="955"/>
      <c r="B63" s="402"/>
      <c r="C63" s="403"/>
      <c r="D63" s="409"/>
      <c r="E63" s="407"/>
      <c r="F63" s="410"/>
      <c r="G63" s="247"/>
      <c r="H63" s="579"/>
      <c r="I63" s="581"/>
      <c r="J63" s="1044"/>
      <c r="Q63" s="406">
        <v>6</v>
      </c>
    </row>
    <row r="64" ht="21" customHeight="1">
      <c r="A64" s="957"/>
      <c r="B64" s="269"/>
      <c r="D64" s="252"/>
      <c r="E64" s="561" t="s">
        <v>70</v>
      </c>
      <c r="F64" s="386" t="s">
        <v>71</v>
      </c>
      <c r="G64" s="247"/>
      <c r="Q64" s="244">
        <v>20</v>
      </c>
    </row>
    <row r="65" ht="21" customHeight="1">
      <c r="A65" s="957"/>
      <c r="B65" s="269"/>
      <c r="D65" s="252"/>
      <c r="E65" s="561" t="s">
        <v>72</v>
      </c>
      <c r="F65" s="386" t="s">
        <v>73</v>
      </c>
      <c r="G65" s="247"/>
      <c r="Q65" s="244">
        <v>20</v>
      </c>
    </row>
    <row r="66" ht="36.75" customHeight="1">
      <c r="D66" s="245"/>
      <c r="E66" s="563" t="s">
        <v>74</v>
      </c>
      <c r="F66" s="1224"/>
      <c r="G66" s="243"/>
      <c r="Q66" s="244">
        <v>35</v>
      </c>
    </row>
    <row r="67" ht="21" customHeight="1">
      <c r="A67" s="957"/>
      <c r="D67" s="580"/>
      <c r="E67" s="561" t="s">
        <v>75</v>
      </c>
      <c r="F67" s="441" t="s">
        <v>76</v>
      </c>
      <c r="G67" s="247"/>
      <c r="Q67" s="244">
        <v>20</v>
      </c>
    </row>
    <row r="68" ht="21" customHeight="1">
      <c r="A68" s="957"/>
      <c r="B68" s="269"/>
      <c r="D68" s="252"/>
      <c r="E68" s="561" t="s">
        <v>77</v>
      </c>
      <c r="F68" s="441" t="s">
        <v>78</v>
      </c>
      <c r="G68" s="247"/>
      <c r="Q68" s="244">
        <v>20</v>
      </c>
    </row>
    <row r="69" ht="21" customHeight="1">
      <c r="A69" s="957"/>
      <c r="B69" s="269"/>
      <c r="D69" s="252"/>
      <c r="E69" s="561" t="s">
        <v>79</v>
      </c>
      <c r="F69" s="441" t="s">
        <v>80</v>
      </c>
      <c r="G69" s="247"/>
      <c r="Q69" s="244">
        <v>20</v>
      </c>
    </row>
    <row r="70" ht="21" customHeight="1">
      <c r="D70" s="580"/>
      <c r="E70" s="561" t="s">
        <v>81</v>
      </c>
      <c r="F70" s="441" t="s">
        <v>82</v>
      </c>
      <c r="G70" s="243"/>
      <c r="Q70" s="244">
        <v>20</v>
      </c>
    </row>
    <row r="71" ht="21" customHeight="1">
      <c r="A71" s="957"/>
      <c r="D71" s="243"/>
      <c r="F71" s="303"/>
      <c r="G71" s="247"/>
      <c r="Q71" s="244">
        <v>20</v>
      </c>
    </row>
    <row r="72" ht="21" customHeight="1">
      <c r="A72" s="957"/>
      <c r="B72" s="269"/>
      <c r="D72" s="252"/>
      <c r="E72" s="251"/>
      <c r="F72" s="1203" t="s">
        <v>13</v>
      </c>
      <c r="G72" s="247"/>
      <c r="Q72" s="244">
        <v>20</v>
      </c>
    </row>
    <row r="73" ht="21" customHeight="1">
      <c r="A73" s="957"/>
      <c r="B73" s="269"/>
      <c r="D73" s="252"/>
      <c r="E73" s="251"/>
      <c r="F73" s="304"/>
      <c r="G73" s="247"/>
      <c r="Q73" s="244">
        <v>20</v>
      </c>
    </row>
    <row r="74" ht="21" customHeight="1">
      <c r="A74" s="957"/>
      <c r="B74" s="269"/>
      <c r="D74" s="252"/>
      <c r="E74" s="256"/>
      <c r="F74" s="304"/>
      <c r="G74" s="247"/>
      <c r="Q74" s="244">
        <v>20</v>
      </c>
    </row>
    <row r="75" ht="21" customHeight="1">
      <c r="A75" s="957"/>
      <c r="B75" s="269"/>
      <c r="D75" s="252"/>
      <c r="E75" s="251"/>
      <c r="F75" s="304"/>
      <c r="G75" s="247"/>
      <c r="Q75" s="244">
        <v>20</v>
      </c>
    </row>
    <row r="76" ht="11.5" customHeight="1">
      <c r="Q76" s="244">
        <v>11</v>
      </c>
    </row>
    <row r="77" ht="11.5" customHeight="1">
      <c r="Q77" s="244">
        <v>11</v>
      </c>
    </row>
    <row r="78" ht="11.5" customHeight="1">
      <c r="E78" s="560"/>
      <c r="F78" s="560"/>
      <c r="G78" s="560"/>
      <c r="H78" s="560"/>
      <c r="I78" s="560"/>
      <c r="Q78" s="244">
        <v>11</v>
      </c>
    </row>
    <row r="79" ht="11.25" hidden="1" customHeight="1">
      <c r="A79" s="954" t="s">
        <v>83</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autoFilter="0" deleteColumns="1" deleteRows="1" formatColumns="0" formatRows="0" insertColumns="1" insertRows="1" sheet="1" sort="1"/>
  <mergeCells count="3">
    <mergeCell ref="E5:F5"/>
    <mergeCell ref="J18:J19"/>
    <mergeCell ref="A11:A12"/>
  </mergeCells>
  <dataValidations count="4">
    <dataValidation sqref="F26 F21 F18:F19 F11:F13"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F49 F53 F56 F58 F51 F39:F41 F43 F45:F47 F62 F10" allowBlank="1" prompt="Для выбора выполните двойной щелчок левой клавиши мыши по соответствующей ячейке." showErrorMessage="1" showInputMessage="1"/>
    <dataValidation sqref="F54" allowBlank="1" prompt="Выберите значение из календаря (иконка справа от выбранной ячейки), либо введите дату непосредственно в ячейку в формате - 'ДД.ММ.ГГГГ'" showErrorMessage="1" showInputMessage="1"/>
    <dataValidation sqref="F31" allowBlank="1" prompt="Выбор организации двойным щелчком левой клавиши мыши" showErrorMessage="1" showInputMessage="1"/>
  </dataValidations>
  <hyperlinks>
    <hyperlink display="Как заполнить?" location="Титульный!H9" ref="H11" tooltip="Помощь по работе с полями отчётной формы"/>
    <hyperlink display="Как заполнить?" location="Титульный!H9" ref="H17" tooltip="Помощь по работе с полями отчётной формы"/>
    <hyperlink display="Как заполнить?" location="Титульный!H9" ref="H39" tooltip="Помощь по работе с полями отчётной формы"/>
    <hyperlink display="Как заполнить?" location="Титульный!H9" ref="H62" tooltip="Помощь по работе с полями отчётной формы"/>
  </hyperlinks>
  <pageMargins left="0.75" right="0.75" top="1" bottom="1" header="0.5" footer="0.5"/>
  <pageSetup paperSize="8" pageOrder="downThenOver" orientation="portrait"/>
  <headerFooter>
    <oddHeader>&amp;L&amp;C&amp;R</oddHeader>
    <oddFooter>&amp;L&amp;C&amp;R</oddFooter>
    <evenHeader>&amp;L&amp;C&amp;R</evenHeader>
    <evenFooter>&amp;L&amp;C&amp;R</evenFooter>
  </headerFooter>
  <drawing r:id="rId2"/>
  <legacyDrawing r:id="rId3"/>
  <extLst>
    <ext xmlns:x14="http://schemas.microsoft.com/office/spreadsheetml/2009/9/main" uri="{CCE6A557-97BC-4b89-ADB6-D9C93CAAB3DF}">
      <x14:dataValidations xmlns:xm="http://schemas.microsoft.com/office/excel/2006/main" count="9">
        <x14:dataValidation xr:uid="{000D00C7-0012-4ABC-8982-004400F0000D}" type="textLength" allowBlank="1" error="Допускается ввод не более 900 символов!" errorTitle="Ошибка" operator="lessThanOrEqual" showErrorMessage="1" showInputMessage="1">
          <x14:formula1>
            <xm:f>900</xm:f>
          </x14:formula1>
          <xm:sqref>F72:F75 F64:F65 F67:F70 F22:F24 F27:F29 F32</xm:sqref>
        </x14:dataValidation>
        <x14:dataValidation xr:uid="{000900EC-0078-48B4-8B6C-006300E800B8}" type="list" allowBlank="1" error="Выберите значение из списка" errorTitle="Ошибка" prompt="Выберите значение из списка" showErrorMessage="1" showInputMessage="1">
          <x14:formula1>
            <xm:f>kind_of_NDS</xm:f>
          </x14:formula1>
          <xm:sqref>F61 F38</xm:sqref>
        </x14:dataValidation>
        <x14:dataValidation xr:uid="{0078007E-00A2-4DBE-83C7-00E7007100F1}" type="list" allowBlank="1" error="Выберите значение из списка" errorTitle="Ошибка" prompt="Выберите значение из списка" showErrorMessage="1" showInputMessage="1">
          <x14:formula1>
            <xm:f>kind_of_data_type</xm:f>
          </x14:formula1>
          <xm:sqref>F17</xm:sqref>
        </x14:dataValidation>
        <x14:dataValidation xr:uid="{009E00A9-0016-4191-A701-007A00820016}" type="list" allowBlank="1" error="Выберите значение из списка" errorTitle="Ошибка" prompt="Выберите значение из списка" showErrorMessage="1" showInputMessage="1">
          <x14:formula1>
            <xm:f>kind_of_org_type</xm:f>
          </x14:formula1>
          <xm:sqref>F36</xm:sqref>
        </x14:dataValidation>
        <x14:dataValidation xr:uid="{00B800D0-0037-4300-BC1A-007000EE0006}" type="list" allowBlank="1" error="Выберите значение из списка" errorTitle="Ошибка" prompt="Выберите значение из списка" showErrorMessage="1" showInputMessage="1">
          <x14:formula1>
            <xm:f>year_list</xm:f>
          </x14:formula1>
          <xm:sqref>F14</xm:sqref>
        </x14:dataValidation>
        <x14:dataValidation xr:uid="{009D00DC-0023-4CAC-8202-00370034001F}" type="list" allowBlank="1" error="Выберите значение из списка" errorTitle="Ошибка" prompt="Выберите значение из списка" showErrorMessage="1" showInputMessage="1">
          <x14:formula1>
            <xm:f>QUARTER</xm:f>
          </x14:formula1>
          <xm:sqref>F15</xm:sqref>
        </x14:dataValidation>
        <x14:dataValidation xr:uid="{007B00CC-00B5-4F65-8849-003700C30095}" type="list" allowBlank="1" error="Выберите значение из списка" errorTitle="Ошибка" prompt="Выберите значение из списка" showErrorMessage="1" showInputMessage="1">
          <x14:formula1>
            <xm:f>TITLE_IP_DETAILED_METHOD_LIST</xm:f>
          </x14:formula1>
          <xm:sqref>F60</xm:sqref>
        </x14:dataValidation>
        <x14:dataValidation xr:uid="{00630067-002C-4A5D-B3F2-008200460037}" type="list" allowBlank="1" error="Выберите значение из списка" errorTitle="Ошибка" prompt="Выберите значение из списка" showErrorMessage="1" showInputMessage="1">
          <x14:formula1>
            <xm:f>ROIV_INFO_LIST</xm:f>
          </x14:formula1>
          <xm:sqref>F9</xm:sqref>
        </x14:dataValidation>
        <x14:dataValidation xr:uid="{002D00D2-00F7-4D0E-B0FE-002600D7001A}" type="list" allowBlank="1" error="Выберите значение из списка" errorTitle="Ошибка" prompt="Выберите значение из списка:&#10;ОСН - Общая система налогообложения&#10;УСН - Упрощённая система налогообложения&#10;ЕСХН - Единый сельскохозяйственный налог&#10;ПСН - Патентная система налогообложения&#10;НПД - Налог на профессиональный доход" showErrorMessage="1" showInputMessage="1">
          <x14:formula1>
            <xm:f>kind_of_NDS</xm:f>
          </x14:formula1>
          <xm:sqref>F37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defaultRowHeight="14.25" customHeight="1"/>
  <cols>
    <col customWidth="1" hidden="1" min="1" max="1" style="9138" width="8.00390625"/>
    <col customWidth="1" hidden="1" min="2" max="2" style="9217" width="6.00390625"/>
    <col customWidth="1" min="3" max="3" style="9138" width="3.00390625"/>
    <col customWidth="1" min="4" max="4" style="9306" width="3.00390625"/>
    <col customWidth="1" min="5" max="5" style="9138" width="6.00390625"/>
    <col customWidth="1" hidden="1" min="6" max="6" style="9138" width="2.7109375"/>
    <col customWidth="1" min="7" max="7" style="9138" width="46.7109375"/>
    <col customWidth="1" min="8" max="8" style="9138" width="42.00390625"/>
    <col customWidth="1" min="9" max="9" style="9138" width="14.00390625"/>
    <col customWidth="1" min="10" max="10" style="9307" width="3.00390625"/>
    <col hidden="1" min="11" max="13" style="9307" width="9.140625"/>
    <col customWidth="1" hidden="1" min="14" max="14" style="9307" width="25.7109375"/>
    <col customWidth="1" hidden="1" min="15" max="15" style="9307" width="14.421875"/>
    <col hidden="1" min="16" max="19" style="9308" width="9.140625"/>
    <col hidden="1" min="20" max="27" style="9138" width="9.140625"/>
    <col customWidth="1" min="28" max="28" style="9138" width="8.00390625"/>
    <col hidden="1" min="29" max="29" style="9138" width="9.140625"/>
  </cols>
  <sheetData>
    <row r="1" s="9218" customFormat="1" ht="5.25" hidden="1" customHeight="1">
      <c r="A1" s="666"/>
      <c r="B1" s="681"/>
      <c r="C1" s="681"/>
      <c r="D1" s="391"/>
      <c r="F1" s="681"/>
      <c r="G1" s="417" t="s">
        <v>84</v>
      </c>
      <c r="H1" s="664" t="s">
        <v>85</v>
      </c>
      <c r="I1" s="397" t="s">
        <v>86</v>
      </c>
      <c r="J1" s="417" t="s">
        <v>84</v>
      </c>
      <c r="K1" s="417"/>
      <c r="L1" s="417"/>
      <c r="M1" s="417"/>
      <c r="N1" s="418"/>
      <c r="O1" s="417"/>
      <c r="P1" s="417"/>
      <c r="Q1" s="417"/>
      <c r="R1" s="417"/>
      <c r="S1" s="417"/>
      <c r="T1" s="397"/>
      <c r="U1" s="397"/>
      <c r="V1" s="397"/>
      <c r="W1" s="397"/>
      <c r="X1" s="397"/>
      <c r="Y1" s="397"/>
      <c r="Z1" s="397"/>
      <c r="AA1" s="397"/>
      <c r="AB1" s="397"/>
      <c r="AC1" s="322" t="s">
        <v>14</v>
      </c>
    </row>
    <row r="2" s="9227" customFormat="1" ht="11.25" customHeight="1">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r="3" s="9233" customFormat="1" ht="3" customHeight="1">
      <c r="A3" s="928"/>
      <c r="B3" s="587"/>
      <c r="C3" s="928"/>
      <c r="D3" s="334"/>
      <c r="E3" s="273"/>
      <c r="F3" s="679"/>
      <c r="G3" s="273"/>
      <c r="H3" s="273"/>
      <c r="I3" s="336"/>
      <c r="J3" s="417"/>
      <c r="K3" s="325"/>
      <c r="L3" s="325"/>
      <c r="M3" s="325"/>
      <c r="N3" s="396"/>
      <c r="O3" s="325"/>
      <c r="P3" s="395"/>
      <c r="Q3" s="395"/>
      <c r="R3" s="395"/>
      <c r="S3" s="395"/>
      <c r="AC3" s="286">
        <v>3</v>
      </c>
    </row>
    <row r="4" s="9233" customFormat="1" ht="27.300000000000001" customHeight="1">
      <c r="A4" s="928"/>
      <c r="B4" s="587"/>
      <c r="C4" s="928"/>
      <c r="D4" s="334"/>
      <c r="E4" s="2270" t="str">
        <f>NameTemplatesInListMO</f>
        <v xml:space="preserve">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r="5" s="9233" customFormat="1" ht="3" customHeight="1">
      <c r="A5" s="928"/>
      <c r="B5" s="587"/>
      <c r="C5" s="928"/>
      <c r="D5" s="334"/>
      <c r="E5" s="273"/>
      <c r="F5" s="679"/>
      <c r="G5" s="337"/>
      <c r="H5" s="337"/>
      <c r="I5" s="338"/>
      <c r="J5" s="325"/>
      <c r="K5" s="325"/>
      <c r="L5" s="325"/>
      <c r="M5" s="325"/>
      <c r="N5" s="396"/>
      <c r="O5" s="325"/>
      <c r="P5" s="395"/>
      <c r="Q5" s="395"/>
      <c r="R5" s="395"/>
      <c r="S5" s="395"/>
      <c r="AC5" s="286">
        <v>3</v>
      </c>
    </row>
    <row r="6" s="9233" customFormat="1" ht="20.25" hidden="1" customHeight="1">
      <c r="A6" s="1007"/>
      <c r="B6" s="1003"/>
      <c r="C6" s="339"/>
      <c r="D6" s="334"/>
      <c r="E6" s="949"/>
      <c r="F6" s="949"/>
      <c r="G6" s="337"/>
      <c r="H6" s="340"/>
      <c r="I6" s="340"/>
      <c r="J6" s="325"/>
      <c r="K6" s="325"/>
      <c r="L6" s="325"/>
      <c r="M6" s="325"/>
      <c r="N6" s="396"/>
      <c r="O6" s="325"/>
      <c r="P6" s="395"/>
      <c r="Q6" s="395"/>
      <c r="R6" s="395"/>
      <c r="S6" s="395"/>
      <c r="AC6" s="286">
        <v>0</v>
      </c>
    </row>
    <row r="7" ht="25.5" hidden="1" customHeight="1">
      <c r="AC7" s="253">
        <v>0</v>
      </c>
    </row>
    <row r="8" s="9233" customFormat="1" ht="14.65" customHeight="1">
      <c r="A8" s="928"/>
      <c r="B8" s="587"/>
      <c r="C8" s="928"/>
      <c r="D8" s="334"/>
      <c r="E8" s="2271" t="s">
        <v>87</v>
      </c>
      <c r="F8" s="2272"/>
      <c r="G8" s="2273"/>
      <c r="H8" s="2274" t="s">
        <v>88</v>
      </c>
      <c r="I8" s="2274"/>
      <c r="J8" s="325"/>
      <c r="K8" s="325"/>
      <c r="L8" s="325"/>
      <c r="M8" s="325"/>
      <c r="N8" s="396"/>
      <c r="O8" s="325"/>
      <c r="P8" s="395"/>
      <c r="Q8" s="395"/>
      <c r="R8" s="395"/>
      <c r="S8" s="395"/>
      <c r="AC8" s="286">
        <v>14</v>
      </c>
    </row>
    <row r="9" s="9233" customFormat="1" ht="21" customHeight="1">
      <c r="A9" s="928"/>
      <c r="B9" s="587"/>
      <c r="C9" s="928"/>
      <c r="D9" s="334"/>
      <c r="E9" s="947" t="s">
        <v>89</v>
      </c>
      <c r="F9" s="947"/>
      <c r="G9" s="342" t="s">
        <v>90</v>
      </c>
      <c r="H9" s="342" t="s">
        <v>90</v>
      </c>
      <c r="I9" s="342" t="s">
        <v>86</v>
      </c>
      <c r="J9" s="325"/>
      <c r="K9" s="325"/>
      <c r="L9" s="325"/>
      <c r="M9" s="325"/>
      <c r="N9" s="396"/>
      <c r="O9" s="325"/>
      <c r="P9" s="395"/>
      <c r="Q9" s="395"/>
      <c r="R9" s="395"/>
      <c r="S9" s="395"/>
      <c r="AC9" s="286">
        <v>20</v>
      </c>
    </row>
    <row r="10" ht="11.5" customHeight="1">
      <c r="D10" s="346"/>
      <c r="E10" s="948" t="s">
        <v>91</v>
      </c>
      <c r="F10" s="948"/>
      <c r="G10" s="393" t="s">
        <v>92</v>
      </c>
      <c r="H10" s="393" t="s">
        <v>93</v>
      </c>
      <c r="I10" s="393" t="s">
        <v>94</v>
      </c>
      <c r="J10" s="356"/>
      <c r="K10" s="356"/>
      <c r="L10" s="356"/>
      <c r="M10" s="356"/>
      <c r="N10" s="341"/>
      <c r="O10" s="356"/>
      <c r="P10" s="394"/>
      <c r="Q10" s="394"/>
      <c r="R10" s="394"/>
      <c r="S10" s="394"/>
      <c r="AC10" s="253">
        <v>11</v>
      </c>
    </row>
    <row r="11" s="9233" customFormat="1" ht="1.05" customHeight="1">
      <c r="A11" s="928"/>
      <c r="B11" s="587"/>
      <c r="C11" s="928"/>
      <c r="D11" s="334"/>
      <c r="E11" s="960"/>
      <c r="F11" s="960"/>
      <c r="G11" s="343"/>
      <c r="H11" s="343"/>
      <c r="I11" s="345"/>
      <c r="J11" s="419" t="s">
        <v>95</v>
      </c>
      <c r="K11" s="325"/>
      <c r="L11" s="325"/>
      <c r="M11" s="325" t="s">
        <v>96</v>
      </c>
      <c r="N11" s="396" t="s">
        <v>97</v>
      </c>
      <c r="O11" s="325" t="s">
        <v>98</v>
      </c>
      <c r="P11" s="395"/>
      <c r="Q11" s="395"/>
      <c r="R11" s="395"/>
      <c r="S11" s="395"/>
      <c r="AC11" s="286">
        <v>1</v>
      </c>
    </row>
    <row r="12" s="9233" customFormat="1" ht="15" customHeight="1">
      <c r="A12" s="2269">
        <v>1</v>
      </c>
      <c r="B12" s="587"/>
      <c r="C12" s="928"/>
      <c r="D12" s="952"/>
      <c r="E12" s="389">
        <f>A12</f>
        <v>1</v>
      </c>
      <c r="F12" s="972" t="s">
        <v>99</v>
      </c>
      <c r="G12" s="710" t="str">
        <f>"Территория "&amp;E12</f>
        <v xml:space="preserve">Территория 1</v>
      </c>
      <c r="H12" s="962"/>
      <c r="I12" s="962"/>
      <c r="J12" s="959"/>
      <c r="K12" s="670"/>
      <c r="L12" s="670"/>
      <c r="M12" s="670"/>
      <c r="N12" s="396"/>
      <c r="O12" s="670"/>
      <c r="P12" s="395"/>
      <c r="Q12" s="395"/>
      <c r="R12" s="395"/>
      <c r="S12" s="395"/>
      <c r="AC12" s="677">
        <v>14</v>
      </c>
    </row>
    <row r="13" s="9278" customFormat="1" ht="15.75" customHeight="1">
      <c r="A13" s="2269"/>
      <c r="B13" s="587">
        <v>1</v>
      </c>
      <c r="C13" s="587"/>
      <c r="D13" s="970"/>
      <c r="E13" s="950" t="str">
        <f>A12&amp;"."&amp;B13</f>
        <v>1.1</v>
      </c>
      <c r="F13" s="965" t="s">
        <v>100</v>
      </c>
      <c r="G13" s="963" t="s">
        <v>101</v>
      </c>
      <c r="H13" s="963" t="s">
        <v>101</v>
      </c>
      <c r="I13" s="961" t="s">
        <v>102</v>
      </c>
      <c r="J13" s="670">
        <f>MERGEVALUE(G13)</f>
      </c>
      <c r="K13" s="681"/>
      <c r="L13" s="681"/>
      <c r="M13" s="670" t="str">
        <f t="array" ref="M13:M13">IF(ISERROR(MATCH(MID(N13,1,250),MID(note_ter,1,250),0)),"n","y")</f>
        <v>n</v>
      </c>
      <c r="N13" s="681"/>
      <c r="O13" s="670" t="str">
        <f>H13&amp;"("&amp;I13&amp;")"</f>
        <v xml:space="preserve">Город Биробиджан(99701000)</v>
      </c>
      <c r="P13" s="587"/>
      <c r="Q13" s="587"/>
      <c r="R13" s="590"/>
      <c r="S13" s="587"/>
      <c r="T13" s="587"/>
      <c r="U13" s="587"/>
      <c r="V13" s="592"/>
      <c r="W13" s="592"/>
      <c r="X13" s="589"/>
      <c r="Y13" s="589"/>
      <c r="Z13" s="589"/>
      <c r="AA13" s="589"/>
      <c r="AB13" s="589"/>
      <c r="AC13" s="593">
        <v>15</v>
      </c>
    </row>
    <row r="14" s="9278" customFormat="1" ht="15.75" customHeight="1">
      <c r="A14" s="2269"/>
      <c r="B14" s="587"/>
      <c r="C14" s="582"/>
      <c r="D14" s="971"/>
      <c r="E14" s="591"/>
      <c r="F14" s="347"/>
      <c r="G14" s="585" t="s">
        <v>103</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r="15" s="9233" customFormat="1" ht="14.65" customHeight="1">
      <c r="A15" s="928"/>
      <c r="B15" s="587"/>
      <c r="C15" s="928"/>
      <c r="D15" s="952"/>
      <c r="E15" s="964"/>
      <c r="F15" s="348"/>
      <c r="G15" s="586" t="s">
        <v>104</v>
      </c>
      <c r="H15" s="348"/>
      <c r="I15" s="349"/>
      <c r="J15" s="419"/>
      <c r="K15" s="325"/>
      <c r="L15" s="325"/>
      <c r="M15" s="325"/>
      <c r="N15" s="396" t="s">
        <v>105</v>
      </c>
      <c r="O15" s="325"/>
      <c r="P15" s="395"/>
      <c r="Q15" s="395"/>
      <c r="R15" s="395"/>
      <c r="S15" s="395"/>
      <c r="AC15" s="286">
        <v>14</v>
      </c>
    </row>
    <row r="16" s="9233" customFormat="1" ht="22" customHeight="1">
      <c r="A16" s="928"/>
      <c r="B16" s="587"/>
      <c r="C16" s="928"/>
      <c r="D16" s="335"/>
      <c r="E16" s="350"/>
      <c r="F16" s="350"/>
      <c r="G16" s="350"/>
      <c r="H16" s="350"/>
      <c r="I16" s="350"/>
      <c r="J16" s="325"/>
      <c r="K16" s="325"/>
      <c r="L16" s="325"/>
      <c r="M16" s="325"/>
      <c r="N16" s="396"/>
      <c r="O16" s="325"/>
      <c r="P16" s="395"/>
      <c r="Q16" s="395"/>
      <c r="R16" s="395"/>
      <c r="S16" s="395"/>
      <c r="AC16" s="286">
        <v>21</v>
      </c>
    </row>
    <row r="17" s="9233" customFormat="1" ht="14.65" customHeight="1">
      <c r="A17" s="928"/>
      <c r="B17" s="587"/>
      <c r="C17" s="928"/>
      <c r="D17" s="335"/>
      <c r="E17" s="253"/>
      <c r="F17" s="928"/>
      <c r="G17" s="253"/>
      <c r="H17" s="253"/>
      <c r="I17" s="253"/>
      <c r="J17" s="325"/>
      <c r="K17" s="325"/>
      <c r="L17" s="325"/>
      <c r="M17" s="325"/>
      <c r="N17" s="396"/>
      <c r="O17" s="325"/>
      <c r="P17" s="395"/>
      <c r="Q17" s="395"/>
      <c r="R17" s="395"/>
      <c r="S17" s="395"/>
      <c r="AC17" s="286">
        <v>14</v>
      </c>
    </row>
    <row r="18" s="9233" customFormat="1" ht="1.05" customHeight="1">
      <c r="A18" s="928"/>
      <c r="B18" s="587"/>
      <c r="C18" s="928"/>
      <c r="D18" s="335"/>
      <c r="E18" s="253"/>
      <c r="F18" s="928"/>
      <c r="G18" s="253"/>
      <c r="H18" s="253"/>
      <c r="I18" s="253"/>
      <c r="J18" s="325"/>
      <c r="K18" s="325"/>
      <c r="L18" s="325"/>
      <c r="M18" s="325"/>
      <c r="N18" s="396"/>
      <c r="O18" s="325"/>
      <c r="P18" s="395"/>
      <c r="Q18" s="395"/>
      <c r="R18" s="395"/>
      <c r="S18" s="395"/>
      <c r="AC18" s="286">
        <v>1</v>
      </c>
    </row>
    <row r="19" s="9301" customFormat="1" ht="10.5" customHeight="1">
      <c r="B19" s="1004"/>
      <c r="D19" s="352"/>
      <c r="J19" s="325"/>
      <c r="K19" s="325"/>
      <c r="L19" s="325"/>
      <c r="M19" s="325"/>
      <c r="N19" s="396"/>
      <c r="O19" s="325"/>
      <c r="P19" s="395"/>
      <c r="Q19" s="395"/>
      <c r="R19" s="395"/>
      <c r="S19" s="395"/>
      <c r="AC19" s="351">
        <v>10</v>
      </c>
    </row>
    <row r="20" s="9301" customFormat="1" ht="10.5" customHeight="1">
      <c r="B20" s="1004"/>
      <c r="D20" s="352"/>
      <c r="J20" s="325"/>
      <c r="K20" s="325"/>
      <c r="L20" s="325"/>
      <c r="M20" s="325"/>
      <c r="N20" s="396"/>
      <c r="O20" s="325"/>
      <c r="P20" s="395"/>
      <c r="Q20" s="395"/>
      <c r="R20" s="395"/>
      <c r="S20" s="395"/>
      <c r="AC20" s="351">
        <v>10</v>
      </c>
    </row>
    <row r="21" ht="14.65" customHeight="1">
      <c r="AC21" s="253">
        <v>14</v>
      </c>
    </row>
    <row r="22" ht="14.65" customHeight="1">
      <c r="AC22" s="253">
        <v>14</v>
      </c>
    </row>
    <row r="23" ht="14.65" customHeight="1">
      <c r="AC23" s="253">
        <v>14</v>
      </c>
    </row>
    <row r="24" ht="14.65" customHeight="1">
      <c r="H24" s="232"/>
      <c r="AC24" s="253">
        <v>14</v>
      </c>
    </row>
    <row r="25" ht="14.65" customHeight="1">
      <c r="AC25" s="253">
        <v>14</v>
      </c>
    </row>
    <row r="26" ht="14.65" customHeight="1">
      <c r="AC26" s="253">
        <v>14</v>
      </c>
    </row>
    <row r="27" ht="14.65" customHeight="1">
      <c r="AC27" s="253">
        <v>14</v>
      </c>
    </row>
    <row r="28" ht="14.65" customHeight="1">
      <c r="J28" s="253"/>
      <c r="K28" s="253"/>
      <c r="L28" s="253"/>
      <c r="AC28" s="253">
        <v>14</v>
      </c>
    </row>
    <row r="29" ht="22.5" hidden="1" customHeight="1">
      <c r="A29" s="928" t="s">
        <v>83</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autoFilter="0" deleteColumns="1" deleteRows="1" formatColumns="0" formatRows="0" insertColumns="1" insertRows="1" sheet="1" sort="1"/>
  <mergeCells count="4">
    <mergeCell ref="A12:A14"/>
    <mergeCell ref="E4:I4"/>
    <mergeCell ref="E8:G8"/>
    <mergeCell ref="H8:I8"/>
  </mergeCells>
  <pageMargins left="0" right="0" top="0" bottom="0" header="0" footer="0.79000000000000004"/>
  <pageSetup paperSize="9" scale="93" fitToHeight="0" pageOrder="downThenOver" orientation="portrait" blackAndWhite="1"/>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1">
        <x14:dataValidation xr:uid="{00C20074-00DC-4E2D-8E71-00000009002B}" type="textLength" allowBlank="1" error="Допускается ввод не более 900 символов!" errorTitle="Ошибка" operator="lessThanOrEqual" showErrorMessage="1" showInputMessage="1">
          <x14:formula1>
            <xm:f>900</xm:f>
          </x14:formula1>
          <xm:sqref>G12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defaultRowHeight="11.25" customHeight="1"/>
  <cols>
    <col customWidth="1" hidden="1" min="1" max="1" style="9344" width="6.421875"/>
    <col customWidth="1" hidden="1" min="2" max="2" style="9344" width="2.00390625"/>
    <col customWidth="1" min="3" max="3" style="9344" width="3.00390625"/>
    <col customWidth="1" min="4" max="4" style="9344" width="4.00390625"/>
    <col customWidth="1" min="5" max="5" style="9344" width="44.00390625"/>
    <col customWidth="1" min="6" max="6" style="9344" width="6.421875"/>
    <col customWidth="1" min="7" max="7" style="9344" width="4.00390625"/>
    <col customWidth="1" min="8" max="8" style="9344" width="5.00390625"/>
    <col customWidth="1" min="9" max="9" style="9344" width="52.00390625"/>
    <col customWidth="1" min="10" max="10" style="9344" width="7.00390625"/>
    <col customWidth="1" min="11" max="11" style="9344" width="3.00390625"/>
    <col customWidth="1" min="12" max="12" style="9344" width="6.00390625"/>
    <col customWidth="1" min="13" max="13" style="9344" width="56.00390625"/>
    <col customWidth="1" min="14" max="14" style="9395" width="8.00390625"/>
    <col hidden="1" min="15" max="20" style="9307" width="9.140625"/>
    <col hidden="1" min="21" max="24" style="9396" width="9.140625"/>
    <col hidden="1" min="25" max="37" style="9395" width="9.140625"/>
    <col customWidth="1" min="38" max="38" style="9395" width="8.00390625"/>
    <col hidden="1" min="39" max="39" style="9344" width="9.140625"/>
  </cols>
  <sheetData>
    <row r="1" ht="11.25" hidden="1" customHeight="1">
      <c r="AM1" s="753" t="s">
        <v>14</v>
      </c>
    </row>
    <row r="2" ht="11.25" hidden="1" customHeight="1">
      <c r="AM2" s="753">
        <v>0</v>
      </c>
    </row>
    <row r="3" ht="11.5" customHeight="1">
      <c r="AM3" s="753">
        <v>11</v>
      </c>
    </row>
    <row r="4" ht="35.649999999999999" customHeight="1">
      <c r="A4" s="755"/>
      <c r="B4" s="755"/>
      <c r="D4" s="2289" t="str">
        <f>Титульный!E5</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90"/>
      <c r="F4" s="2290"/>
      <c r="G4" s="2290"/>
      <c r="H4" s="2290"/>
      <c r="I4" s="2291"/>
      <c r="J4" s="754"/>
      <c r="K4" s="754"/>
      <c r="L4" s="754"/>
      <c r="M4" s="754"/>
      <c r="AM4" s="753">
        <v>34</v>
      </c>
    </row>
    <row r="5" s="9315" customFormat="1" ht="14.65" customHeight="1">
      <c r="A5" s="755"/>
      <c r="B5" s="755"/>
      <c r="C5" s="755"/>
      <c r="D5" s="2292" t="str">
        <f>IF(org=0,"Не определено",org)</f>
        <v xml:space="preserve">АО "ДГК" СП "Биробиджанская ТЭЦ"</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r="6" s="9315" customFormat="1" ht="6.2999999999999998" customHeight="1">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r="7" ht="45.75" hidden="1" customHeight="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 xml:space="preserve">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r="8" s="9315" customFormat="1" ht="6.2999999999999998" customHeight="1">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r="9" ht="18.75" customHeight="1">
      <c r="A9" s="2296"/>
      <c r="B9" s="493"/>
      <c r="C9" s="493"/>
      <c r="D9" s="2297" t="s">
        <v>106</v>
      </c>
      <c r="E9" s="2297"/>
      <c r="F9" s="2298" t="s">
        <v>107</v>
      </c>
      <c r="G9" s="2299"/>
      <c r="H9" s="2299"/>
      <c r="I9" s="2299"/>
      <c r="J9" s="2302" t="s">
        <v>108</v>
      </c>
      <c r="K9" s="2302"/>
      <c r="L9" s="2302"/>
      <c r="M9" s="2302"/>
      <c r="AM9" s="753">
        <v>18</v>
      </c>
    </row>
    <row r="10" ht="24" customHeight="1">
      <c r="A10" s="2296"/>
      <c r="B10" s="762"/>
      <c r="C10" s="695"/>
      <c r="D10" s="693" t="s">
        <v>89</v>
      </c>
      <c r="E10" s="693" t="s">
        <v>90</v>
      </c>
      <c r="F10" s="693" t="s">
        <v>109</v>
      </c>
      <c r="G10" s="2303" t="s">
        <v>89</v>
      </c>
      <c r="H10" s="2304"/>
      <c r="I10" s="693" t="s">
        <v>90</v>
      </c>
      <c r="J10" s="693" t="s">
        <v>109</v>
      </c>
      <c r="K10" s="2303" t="s">
        <v>89</v>
      </c>
      <c r="L10" s="2304"/>
      <c r="M10" s="693" t="s">
        <v>90</v>
      </c>
      <c r="N10" s="1797"/>
      <c r="AM10" s="753">
        <v>23</v>
      </c>
    </row>
    <row r="11" s="9344" customFormat="1" ht="11.25" hidden="1" customHeight="1">
      <c r="A11" s="763"/>
      <c r="B11" s="763"/>
      <c r="C11" s="763"/>
      <c r="D11" s="764" t="s">
        <v>110</v>
      </c>
      <c r="E11" s="764" t="s">
        <v>111</v>
      </c>
      <c r="F11" s="764" t="s">
        <v>91</v>
      </c>
      <c r="G11" s="2285" t="s">
        <v>92</v>
      </c>
      <c r="H11" s="2286"/>
      <c r="I11" s="764" t="s">
        <v>112</v>
      </c>
      <c r="J11" s="764" t="s">
        <v>93</v>
      </c>
      <c r="K11" s="2287" t="s">
        <v>94</v>
      </c>
      <c r="L11" s="2288"/>
      <c r="M11" s="764" t="s">
        <v>100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r="12" ht="1.05" customHeight="1">
      <c r="A12" s="767"/>
      <c r="B12" s="768"/>
      <c r="C12" s="768"/>
      <c r="D12" s="769"/>
      <c r="E12" s="537"/>
      <c r="F12" s="770"/>
      <c r="G12" s="1229"/>
      <c r="H12" s="1229"/>
      <c r="I12" s="770"/>
      <c r="J12" s="770"/>
      <c r="K12" s="344"/>
      <c r="L12" s="537"/>
      <c r="M12" s="771"/>
      <c r="N12" s="1797"/>
      <c r="O12" s="1583" t="s">
        <v>113</v>
      </c>
      <c r="P12" s="1583" t="s">
        <v>114</v>
      </c>
      <c r="Q12" s="1583" t="s">
        <v>115</v>
      </c>
      <c r="R12" s="1583" t="s">
        <v>116</v>
      </c>
      <c r="AM12" s="753">
        <v>1</v>
      </c>
    </row>
    <row r="13" s="9344" customFormat="1" ht="15.75" customHeight="1">
      <c r="A13" s="463"/>
      <c r="B13" s="463"/>
      <c r="C13" s="696"/>
      <c r="D13" s="2278" t="s">
        <v>110</v>
      </c>
      <c r="E13" s="2279"/>
      <c r="F13" s="2282" t="s">
        <v>67</v>
      </c>
      <c r="G13" s="2283"/>
      <c r="H13" s="2284">
        <v>1</v>
      </c>
      <c r="I13" s="2275" t="str">
        <f>IF(U13="","",INDEX(TERRITORY_MR_LIST,MATCH(U13,TERRITORY_LIST_ID,0)))</f>
        <v/>
      </c>
      <c r="J13" s="2277" t="s">
        <v>19</v>
      </c>
      <c r="K13" s="772"/>
      <c r="L13" s="697" t="s">
        <v>110</v>
      </c>
      <c r="M13" s="773" t="s">
        <v>28</v>
      </c>
      <c r="N13" s="982"/>
      <c r="O13" s="1586" t="s">
        <v>117</v>
      </c>
      <c r="P13" s="1583">
        <f>$E$13</f>
        <v>0</v>
      </c>
      <c r="Q13" s="1583" t="str">
        <f>IF($F$13="нет","без дифференциации",$I$13)</f>
        <v/>
      </c>
      <c r="R13" s="1583" t="str">
        <f>IF($J$13="нет","без дифференциации",M13)</f>
        <v xml:space="preserve">без дифференциации</v>
      </c>
      <c r="S13" s="1586"/>
      <c r="T13" s="1586"/>
      <c r="U13" s="1436"/>
      <c r="V13" s="1436"/>
      <c r="W13" s="1436"/>
      <c r="X13" s="1436"/>
      <c r="Y13" s="774" t="s">
        <v>118</v>
      </c>
      <c r="Z13" s="774">
        <v>1705000</v>
      </c>
      <c r="AA13" s="774"/>
      <c r="AB13" s="774"/>
      <c r="AC13" s="774"/>
      <c r="AD13" s="774"/>
      <c r="AE13" s="774"/>
      <c r="AF13" s="774"/>
      <c r="AG13" s="774"/>
      <c r="AH13" s="774"/>
      <c r="AI13" s="774"/>
      <c r="AJ13" s="774"/>
      <c r="AK13" s="774"/>
      <c r="AL13" s="774"/>
      <c r="AM13" s="776">
        <v>15</v>
      </c>
    </row>
    <row r="14" s="9344" customFormat="1" ht="15.75" customHeight="1">
      <c r="A14" s="463"/>
      <c r="B14" s="463"/>
      <c r="C14" s="346"/>
      <c r="D14" s="2278"/>
      <c r="E14" s="2280"/>
      <c r="F14" s="2277"/>
      <c r="G14" s="2283"/>
      <c r="H14" s="2284"/>
      <c r="I14" s="2276"/>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r="15" s="9344" customFormat="1" ht="15.75" customHeight="1">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r="16" ht="15.75" customHeight="1">
      <c r="A16" s="779"/>
      <c r="B16" s="305"/>
      <c r="C16" s="976"/>
      <c r="D16" s="591"/>
      <c r="E16" s="741" t="s">
        <v>121</v>
      </c>
      <c r="F16" s="347"/>
      <c r="G16" s="347"/>
      <c r="H16" s="347"/>
      <c r="I16" s="347"/>
      <c r="J16" s="347"/>
      <c r="K16" s="347" t="s">
        <v>28</v>
      </c>
      <c r="L16" s="347"/>
      <c r="M16" s="778"/>
      <c r="N16" s="1797"/>
      <c r="AM16" s="753">
        <v>15</v>
      </c>
    </row>
    <row r="17" ht="11.25" hidden="1" customHeight="1">
      <c r="A17" s="753" t="s">
        <v>83</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autoFilter="0" deleteColumns="1" deleteRows="1" formatColumns="0" formatRows="0" insertColumns="1" insertRows="1" sheet="1" sort="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1">
        <x14:dataValidation xr:uid="{00980080-00E1-4360-8924-001500AB009F}" type="textLength" allowBlank="1" error="Допускается ввод не более 900 символов!" operator="lessThan" showErrorMessage="1" showInputMessage="1">
          <x14:formula1>
            <xm:f>900</xm:f>
          </x14:formula1>
          <xm:sqref>M13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6" ySplit="12" topLeftCell="G13" activePane="bottomRight" state="frozen"/>
      <selection pane="bottomLeft" activeCell="A13" sqref="A13"/>
      <selection pane="topRight" activeCell="G1" sqref="G1"/>
      <selection pane="bottomRight" activeCell="J53" sqref="J53:J56"/>
    </sheetView>
  </sheetViews>
  <sheetFormatPr defaultColWidth="9.140625" defaultRowHeight="11.25" customHeight="1"/>
  <cols>
    <col customWidth="1" hidden="1" min="1" max="2" style="9307" width="3.7109375"/>
    <col customWidth="1" min="3" max="3" style="9344" width="3.00390625"/>
    <col customWidth="1" min="4" max="4" style="9344" width="6.00390625"/>
    <col customWidth="1" min="5" max="5" style="9344" width="42.00390625"/>
    <col customWidth="1" min="6" max="6" style="9344" width="15.00390625"/>
    <col customWidth="1" min="7" max="7" style="9344" width="42.00390625"/>
    <col customWidth="1" min="8" max="8" style="9344" width="3.00390625"/>
    <col customWidth="1" min="9" max="9" style="9344" width="5.00390625"/>
    <col customWidth="1" min="10" max="10" style="9344" width="47.00390625"/>
    <col customWidth="1" min="11" max="12" style="9344" width="3.00390625"/>
    <col customWidth="1" min="13" max="13" style="9344" width="5.00390625"/>
    <col customWidth="1" min="14" max="14" style="9344" width="28.00390625"/>
    <col customWidth="1" min="15" max="16" style="9344" width="3.00390625"/>
    <col customWidth="1" min="17" max="17" style="9344" width="5.00390625"/>
    <col customWidth="1" min="18" max="18" style="9344" width="34.00390625"/>
    <col customWidth="1" min="19" max="20" style="9344" width="3.7109375"/>
    <col customWidth="1" min="21" max="21" style="9344" width="5.7109375"/>
    <col customWidth="1" min="22" max="22" style="9344" width="34.421875"/>
    <col customWidth="1" min="23" max="23" style="9344" width="30.00390625"/>
    <col customWidth="1" min="24" max="24" style="9344" width="3.00390625"/>
    <col customWidth="1" hidden="1" min="25" max="28" style="9396" width="9.8515625"/>
    <col customWidth="1" hidden="1" min="29" max="29" style="9396" width="27.00390625"/>
    <col customWidth="1" hidden="1" min="30" max="30" style="9396" width="10.57421875"/>
    <col customWidth="1" hidden="1" min="31" max="31" style="9396" width="10.7109375"/>
    <col customWidth="1" hidden="1" min="32" max="32" style="9396" width="10.00390625"/>
    <col customWidth="1" hidden="1" min="33" max="33" style="9396" width="12.8515625"/>
    <col customWidth="1" hidden="1" min="34" max="34" style="9396" width="24.421875"/>
    <col customWidth="1" hidden="1" min="35" max="35" style="9396" width="15.8515625"/>
    <col customWidth="1" hidden="1" min="36" max="36" style="9396" width="19.421875"/>
    <col customWidth="1" hidden="1" min="37" max="37" style="9396" width="11.00390625"/>
    <col customWidth="1" hidden="1" min="38" max="38" style="9396" width="23.57421875"/>
    <col customWidth="1" hidden="1" min="39" max="39" style="9396" width="23.8515625"/>
    <col customWidth="1" hidden="1" min="40" max="40" style="9396" width="25.28125"/>
    <col customWidth="1" hidden="1" min="41" max="41" style="9396" width="16.8515625"/>
    <col customWidth="1" hidden="1" min="42" max="42" style="9396" width="29.57421875"/>
    <col customWidth="1" hidden="1" min="43" max="43" style="9396" width="29.8515625"/>
    <col hidden="1" min="44" max="44" style="9344" width="9.140625"/>
  </cols>
  <sheetData>
    <row r="1" ht="11.25" hidden="1" customHeight="1">
      <c r="A1" s="326"/>
      <c r="AR1" s="274" t="s">
        <v>14</v>
      </c>
    </row>
    <row r="2" ht="11.25" hidden="1" customHeight="1">
      <c r="AR2" s="274">
        <v>0</v>
      </c>
    </row>
    <row r="3" ht="11.25" hidden="1" customHeight="1">
      <c r="AR3" s="274">
        <v>0</v>
      </c>
    </row>
    <row r="4" ht="3" customHeight="1">
      <c r="AR4" s="274">
        <v>3</v>
      </c>
    </row>
    <row r="5" s="9315" customFormat="1" ht="30.449999999999999" customHeight="1">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 xml:space="preserve">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r="6" s="9315" customFormat="1" ht="14.65" customHeight="1">
      <c r="A6" s="755"/>
      <c r="B6" s="755"/>
      <c r="C6" s="755"/>
      <c r="D6" s="2333" t="str">
        <f>IF(org=0,"Не определено",org)</f>
        <v xml:space="preserve">АО "ДГК" СП "Биробиджанская ТЭЦ"</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r="7" s="9409" customFormat="1" ht="11.5" customHeight="1">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r="8" s="9315" customFormat="1" ht="1.05" customHeight="1">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r="9" ht="28.5" customHeight="1">
      <c r="D9" s="2297" t="s">
        <v>89</v>
      </c>
      <c r="E9" s="2271" t="s">
        <v>122</v>
      </c>
      <c r="F9" s="2273"/>
      <c r="G9" s="2297" t="s">
        <v>106</v>
      </c>
      <c r="H9" s="2297" t="s">
        <v>89</v>
      </c>
      <c r="I9" s="2297"/>
      <c r="J9" s="2297" t="s">
        <v>123</v>
      </c>
      <c r="K9" s="2325" t="s">
        <v>124</v>
      </c>
      <c r="L9" s="2325"/>
      <c r="M9" s="2325"/>
      <c r="N9" s="2325"/>
      <c r="O9" s="2325" t="s">
        <v>125</v>
      </c>
      <c r="P9" s="2325"/>
      <c r="Q9" s="2325"/>
      <c r="R9" s="2325"/>
      <c r="S9" s="2325" t="s">
        <v>126</v>
      </c>
      <c r="T9" s="2325"/>
      <c r="U9" s="2325"/>
      <c r="V9" s="2325"/>
      <c r="W9" s="2297" t="s">
        <v>127</v>
      </c>
      <c r="AR9" s="274">
        <v>27</v>
      </c>
    </row>
    <row r="10" ht="31.5" customHeight="1">
      <c r="D10" s="2297"/>
      <c r="E10" s="1454" t="s">
        <v>90</v>
      </c>
      <c r="F10" s="1454" t="s">
        <v>128</v>
      </c>
      <c r="G10" s="2297"/>
      <c r="H10" s="2297"/>
      <c r="I10" s="2297"/>
      <c r="J10" s="2297"/>
      <c r="K10" s="280" t="s">
        <v>109</v>
      </c>
      <c r="L10" s="2297" t="s">
        <v>89</v>
      </c>
      <c r="M10" s="2297"/>
      <c r="N10" s="280" t="s">
        <v>129</v>
      </c>
      <c r="O10" s="280" t="s">
        <v>109</v>
      </c>
      <c r="P10" s="2297" t="s">
        <v>89</v>
      </c>
      <c r="Q10" s="2297"/>
      <c r="R10" s="280" t="s">
        <v>129</v>
      </c>
      <c r="S10" s="453" t="s">
        <v>109</v>
      </c>
      <c r="T10" s="2297" t="s">
        <v>89</v>
      </c>
      <c r="U10" s="2297"/>
      <c r="V10" s="453" t="s">
        <v>90</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r="11" s="9307" customFormat="1" ht="12" hidden="1" customHeight="1">
      <c r="D11" s="1419" t="s">
        <v>110</v>
      </c>
      <c r="E11" s="1419" t="s">
        <v>111</v>
      </c>
      <c r="F11" s="1419"/>
      <c r="G11" s="1419" t="s">
        <v>91</v>
      </c>
      <c r="H11" s="2326" t="s">
        <v>112</v>
      </c>
      <c r="I11" s="2326"/>
      <c r="J11" s="1419" t="s">
        <v>93</v>
      </c>
      <c r="K11" s="1419" t="s">
        <v>94</v>
      </c>
      <c r="L11" s="2326" t="s">
        <v>100</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r="12" ht="14.25" hidden="1" customHeight="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r="13" s="9344" customFormat="1" ht="17.25" customHeight="1">
      <c r="A13" s="491"/>
      <c r="C13" s="379"/>
      <c r="D13" s="2305">
        <v>1</v>
      </c>
      <c r="E13" s="2313" t="s">
        <v>154</v>
      </c>
      <c r="F13" s="2315" t="s">
        <v>67</v>
      </c>
      <c r="G13" s="3184" t="str">
        <f>INDEX(VD_NAME_LIST,MATCH("4190064",VD_ID_LIST,0))&amp;"; "&amp;INDEX(VD_NAME_LIST,MATCH("4190068",VD_ID_LIST,0))&amp;"; "&amp;INDEX(VD_NAME_LIST,MATCH("4190070",VD_ID_LIST,0))</f>
        <v xml:space="preserve">Производство тепловой энергии. Некомбинированная выработка; Передача. Тепловая энергия; Сбыт. Тепловая энергия</v>
      </c>
      <c r="H13" s="3185"/>
      <c r="I13" s="3185">
        <v>1</v>
      </c>
      <c r="J13" s="3186" t="s">
        <v>155</v>
      </c>
      <c r="K13" s="3187" t="s">
        <v>67</v>
      </c>
      <c r="L13" s="3188"/>
      <c r="M13" s="3188" t="s">
        <v>110</v>
      </c>
      <c r="N13" s="3189" t="str">
        <f>IF($Z$13="","",INDEX(TERRITORY_MR_LIST,MATCH($Z$13,TERRITORY_LIST_ID,0)))</f>
        <v xml:space="preserve">Территория 1</v>
      </c>
      <c r="O13" s="3187" t="s">
        <v>19</v>
      </c>
      <c r="P13" s="3188"/>
      <c r="Q13" s="3188" t="s">
        <v>110</v>
      </c>
      <c r="R13" s="3190" t="s">
        <v>28</v>
      </c>
      <c r="S13" s="3191" t="s">
        <v>67</v>
      </c>
      <c r="T13" s="3188"/>
      <c r="U13" s="3188" t="s">
        <v>110</v>
      </c>
      <c r="V13" s="3192" t="s">
        <v>156</v>
      </c>
      <c r="W13" s="3186"/>
      <c r="Y13" s="1437"/>
      <c r="Z13" s="1437" t="s">
        <v>99</v>
      </c>
      <c r="AA13" s="1437"/>
      <c r="AB13" s="1437" t="s">
        <v>157</v>
      </c>
      <c r="AC13" s="1437" t="s">
        <v>158</v>
      </c>
      <c r="AD13" s="1437" t="s">
        <v>159</v>
      </c>
      <c r="AE13" s="1437" t="s">
        <v>160</v>
      </c>
      <c r="AF13" s="1437" t="s">
        <v>161</v>
      </c>
      <c r="AG13" s="1437" t="s">
        <v>162</v>
      </c>
      <c r="AH13" s="1437" t="str">
        <f>IF($E$13=0,"",$E$13)</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xml:space="preserve">Производство тепловой энергии. Некомбинированная выработка; Передача. Тепловая энергия; Сбыт. Тепловая энергия</v>
      </c>
      <c r="AJ13" s="1437" t="str">
        <f>IF($J$13=0,"",$J$13)</f>
        <v xml:space="preserve">Тариф на тепловую энергию</v>
      </c>
      <c r="AK13" s="1437" t="str">
        <f>IF($K$13="нет","без дифференциации",IF($N$13=0,"",$N$13))</f>
        <v xml:space="preserve">Территория 1</v>
      </c>
      <c r="AL13" s="1437" t="str">
        <f>IF($O$13="нет","без дифференциации",IF($R$13=0,"",$R$13))</f>
        <v xml:space="preserve">без дифференциации</v>
      </c>
      <c r="AM13" s="1437" t="str">
        <f>IF($S$13="нет","без дифференциации",IF($V$13=0,"",$V$13))</f>
        <v xml:space="preserve">Биробиджанская ТЭЦ</v>
      </c>
      <c r="AN13" s="1437">
        <f>$I$13</f>
        <v>1</v>
      </c>
      <c r="AO13" s="1437" t="str">
        <f>$I$13&amp;"."&amp;$M$13</f>
        <v>1.1</v>
      </c>
      <c r="AP13" s="1437" t="str">
        <f>$I$13&amp;"."&amp;$M$13&amp;"."&amp;$Q$13</f>
        <v>1.1.1</v>
      </c>
      <c r="AQ13" s="1437" t="str">
        <f>$I$13&amp;"."&amp;$M$13&amp;"."&amp;$Q$13&amp;"."&amp;$U$13</f>
        <v>1.1.1.1</v>
      </c>
      <c r="AR13" s="920">
        <v>0</v>
      </c>
    </row>
    <row r="14" s="9344" customFormat="1" ht="17.25" customHeight="1">
      <c r="A14" s="491"/>
      <c r="C14" s="490"/>
      <c r="D14" s="2305"/>
      <c r="E14" s="2313"/>
      <c r="F14" s="2316"/>
      <c r="G14" s="3184"/>
      <c r="H14" s="3185"/>
      <c r="I14" s="3185"/>
      <c r="J14" s="3186"/>
      <c r="K14" s="3197"/>
      <c r="L14" s="3188"/>
      <c r="M14" s="3188"/>
      <c r="N14" s="3189" t="str">
        <f>IF($Z$13="","",INDEX(TERRITORY_MR_LIST,MATCH($Z$13,TERRITORY_LIST_ID,0)))</f>
        <v xml:space="preserve">Территория 1</v>
      </c>
      <c r="O14" s="3197"/>
      <c r="P14" s="3188"/>
      <c r="Q14" s="3188"/>
      <c r="R14" s="3190" t="s">
        <v>28</v>
      </c>
      <c r="S14" s="3191"/>
      <c r="T14" s="3198"/>
      <c r="U14" s="3199"/>
      <c r="V14" s="3200" t="s">
        <v>163</v>
      </c>
      <c r="W14" s="3201"/>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r="15" s="9344" customFormat="1" ht="17.25" customHeight="1">
      <c r="A15" s="491"/>
      <c r="C15" s="379"/>
      <c r="D15" s="2305"/>
      <c r="E15" s="2313"/>
      <c r="F15" s="2316"/>
      <c r="G15" s="3184"/>
      <c r="H15" s="3202"/>
      <c r="I15" s="3202"/>
      <c r="J15" s="3203"/>
      <c r="K15" s="3197"/>
      <c r="L15" s="3202"/>
      <c r="M15" s="3202"/>
      <c r="N15" s="3204" t="str">
        <f>IF($Z$13="","",INDEX(TERRITORY_MR_LIST,MATCH($Z$13,TERRITORY_LIST_ID,0)))</f>
        <v xml:space="preserve">Территория 1</v>
      </c>
      <c r="O15" s="3205"/>
      <c r="P15" s="3206"/>
      <c r="Q15" s="3207"/>
      <c r="R15" s="3208" t="s">
        <v>164</v>
      </c>
      <c r="S15" s="3209"/>
      <c r="T15" s="3210"/>
      <c r="U15" s="3211"/>
      <c r="V15" s="3212"/>
      <c r="W15" s="3213"/>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r="16" s="9344" customFormat="1" ht="17.25" customHeight="1">
      <c r="A16" s="491"/>
      <c r="C16" s="490"/>
      <c r="D16" s="2305"/>
      <c r="E16" s="2313"/>
      <c r="F16" s="2316"/>
      <c r="G16" s="3184"/>
      <c r="H16" s="3202"/>
      <c r="I16" s="3202"/>
      <c r="J16" s="3203"/>
      <c r="K16" s="3205"/>
      <c r="L16" s="3215"/>
      <c r="M16" s="3216"/>
      <c r="N16" s="3217" t="s">
        <v>165</v>
      </c>
      <c r="O16" s="3218"/>
      <c r="P16" s="3219"/>
      <c r="Q16" s="3220"/>
      <c r="R16" s="3221"/>
      <c r="S16" s="3222"/>
      <c r="T16" s="3223"/>
      <c r="U16" s="3224"/>
      <c r="V16" s="3225"/>
      <c r="W16" s="3226"/>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r="17" s="9344" customFormat="1" ht="17.25" customHeight="1">
      <c r="A17" s="491"/>
      <c r="C17" s="490"/>
      <c r="D17" s="2306"/>
      <c r="E17" s="2314"/>
      <c r="F17" s="2317"/>
      <c r="G17" s="3230"/>
      <c r="H17" s="3231"/>
      <c r="I17" s="3232"/>
      <c r="J17" s="3233" t="s">
        <v>166</v>
      </c>
      <c r="K17" s="3234"/>
      <c r="L17" s="3235"/>
      <c r="M17" s="3236"/>
      <c r="N17" s="3237"/>
      <c r="O17" s="3238"/>
      <c r="P17" s="3239"/>
      <c r="Q17" s="3240"/>
      <c r="R17" s="3241"/>
      <c r="S17" s="3242"/>
      <c r="T17" s="3243"/>
      <c r="U17" s="3244"/>
      <c r="V17" s="3245"/>
      <c r="W17" s="3246"/>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r="18" s="9344" customFormat="1" ht="17.25" customHeight="1">
      <c r="A18" s="491"/>
      <c r="C18" s="379"/>
      <c r="D18" s="2305">
        <v>2</v>
      </c>
      <c r="E18" s="3247" t="s">
        <v>167</v>
      </c>
      <c r="F18" s="2315" t="s">
        <v>67</v>
      </c>
      <c r="G18" s="3184" t="str">
        <f>INDEX(VD_NAME_LIST,MATCH("4190068",VD_ID_LIST,0))</f>
        <v xml:space="preserve">Передача. Тепловая энергия</v>
      </c>
      <c r="H18" s="3185"/>
      <c r="I18" s="3185">
        <v>1</v>
      </c>
      <c r="J18" s="3186" t="s">
        <v>168</v>
      </c>
      <c r="K18" s="3187" t="s">
        <v>67</v>
      </c>
      <c r="L18" s="3188"/>
      <c r="M18" s="3188" t="s">
        <v>110</v>
      </c>
      <c r="N18" s="3189" t="str">
        <f>IF($Z$18="","",INDEX(TERRITORY_MR_LIST,MATCH($Z$18,TERRITORY_LIST_ID,0)))</f>
        <v xml:space="preserve">Территория 1</v>
      </c>
      <c r="O18" s="3187" t="s">
        <v>19</v>
      </c>
      <c r="P18" s="3188"/>
      <c r="Q18" s="3188" t="s">
        <v>110</v>
      </c>
      <c r="R18" s="3190" t="s">
        <v>28</v>
      </c>
      <c r="S18" s="3191" t="s">
        <v>67</v>
      </c>
      <c r="T18" s="3188"/>
      <c r="U18" s="3188" t="s">
        <v>110</v>
      </c>
      <c r="V18" s="3192" t="s">
        <v>156</v>
      </c>
      <c r="W18" s="3186"/>
      <c r="X18" s="1437"/>
      <c r="Y18" s="1437"/>
      <c r="Z18" s="1437" t="s">
        <v>99</v>
      </c>
      <c r="AA18" s="1437"/>
      <c r="AB18" s="1437" t="s">
        <v>169</v>
      </c>
      <c r="AC18" s="1437" t="s">
        <v>170</v>
      </c>
      <c r="AD18" s="1437" t="s">
        <v>171</v>
      </c>
      <c r="AE18" s="1437" t="s">
        <v>172</v>
      </c>
      <c r="AF18" s="1437" t="s">
        <v>173</v>
      </c>
      <c r="AG18" s="1437" t="s">
        <v>174</v>
      </c>
      <c r="AH18" s="1437" t="str">
        <f>IF($E$18=0,"",$E$18)</f>
        <v xml:space="preserve">Тарифы на тепловую энергию (мощность), поставляемую теплоснабжающими организациями потребителям, другим теплоснабжающим организациям</v>
      </c>
      <c r="AI18" s="1437" t="str">
        <f>IF($G$18=0,"",$G$18)</f>
        <v xml:space="preserve">Передача. Тепловая энергия</v>
      </c>
      <c r="AJ18" s="1437" t="str">
        <f>IF($J$18=0,"",$J$18)</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K18" s="1437" t="str">
        <f>IF($K$18="нет","без дифференциации",IF($N$18=0,"",$N$18))</f>
        <v xml:space="preserve">Территория 1</v>
      </c>
      <c r="AL18" s="1437" t="str">
        <f>IF($O$18="нет","без дифференциации",IF($R$18=0,"",$R$18))</f>
        <v xml:space="preserve">без дифференциации</v>
      </c>
      <c r="AM18" s="1437" t="str">
        <f>IF($S$18="нет","без дифференциации",IF($V$18=0,"",$V$18))</f>
        <v xml:space="preserve">Биробиджанская ТЭЦ</v>
      </c>
      <c r="AN18" s="1942">
        <f>$I$18</f>
        <v>1</v>
      </c>
      <c r="AO18" s="1437" t="str">
        <f>$I$18&amp;"."&amp;$M$18</f>
        <v>1.1</v>
      </c>
      <c r="AP18" s="1429" t="str">
        <f>$I$18&amp;"."&amp;$M$18&amp;"."&amp;$Q$18</f>
        <v>1.1.1</v>
      </c>
      <c r="AQ18" s="1429" t="str">
        <f>$I$18&amp;"."&amp;$M$18&amp;"."&amp;$Q$18&amp;"."&amp;$U$18</f>
        <v>1.1.1.1</v>
      </c>
      <c r="AR18" s="1453">
        <v>0</v>
      </c>
    </row>
    <row r="19" s="9344" customFormat="1" ht="17.25" customHeight="1">
      <c r="A19" s="491"/>
      <c r="C19" s="490"/>
      <c r="D19" s="2305"/>
      <c r="E19" s="2334"/>
      <c r="F19" s="2316"/>
      <c r="G19" s="3184"/>
      <c r="H19" s="3185"/>
      <c r="I19" s="3185"/>
      <c r="J19" s="3186"/>
      <c r="K19" s="3197"/>
      <c r="L19" s="3188"/>
      <c r="M19" s="3188"/>
      <c r="N19" s="3189" t="str">
        <f>IF($Z$18="","",INDEX(TERRITORY_MR_LIST,MATCH($Z$18,TERRITORY_LIST_ID,0)))</f>
        <v xml:space="preserve">Территория 1</v>
      </c>
      <c r="O19" s="3197"/>
      <c r="P19" s="3188"/>
      <c r="Q19" s="3188"/>
      <c r="R19" s="3190" t="s">
        <v>28</v>
      </c>
      <c r="S19" s="3191"/>
      <c r="T19" s="3251"/>
      <c r="U19" s="3252"/>
      <c r="V19" s="3253" t="s">
        <v>163</v>
      </c>
      <c r="W19" s="3254"/>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r="20" s="9344" customFormat="1" ht="17.25" customHeight="1">
      <c r="A20" s="491"/>
      <c r="C20" s="490"/>
      <c r="D20" s="2306"/>
      <c r="E20" s="2335"/>
      <c r="F20" s="2316"/>
      <c r="G20" s="3230"/>
      <c r="H20" s="3202"/>
      <c r="I20" s="3202"/>
      <c r="J20" s="3203"/>
      <c r="K20" s="3197"/>
      <c r="L20" s="3202"/>
      <c r="M20" s="3202"/>
      <c r="N20" s="3204" t="str">
        <f>IF($Z$18="","",INDEX(TERRITORY_MR_LIST,MATCH($Z$18,TERRITORY_LIST_ID,0)))</f>
        <v xml:space="preserve">Территория 1</v>
      </c>
      <c r="O20" s="3205"/>
      <c r="P20" s="3256"/>
      <c r="Q20" s="3257"/>
      <c r="R20" s="3258" t="s">
        <v>164</v>
      </c>
      <c r="S20" s="3259"/>
      <c r="T20" s="3260"/>
      <c r="U20" s="3261"/>
      <c r="V20" s="3262"/>
      <c r="W20" s="3263"/>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r="21" s="9344" customFormat="1" ht="17.25" customHeight="1">
      <c r="A21" s="491"/>
      <c r="C21" s="490"/>
      <c r="D21" s="2306"/>
      <c r="E21" s="2335"/>
      <c r="F21" s="2316"/>
      <c r="G21" s="3230"/>
      <c r="H21" s="3202"/>
      <c r="I21" s="3202"/>
      <c r="J21" s="3203"/>
      <c r="K21" s="3205"/>
      <c r="L21" s="3264"/>
      <c r="M21" s="3265"/>
      <c r="N21" s="3266" t="s">
        <v>165</v>
      </c>
      <c r="O21" s="3267"/>
      <c r="P21" s="3268"/>
      <c r="Q21" s="3269"/>
      <c r="R21" s="3270"/>
      <c r="S21" s="3271"/>
      <c r="T21" s="3272"/>
      <c r="U21" s="3273"/>
      <c r="V21" s="3274"/>
      <c r="W21" s="3275"/>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r="22" s="9344" customFormat="1" ht="17.25" customHeight="1">
      <c r="A22" s="491"/>
      <c r="C22" s="490"/>
      <c r="D22" s="2306"/>
      <c r="E22" s="2335"/>
      <c r="F22" s="2317"/>
      <c r="G22" s="3230"/>
      <c r="H22" s="3276"/>
      <c r="I22" s="3277"/>
      <c r="J22" s="3278" t="s">
        <v>166</v>
      </c>
      <c r="K22" s="3279"/>
      <c r="L22" s="3280"/>
      <c r="M22" s="3281"/>
      <c r="N22" s="3282"/>
      <c r="O22" s="3283"/>
      <c r="P22" s="3284"/>
      <c r="Q22" s="3285"/>
      <c r="R22" s="3286"/>
      <c r="S22" s="3287"/>
      <c r="T22" s="3288"/>
      <c r="U22" s="3289"/>
      <c r="V22" s="3290"/>
      <c r="W22" s="3291"/>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r="23" s="9344" customFormat="1" ht="17.25" hidden="1" customHeight="1">
      <c r="A23" s="491"/>
      <c r="C23" s="379"/>
      <c r="D23" s="2305">
        <v>2</v>
      </c>
      <c r="E23" s="2313" t="s">
        <v>167</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t="s">
        <v>28</v>
      </c>
      <c r="AA23" s="1437" t="s">
        <v>28</v>
      </c>
      <c r="AB23" s="1437" t="s">
        <v>28</v>
      </c>
      <c r="AC23" s="1437" t="s">
        <v>28</v>
      </c>
      <c r="AD23" s="1437" t="s">
        <v>28</v>
      </c>
      <c r="AE23" s="1437" t="s">
        <v>28</v>
      </c>
      <c r="AF23" s="1437" t="s">
        <v>28</v>
      </c>
      <c r="AG23" s="1437" t="s">
        <v>28</v>
      </c>
      <c r="AH23" s="1437" t="s">
        <v>28</v>
      </c>
      <c r="AI23" s="1437" t="s">
        <v>28</v>
      </c>
      <c r="AJ23" s="1437" t="s">
        <v>28</v>
      </c>
      <c r="AK23" s="1437" t="s">
        <v>28</v>
      </c>
      <c r="AL23" s="1437" t="s">
        <v>28</v>
      </c>
      <c r="AM23" s="1437" t="s">
        <v>28</v>
      </c>
      <c r="AN23" s="1942" t="s">
        <v>28</v>
      </c>
      <c r="AO23" s="1437" t="s">
        <v>28</v>
      </c>
      <c r="AP23" s="1436" t="s">
        <v>28</v>
      </c>
      <c r="AQ23" s="1436" t="s">
        <v>28</v>
      </c>
      <c r="AR23" s="1637">
        <v>0</v>
      </c>
    </row>
    <row r="24" s="9344" customFormat="1" ht="17.25" hidden="1" customHeight="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r="25" s="9344" customFormat="1" ht="17.25" hidden="1" customHeight="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r="26" s="9344" customFormat="1" ht="17.25" hidden="1" customHeight="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r="27" s="9344" customFormat="1" ht="17.25" hidden="1" customHeight="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r="28" s="9344" customFormat="1" ht="17.25" customHeight="1">
      <c r="A28" s="491"/>
      <c r="C28" s="379"/>
      <c r="D28" s="2305">
        <v>3</v>
      </c>
      <c r="E28" s="2313" t="s">
        <v>175</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176</v>
      </c>
      <c r="AD28" s="1437" t="s">
        <v>177</v>
      </c>
      <c r="AE28" s="1437" t="s">
        <v>178</v>
      </c>
      <c r="AF28" s="1437" t="s">
        <v>179</v>
      </c>
      <c r="AG28" s="1437" t="s">
        <v>180</v>
      </c>
      <c r="AH28" s="1437" t="str">
        <f>IF($E$28=0,"",$E$28)</f>
        <v xml:space="preserve">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r="29" s="9344" customFormat="1" ht="17.25" customHeight="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r="30" s="9344" customFormat="1" ht="17.25" customHeight="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r="31" s="9344" customFormat="1" ht="17.25" customHeight="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r="32" s="9344" customFormat="1" ht="17.25" customHeight="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r="33" s="9344" customFormat="1" ht="17.25" customHeight="1">
      <c r="A33" s="491"/>
      <c r="C33" s="379"/>
      <c r="D33" s="2305">
        <v>4</v>
      </c>
      <c r="E33" s="2313" t="s">
        <v>181</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182</v>
      </c>
      <c r="AD33" s="1437" t="s">
        <v>183</v>
      </c>
      <c r="AE33" s="1437" t="s">
        <v>184</v>
      </c>
      <c r="AF33" s="1437" t="s">
        <v>185</v>
      </c>
      <c r="AG33" s="1437" t="s">
        <v>186</v>
      </c>
      <c r="AH33" s="1437" t="str">
        <f>IF($E$33=0,"",$E$33)</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r="34" s="9344" customFormat="1" ht="17.25" customHeight="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r="35" s="9344" customFormat="1" ht="17.25" customHeight="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r="36" s="9344" customFormat="1" ht="17.25" customHeight="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r="37" s="9344" customFormat="1" ht="17.25" customHeight="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r="38" s="9344" customFormat="1" ht="17.25" customHeight="1">
      <c r="A38" s="491"/>
      <c r="C38" s="379"/>
      <c r="D38" s="2305">
        <v>5</v>
      </c>
      <c r="E38" s="2313" t="s">
        <v>187</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188</v>
      </c>
      <c r="AD38" s="1437" t="s">
        <v>189</v>
      </c>
      <c r="AE38" s="1437" t="s">
        <v>190</v>
      </c>
      <c r="AF38" s="1437" t="s">
        <v>191</v>
      </c>
      <c r="AG38" s="1437" t="s">
        <v>192</v>
      </c>
      <c r="AH38" s="1437" t="str">
        <f>IF($E$38=0,"",$E$38)</f>
        <v xml:space="preserve">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r="39" s="9344" customFormat="1" ht="17.25" customHeight="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r="40" s="9344" customFormat="1" ht="17.25" customHeight="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r="41" s="9344" customFormat="1" ht="17.25" customHeight="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r="42" s="9344" customFormat="1" ht="17.25" customHeight="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r="43" s="9344" customFormat="1" ht="17.25" customHeight="1">
      <c r="A43" s="491"/>
      <c r="C43" s="379"/>
      <c r="D43" s="2305">
        <v>6</v>
      </c>
      <c r="E43" s="2313" t="s">
        <v>193</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194</v>
      </c>
      <c r="AD43" s="1437" t="s">
        <v>195</v>
      </c>
      <c r="AE43" s="1437" t="s">
        <v>196</v>
      </c>
      <c r="AF43" s="1437" t="s">
        <v>197</v>
      </c>
      <c r="AG43" s="1437" t="s">
        <v>198</v>
      </c>
      <c r="AH43" s="1437" t="str">
        <f>IF($E$43=0,"",$E$43)</f>
        <v xml:space="preserve">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r="44" s="9344" customFormat="1" ht="17.25" customHeight="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r="45" s="9344" customFormat="1" ht="17.25" customHeight="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r="46" s="9344" customFormat="1" ht="17.25" customHeight="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r="47" s="9344" customFormat="1" ht="17.25" customHeight="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r="48" s="9344" customFormat="1" ht="17.25" customHeight="1">
      <c r="A48" s="491"/>
      <c r="C48" s="379"/>
      <c r="D48" s="2336">
        <v>7</v>
      </c>
      <c r="E48" s="2339" t="s">
        <v>199</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200</v>
      </c>
      <c r="AD48" s="1437" t="s">
        <v>201</v>
      </c>
      <c r="AE48" s="1437" t="s">
        <v>202</v>
      </c>
      <c r="AF48" s="1437" t="s">
        <v>203</v>
      </c>
      <c r="AG48" s="1437" t="s">
        <v>204</v>
      </c>
      <c r="AH48" s="1437" t="str">
        <f>IF($E$48=0,"",$E$48)</f>
        <v xml:space="preserve">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r="49" s="9344" customFormat="1" ht="17.25" customHeight="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r="50" s="9344" customFormat="1" ht="17.25" customHeight="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r="51" s="9344" customFormat="1" ht="17.25" customHeight="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r="52" s="9344" customFormat="1" ht="17.25" customHeight="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r="53" s="9344" customFormat="1" ht="17.25" customHeight="1">
      <c r="A53" s="491"/>
      <c r="C53" s="379"/>
      <c r="D53" s="2305">
        <v>8</v>
      </c>
      <c r="E53" s="2313" t="s">
        <v>205</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206</v>
      </c>
      <c r="AD53" s="1437" t="s">
        <v>207</v>
      </c>
      <c r="AE53" s="1437" t="s">
        <v>208</v>
      </c>
      <c r="AF53" s="1437" t="s">
        <v>209</v>
      </c>
      <c r="AG53" s="1437" t="s">
        <v>210</v>
      </c>
      <c r="AH53" s="1437" t="str">
        <f>IF($E$53=0,"",$E$53)</f>
        <v xml:space="preserve">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r="54" s="9344" customFormat="1" ht="17.25" customHeight="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r="55" s="9344" customFormat="1" ht="17.25" customHeight="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r="56" s="9344" customFormat="1" ht="17.25" customHeight="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r="57" s="9344" customFormat="1" ht="17.25" customHeight="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r="58" s="9344" customFormat="1" ht="17.25" customHeight="1">
      <c r="A58" s="491"/>
      <c r="C58" s="379"/>
      <c r="D58" s="2305">
        <v>9</v>
      </c>
      <c r="E58" s="2313" t="s">
        <v>211</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212</v>
      </c>
      <c r="AD58" s="1437" t="s">
        <v>213</v>
      </c>
      <c r="AE58" s="1437" t="s">
        <v>214</v>
      </c>
      <c r="AF58" s="1437" t="s">
        <v>215</v>
      </c>
      <c r="AG58" s="1437" t="s">
        <v>216</v>
      </c>
      <c r="AH58" s="1437" t="str">
        <f>IF($E$58=0,"",$E$58)</f>
        <v xml:space="preserve">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r="59" s="9344" customFormat="1" ht="17.25" customHeight="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r="60" s="9344" customFormat="1" ht="17.25" customHeight="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r="61" s="9344" customFormat="1" ht="17.25" customHeight="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r="62" s="9344" customFormat="1" ht="17.25" customHeight="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r="63" s="9344" customFormat="1" ht="17.25" hidden="1" customHeight="1">
      <c r="A63" s="491"/>
      <c r="C63" s="379"/>
      <c r="D63" s="2305">
        <v>10</v>
      </c>
      <c r="E63" s="2313" t="s">
        <v>217</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218</v>
      </c>
      <c r="AD63" s="1437" t="s">
        <v>219</v>
      </c>
      <c r="AE63" s="1437" t="s">
        <v>220</v>
      </c>
      <c r="AF63" s="1437" t="s">
        <v>221</v>
      </c>
      <c r="AG63" s="1437" t="s">
        <v>222</v>
      </c>
      <c r="AH63" s="1437" t="str">
        <f>IF($E$63=0,"",$E$63)</f>
        <v xml:space="preserve">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r="64" s="9344" customFormat="1" ht="17.25" hidden="1" customHeight="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r="65" s="9344" customFormat="1" ht="17.25" hidden="1" customHeight="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r="66" s="9344" customFormat="1" ht="17.25" hidden="1" customHeight="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r="67" s="9344" customFormat="1" ht="17.25" hidden="1" customHeight="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r="68" ht="11.25" customHeight="1">
      <c r="AR68" s="274">
        <v>0</v>
      </c>
    </row>
    <row r="69" ht="11.25" customHeight="1">
      <c r="E69" s="2344" t="s">
        <v>223</v>
      </c>
      <c r="F69" s="2344"/>
      <c r="G69" s="2344"/>
      <c r="H69" s="2344"/>
      <c r="I69" s="2344"/>
      <c r="J69" s="2344"/>
      <c r="K69" s="2344"/>
      <c r="L69" s="2344"/>
      <c r="M69" s="2344"/>
      <c r="N69" s="2344"/>
      <c r="O69" s="2344"/>
      <c r="P69" s="2344"/>
      <c r="Q69" s="2344"/>
      <c r="R69" s="2344"/>
      <c r="S69" s="2344"/>
      <c r="T69" s="2344"/>
      <c r="U69" s="2344"/>
      <c r="V69" s="2344"/>
      <c r="W69" s="2344"/>
      <c r="AR69" s="274">
        <v>0</v>
      </c>
    </row>
    <row r="70" ht="36.75" customHeight="1">
      <c r="E70" s="2342" t="s">
        <v>224</v>
      </c>
      <c r="F70" s="2342"/>
      <c r="G70" s="2343"/>
      <c r="H70" s="2343"/>
      <c r="I70" s="2343"/>
      <c r="J70" s="2343"/>
      <c r="K70" s="2343"/>
      <c r="L70" s="2343"/>
      <c r="M70" s="2343"/>
      <c r="N70" s="2343"/>
      <c r="O70" s="2343"/>
      <c r="P70" s="2343"/>
      <c r="Q70" s="2343"/>
      <c r="R70" s="2343"/>
      <c r="S70" s="2343"/>
      <c r="T70" s="2343"/>
      <c r="U70" s="2343"/>
      <c r="V70" s="2343"/>
      <c r="W70" s="2343"/>
      <c r="AR70" s="274">
        <v>0</v>
      </c>
    </row>
    <row r="71" ht="28.5" customHeight="1">
      <c r="E71" s="2342" t="s">
        <v>225</v>
      </c>
      <c r="F71" s="2342"/>
      <c r="G71" s="2343"/>
      <c r="H71" s="2343"/>
      <c r="I71" s="2343"/>
      <c r="J71" s="2343"/>
      <c r="K71" s="2343"/>
      <c r="L71" s="2343"/>
      <c r="M71" s="2343"/>
      <c r="N71" s="2343"/>
      <c r="O71" s="2343"/>
      <c r="P71" s="2343"/>
      <c r="Q71" s="2343"/>
      <c r="R71" s="2343"/>
      <c r="S71" s="2343"/>
      <c r="T71" s="2343"/>
      <c r="U71" s="2343"/>
      <c r="V71" s="2343"/>
      <c r="W71" s="2343"/>
      <c r="AR71" s="274">
        <v>0</v>
      </c>
    </row>
    <row r="72" ht="27" customHeight="1">
      <c r="E72" s="2342" t="s">
        <v>226</v>
      </c>
      <c r="F72" s="2342"/>
      <c r="G72" s="2343"/>
      <c r="H72" s="2343"/>
      <c r="I72" s="2343"/>
      <c r="J72" s="2343"/>
      <c r="K72" s="2343"/>
      <c r="L72" s="2343"/>
      <c r="M72" s="2343"/>
      <c r="N72" s="2343"/>
      <c r="O72" s="2343"/>
      <c r="P72" s="2343"/>
      <c r="Q72" s="2343"/>
      <c r="R72" s="2343"/>
      <c r="S72" s="2343"/>
      <c r="T72" s="2343"/>
      <c r="U72" s="2343"/>
      <c r="V72" s="2343"/>
      <c r="W72" s="2343"/>
      <c r="AR72" s="274">
        <v>0</v>
      </c>
    </row>
    <row r="73" ht="17.25" customHeight="1">
      <c r="E73" s="2342" t="s">
        <v>227</v>
      </c>
      <c r="F73" s="2342"/>
      <c r="G73" s="2343"/>
      <c r="H73" s="2343"/>
      <c r="I73" s="2343"/>
      <c r="J73" s="2343"/>
      <c r="K73" s="2343"/>
      <c r="L73" s="2343"/>
      <c r="M73" s="2343"/>
      <c r="N73" s="2343"/>
      <c r="O73" s="2343"/>
      <c r="P73" s="2343"/>
      <c r="Q73" s="2343"/>
      <c r="R73" s="2343"/>
      <c r="S73" s="2343"/>
      <c r="T73" s="2343"/>
      <c r="U73" s="2343"/>
      <c r="V73" s="2343"/>
      <c r="W73" s="2343"/>
      <c r="AR73" s="274">
        <v>0</v>
      </c>
    </row>
    <row r="74" ht="15" customHeight="1">
      <c r="E74" s="510"/>
      <c r="F74" s="1455"/>
      <c r="G74" s="327"/>
      <c r="H74" s="327"/>
      <c r="I74" s="327"/>
      <c r="J74" s="327"/>
      <c r="K74" s="327"/>
      <c r="L74" s="327"/>
      <c r="M74" s="327"/>
      <c r="N74" s="327"/>
      <c r="O74" s="327"/>
      <c r="P74" s="327"/>
      <c r="Q74" s="327"/>
      <c r="R74" s="327"/>
      <c r="S74" s="327"/>
      <c r="T74" s="327"/>
      <c r="U74" s="327"/>
      <c r="V74" s="327"/>
      <c r="W74" s="327"/>
      <c r="AR74" s="274">
        <v>0</v>
      </c>
    </row>
    <row r="75" ht="15" customHeight="1">
      <c r="E75" s="2344" t="s">
        <v>228</v>
      </c>
      <c r="F75" s="2344"/>
      <c r="G75" s="2344"/>
      <c r="H75" s="2344"/>
      <c r="I75" s="2344"/>
      <c r="J75" s="2344"/>
      <c r="K75" s="2344"/>
      <c r="L75" s="2344"/>
      <c r="M75" s="2344"/>
      <c r="N75" s="2344"/>
      <c r="O75" s="2344"/>
      <c r="P75" s="2344"/>
      <c r="Q75" s="2344"/>
      <c r="R75" s="2344"/>
      <c r="S75" s="2344"/>
      <c r="T75" s="2344"/>
      <c r="U75" s="2344"/>
      <c r="V75" s="2344"/>
      <c r="W75" s="2344"/>
      <c r="AR75" s="274">
        <v>0</v>
      </c>
    </row>
    <row r="76" ht="17.25" customHeight="1">
      <c r="E76" s="2342" t="s">
        <v>229</v>
      </c>
      <c r="F76" s="2342"/>
      <c r="G76" s="2343"/>
      <c r="H76" s="2343"/>
      <c r="I76" s="2343"/>
      <c r="J76" s="2343"/>
      <c r="K76" s="2343"/>
      <c r="L76" s="2343"/>
      <c r="M76" s="2343"/>
      <c r="N76" s="2343"/>
      <c r="O76" s="2343"/>
      <c r="P76" s="2343"/>
      <c r="Q76" s="2343"/>
      <c r="R76" s="2343"/>
      <c r="S76" s="2343"/>
      <c r="T76" s="2343"/>
      <c r="U76" s="2343"/>
      <c r="V76" s="2343"/>
      <c r="W76" s="2343"/>
      <c r="AR76" s="274">
        <v>0</v>
      </c>
    </row>
    <row r="77" ht="17.25" customHeight="1">
      <c r="E77" s="2342" t="s">
        <v>230</v>
      </c>
      <c r="F77" s="2342"/>
      <c r="G77" s="2343"/>
      <c r="H77" s="2343"/>
      <c r="I77" s="2343"/>
      <c r="J77" s="2343"/>
      <c r="K77" s="2343"/>
      <c r="L77" s="2343"/>
      <c r="M77" s="2343"/>
      <c r="N77" s="2343"/>
      <c r="O77" s="2343"/>
      <c r="P77" s="2343"/>
      <c r="Q77" s="2343"/>
      <c r="R77" s="2343"/>
      <c r="S77" s="2343"/>
      <c r="T77" s="2343"/>
      <c r="U77" s="2343"/>
      <c r="V77" s="2343"/>
      <c r="W77" s="2343"/>
      <c r="AR77" s="274">
        <v>0</v>
      </c>
    </row>
    <row r="78" s="9344" customFormat="1" ht="11.25" hidden="1" customHeight="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r="79" s="9344" customFormat="1" ht="17.25" hidden="1" customHeight="1">
      <c r="A79" s="491"/>
      <c r="C79" s="379"/>
      <c r="D79" s="2305">
        <v>1</v>
      </c>
      <c r="E79" s="2313" t="s">
        <v>231</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232</v>
      </c>
      <c r="AD79" s="1437" t="s">
        <v>233</v>
      </c>
      <c r="AE79" s="1437" t="s">
        <v>234</v>
      </c>
      <c r="AF79" s="1437" t="s">
        <v>235</v>
      </c>
      <c r="AG79" s="1437"/>
      <c r="AH79" s="1437" t="str">
        <f>IF($E$79=0,"",$E$79)</f>
        <v xml:space="preserve">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r="80" s="9344" customFormat="1" ht="17.25" hidden="1" customHeight="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r="81" s="9344" customFormat="1" ht="17.25" hidden="1" customHeight="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r="82" s="9344" customFormat="1" ht="17.25" hidden="1" customHeight="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r="83" s="9344" customFormat="1" ht="17.25" hidden="1" customHeight="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r="84" s="9344" customFormat="1" ht="17.25" hidden="1" customHeight="1">
      <c r="A84" s="491"/>
      <c r="C84" s="379"/>
      <c r="D84" s="2305">
        <v>2</v>
      </c>
      <c r="E84" s="2313" t="s">
        <v>236</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237</v>
      </c>
      <c r="AD84" s="1437" t="s">
        <v>238</v>
      </c>
      <c r="AE84" s="1437" t="s">
        <v>239</v>
      </c>
      <c r="AF84" s="1437" t="s">
        <v>240</v>
      </c>
      <c r="AG84" s="1437"/>
      <c r="AH84" s="1437" t="str">
        <f>IF($E$84=0,"",$E$84)</f>
        <v xml:space="preserve">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r="85" s="9344" customFormat="1" ht="17.25" hidden="1" customHeight="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r="86" s="9344" customFormat="1" ht="17.25" hidden="1" customHeight="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r="87" s="9344" customFormat="1" ht="17.25" hidden="1" customHeight="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r="88" s="9344" customFormat="1" ht="17.25" hidden="1" customHeight="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r="89" s="9344" customFormat="1" ht="17.25" hidden="1" customHeight="1">
      <c r="A89" s="491"/>
      <c r="C89" s="379"/>
      <c r="D89" s="2305">
        <v>3</v>
      </c>
      <c r="E89" s="2313" t="s">
        <v>241</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242</v>
      </c>
      <c r="AD89" s="1437" t="s">
        <v>243</v>
      </c>
      <c r="AE89" s="1437" t="s">
        <v>244</v>
      </c>
      <c r="AF89" s="1437" t="s">
        <v>245</v>
      </c>
      <c r="AG89" s="1437"/>
      <c r="AH89" s="1437" t="str">
        <f>IF($E$89=0,"",$E$89)</f>
        <v xml:space="preserve">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r="90" s="9344" customFormat="1" ht="17.25" hidden="1" customHeight="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r="91" s="9344" customFormat="1" ht="17.25" hidden="1" customHeight="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r="92" s="9344" customFormat="1" ht="17.25" hidden="1" customHeight="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r="93" s="9344" customFormat="1" ht="17.25" hidden="1" customHeight="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r="94" s="9344" customFormat="1" ht="17.25" hidden="1" customHeight="1">
      <c r="A94" s="491"/>
      <c r="C94" s="379"/>
      <c r="D94" s="2305">
        <v>4</v>
      </c>
      <c r="E94" s="2313" t="s">
        <v>246</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247</v>
      </c>
      <c r="AD94" s="1437" t="s">
        <v>248</v>
      </c>
      <c r="AE94" s="1437" t="s">
        <v>249</v>
      </c>
      <c r="AF94" s="1437" t="s">
        <v>250</v>
      </c>
      <c r="AG94" s="1437"/>
      <c r="AH94" s="1437" t="str">
        <f>IF($E$94=0,"",$E$94)</f>
        <v xml:space="preserve">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r="95" s="9344" customFormat="1" ht="17.25" hidden="1" customHeight="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r="96" s="9344" customFormat="1" ht="17.25" hidden="1" customHeight="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r="97" s="9344" customFormat="1" ht="17.25" hidden="1" customHeight="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r="98" s="9344" customFormat="1" ht="17.25" hidden="1" customHeight="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r="99" s="9344" customFormat="1" ht="17.25" hidden="1" customHeight="1">
      <c r="A99" s="491"/>
      <c r="C99" s="379"/>
      <c r="D99" s="2305">
        <v>5</v>
      </c>
      <c r="E99" s="2313" t="s">
        <v>251</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252</v>
      </c>
      <c r="AD99" s="1437" t="s">
        <v>253</v>
      </c>
      <c r="AE99" s="1437" t="s">
        <v>254</v>
      </c>
      <c r="AF99" s="1437" t="s">
        <v>255</v>
      </c>
      <c r="AG99" s="1437"/>
      <c r="AH99" s="1437" t="str">
        <f>IF($E$99=0,"",$E$99)</f>
        <v xml:space="preserve">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r="100" s="9344" customFormat="1" ht="17.25" hidden="1" customHeight="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r="101" s="9344" customFormat="1" ht="17.25" hidden="1" customHeight="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r="102" s="9344" customFormat="1" ht="17.25" hidden="1" customHeight="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r="103" s="9344" customFormat="1" ht="17.25" hidden="1" customHeight="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r="104" s="9344" customFormat="1" ht="11.25" hidden="1" customHeight="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r="105" s="9344" customFormat="1" ht="17.25" hidden="1" customHeight="1">
      <c r="A105" s="491"/>
      <c r="C105" s="379"/>
      <c r="D105" s="2305">
        <v>1</v>
      </c>
      <c r="E105" s="2313" t="s">
        <v>256</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257</v>
      </c>
      <c r="AD105" s="1437" t="s">
        <v>258</v>
      </c>
      <c r="AE105" s="1437" t="s">
        <v>259</v>
      </c>
      <c r="AF105" s="1437" t="s">
        <v>260</v>
      </c>
      <c r="AG105" s="1437"/>
      <c r="AH105" s="1437" t="str">
        <f>IF($E$105=0,"",$E$105)</f>
        <v xml:space="preserve">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r="106" s="9344" customFormat="1" ht="17.25" hidden="1" customHeight="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r="107" s="9344" customFormat="1" ht="17.25" hidden="1" customHeight="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r="108" s="9344" customFormat="1" ht="17.25" hidden="1" customHeight="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r="109" s="9344" customFormat="1" ht="17.25" hidden="1" customHeight="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r="110" s="9344" customFormat="1" ht="17.25" hidden="1" customHeight="1">
      <c r="A110" s="491"/>
      <c r="C110" s="379"/>
      <c r="D110" s="2305">
        <v>2</v>
      </c>
      <c r="E110" s="2313" t="s">
        <v>261</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262</v>
      </c>
      <c r="AD110" s="1437" t="s">
        <v>263</v>
      </c>
      <c r="AE110" s="1437" t="s">
        <v>264</v>
      </c>
      <c r="AF110" s="1437" t="s">
        <v>265</v>
      </c>
      <c r="AG110" s="1437"/>
      <c r="AH110" s="1437" t="str">
        <f>IF($E$110=0,"",$E$110)</f>
        <v xml:space="preserve">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r="111" s="9344" customFormat="1" ht="17.25" hidden="1" customHeight="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r="112" s="9344" customFormat="1" ht="17.25" hidden="1" customHeight="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r="113" s="9344" customFormat="1" ht="17.25" hidden="1" customHeight="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r="114" s="9344" customFormat="1" ht="17.25" hidden="1" customHeight="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r="115" s="9344" customFormat="1" ht="17.25" hidden="1" customHeight="1">
      <c r="A115" s="491"/>
      <c r="C115" s="379"/>
      <c r="D115" s="2305">
        <v>3</v>
      </c>
      <c r="E115" s="2313" t="s">
        <v>266</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267</v>
      </c>
      <c r="AD115" s="1437" t="s">
        <v>268</v>
      </c>
      <c r="AE115" s="1437" t="s">
        <v>269</v>
      </c>
      <c r="AF115" s="1437" t="s">
        <v>270</v>
      </c>
      <c r="AG115" s="1437"/>
      <c r="AH115" s="1437" t="str">
        <f>IF($E$115=0,"",$E$115)</f>
        <v xml:space="preserve">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r="116" s="9344" customFormat="1" ht="17.25" hidden="1" customHeight="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r="117" s="9344" customFormat="1" ht="17.25" hidden="1" customHeight="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r="118" s="9344" customFormat="1" ht="17.25" hidden="1" customHeight="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r="119" s="9344" customFormat="1" ht="17.25" hidden="1" customHeight="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r="120" s="9344" customFormat="1" ht="11.25" hidden="1" customHeight="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r="121" s="9344" customFormat="1" ht="17.25" hidden="1" customHeight="1">
      <c r="A121" s="491"/>
      <c r="C121" s="379"/>
      <c r="D121" s="2305">
        <v>1</v>
      </c>
      <c r="E121" s="2313" t="s">
        <v>271</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272</v>
      </c>
      <c r="AD121" s="1437" t="s">
        <v>273</v>
      </c>
      <c r="AE121" s="1437" t="s">
        <v>274</v>
      </c>
      <c r="AF121" s="1437" t="s">
        <v>275</v>
      </c>
      <c r="AG121" s="1437"/>
      <c r="AH121" s="1437" t="str">
        <f>IF($E$121=0,"",$E$121)</f>
        <v xml:space="preserve">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r="122" s="9344" customFormat="1" ht="17.25" hidden="1" customHeight="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r="123" s="9344" customFormat="1" ht="17.25" hidden="1" customHeight="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r="124" s="9344" customFormat="1" ht="17.25" hidden="1" customHeight="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r="125" s="9344" customFormat="1" ht="17.25" hidden="1" customHeight="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r="126" s="9344" customFormat="1" ht="17.25" hidden="1" customHeight="1">
      <c r="A126" s="491"/>
      <c r="C126" s="379"/>
      <c r="D126" s="2305">
        <v>2</v>
      </c>
      <c r="E126" s="2313" t="s">
        <v>276</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277</v>
      </c>
      <c r="AD126" s="1437" t="s">
        <v>278</v>
      </c>
      <c r="AE126" s="1437" t="s">
        <v>279</v>
      </c>
      <c r="AF126" s="1437" t="s">
        <v>280</v>
      </c>
      <c r="AG126" s="1437"/>
      <c r="AH126" s="1437" t="str">
        <f>IF($E$126=0,"",$E$126)</f>
        <v xml:space="preserve">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r="127" s="9344" customFormat="1" ht="17.25" hidden="1" customHeight="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r="128" s="9344" customFormat="1" ht="17.25" hidden="1" customHeight="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r="129" s="9344" customFormat="1" ht="17.25" hidden="1" customHeight="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r="130" s="9344" customFormat="1" ht="17.25" hidden="1" customHeight="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r="131" s="9344" customFormat="1" ht="17.25" hidden="1" customHeight="1">
      <c r="A131" s="491"/>
      <c r="C131" s="379"/>
      <c r="D131" s="2305">
        <v>3</v>
      </c>
      <c r="E131" s="2313" t="s">
        <v>281</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282</v>
      </c>
      <c r="AD131" s="1437" t="s">
        <v>283</v>
      </c>
      <c r="AE131" s="1437" t="s">
        <v>284</v>
      </c>
      <c r="AF131" s="1437" t="s">
        <v>285</v>
      </c>
      <c r="AG131" s="1437"/>
      <c r="AH131" s="1437" t="str">
        <f>IF($E$131=0,"",$E$131)</f>
        <v xml:space="preserve">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r="132" s="9344" customFormat="1" ht="17.25" hidden="1" customHeight="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r="133" s="9344" customFormat="1" ht="17.25" hidden="1" customHeight="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r="134" s="9344" customFormat="1" ht="17.25" hidden="1" customHeight="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r="135" s="9344" customFormat="1" ht="17.25" hidden="1" customHeight="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r="136" ht="11.5" customHeight="1">
      <c r="AR136" s="274">
        <v>11</v>
      </c>
    </row>
    <row r="137" ht="11.5" customHeight="1">
      <c r="AR137" s="274">
        <v>11</v>
      </c>
    </row>
    <row r="138" ht="11.5" customHeight="1">
      <c r="AR138" s="274">
        <v>11</v>
      </c>
    </row>
    <row r="139" ht="11.5" customHeight="1">
      <c r="E139" s="1520"/>
      <c r="AR139" s="274">
        <v>11</v>
      </c>
    </row>
    <row r="140" ht="11.5" customHeight="1">
      <c r="E140" s="1520"/>
      <c r="AR140" s="274">
        <v>11</v>
      </c>
    </row>
    <row r="141" ht="11.5" customHeight="1">
      <c r="E141" s="1520"/>
      <c r="AR141" s="274">
        <v>11</v>
      </c>
    </row>
    <row r="142" ht="11.5" customHeight="1">
      <c r="E142" s="1520"/>
      <c r="AR142" s="274">
        <v>11</v>
      </c>
    </row>
    <row r="143" ht="11.5" customHeight="1">
      <c r="E143" s="1520"/>
      <c r="AR143" s="274">
        <v>11</v>
      </c>
    </row>
    <row r="144" ht="11.5" customHeight="1">
      <c r="E144" s="1520"/>
      <c r="AR144" s="274">
        <v>11</v>
      </c>
    </row>
    <row r="145" ht="11.5" customHeight="1">
      <c r="E145" s="1520"/>
      <c r="AR145" s="274">
        <v>11</v>
      </c>
    </row>
    <row r="146" ht="11.25" hidden="1" customHeight="1">
      <c r="A146" s="323" t="s">
        <v>83</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autoFilter="0" deleteColumns="1" deleteRows="1" formatColumns="0" formatRows="0" insertColumns="1" insertRows="1" sheet="1" sort="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28:P29"/>
    <mergeCell ref="Q28:Q29"/>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 ref="O18:O20"/>
    <mergeCell ref="S18:S19"/>
    <mergeCell ref="P18:P19"/>
    <mergeCell ref="Q18:Q19"/>
    <mergeCell ref="R18:R19"/>
    <mergeCell ref="K18:K21"/>
    <mergeCell ref="M18:M20"/>
    <mergeCell ref="L18:L20"/>
    <mergeCell ref="N18:N20"/>
    <mergeCell ref="J18:J21"/>
    <mergeCell ref="H18:H21"/>
    <mergeCell ref="I18:I21"/>
  </mergeCells>
  <dataValidations count="16">
    <dataValidation sqref="K38:K39 K48:K49 O48:O49 S48:S49 K43:K44 K28:K29 O38:O39 O43:O44 O28:O29 S38:S3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allowBlank="1" prompt="Для выбора выполните двойной щелчок левой клавиши мыши по соответствующей ячейке." showErrorMessage="1" showInputMessage="1"/>
    <dataValidation sqref="G105:G119 G121:G135 G79:G103 G13:G67" allowBlank="1" prompt="Выберите виды деятельности, выполнив двойной щелчок левой кнопки мыши по ячейке." showErrorMessage="1" showInputMessage="1"/>
    <dataValidation sqref="K13" allowBlank="1" prompt="Для выбора выполните двойной щелчок левой клавиши мыши по соответствующей ячейке." showErrorMessage="1" showInputMessage="1"/>
    <dataValidation sqref="N13"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O13" allowBlank="1" prompt="Для выбора выполните двойной щелчок левой клавиши мыши по соответствующей ячейке." showErrorMessage="1" showInputMessage="1"/>
    <dataValidation sqref="S13" allowBlank="1" prompt="Для выбора выполните двойной щелчок левой клавиши мыши по соответствующей ячейке." showErrorMessage="1" showInputMessage="1"/>
    <dataValidation sqref="N14"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S14" allowBlank="1" prompt="Для выбора выполните двойной щелчок левой клавиши мыши по соответствующей ячейке." showErrorMessage="1" showInputMessage="1"/>
    <dataValidation sqref="N15"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K18" allowBlank="1" prompt="Для выбора выполните двойной щелчок левой клавиши мыши по соответствующей ячейке." showErrorMessage="1" showInputMessage="1"/>
    <dataValidation sqref="N18"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O18" allowBlank="1" prompt="Для выбора выполните двойной щелчок левой клавиши мыши по соответствующей ячейке." showErrorMessage="1" showInputMessage="1"/>
    <dataValidation sqref="S18" allowBlank="1" prompt="Для выбора выполните двойной щелчок левой клавиши мыши по соответствующей ячейке." showErrorMessage="1" showInputMessage="1"/>
    <dataValidation sqref="N19"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 sqref="S19" allowBlank="1" prompt="Для выбора выполните двойной щелчок левой клавиши мыши по соответствующей ячейке." showErrorMessage="1" showInputMessage="1"/>
    <dataValidation sqref="N20"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5">
        <x14:dataValidation xr:uid="{004900E8-00C8-4A2F-80AC-006100030028}" type="textLength" allowBlank="1" error="Допускается ввод не более 900 символов!" errorTitle="Ошибка" operator="lessThanOrEqual" showErrorMessage="1" showInputMessage="1">
          <x14:formula1>
            <xm:f>900</xm:f>
          </x14:formula1>
          <xm:sqref>J38:J39 J48:J49 R48:R49 V48:W48 J43:J44 J28:J29 R38:R39 R43:R44 R28:R29 V38:W38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xm:sqref>
        </x14:dataValidation>
        <x14:dataValidation xr:uid="{003100DC-0035-4F06-9529-0063000F00A0}" type="list" allowBlank="1" error="Выберите значение из списка" errorTitle="Ошиб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x14:formula1>
            <xm:f>DESCRIPTION_TERRITORY</xm:f>
          </x14:formula1>
          <xm:sqref>N48:N50 N43:N45 N28:N30 N38:N40 N33:N35 N79:N81 N94:N96 N84:N86 N89:N91 N53:N55 N105:N107 N110:N112 N126:N128 N121:N123 N58:N60 N63:N65 N99:N101 N115:N117 N131:N133 N23:N25</xm:sqref>
        </x14:dataValidation>
        <x14:dataValidation xr:uid="{0058002E-007C-4DB9-9576-000800DC003F}" type="list" allowBlank="1" error="Выберите значение из списка" errorTitle="Ошибка" prompt="Выберите значение из списка" showErrorMessage="1" showInputMessage="1">
          <x14:formula1>
            <xm:f>kind_of_tariff_RHEAT</xm:f>
          </x14:formula1>
          <xm:sqref>E18:E22</xm:sqref>
        </x14:dataValidation>
        <x14:dataValidation xr:uid="{004D001F-00DE-4125-81EE-005D00430027}" type="textLength" allowBlank="1" error="Допускается ввод не более 900 символов!" errorTitle="Ошибка" operator="lessThanOrEqual" showErrorMessage="1" showInputMessage="1">
          <x14:formula1>
            <xm:f>900</xm:f>
          </x14:formula1>
          <xm:sqref>J13</xm:sqref>
        </x14:dataValidation>
        <x14:dataValidation xr:uid="{00E90059-00BA-4149-A429-00D2008000E1}" type="textLength" allowBlank="1" error="Допускается ввод не более 900 символов!" errorTitle="Ошибка" operator="lessThanOrEqual" showErrorMessage="1" showInputMessage="1">
          <x14:formula1>
            <xm:f>900</xm:f>
          </x14:formula1>
          <xm:sqref>R13</xm:sqref>
        </x14:dataValidation>
        <x14:dataValidation xr:uid="{00300000-0073-42F1-BAD4-009700BC00C9}" type="textLength" allowBlank="1" error="Допускается ввод не более 900 символов!" errorTitle="Ошибка" operator="lessThanOrEqual" showErrorMessage="1" showInputMessage="1">
          <x14:formula1>
            <xm:f>900</xm:f>
          </x14:formula1>
          <xm:sqref>V13</xm:sqref>
        </x14:dataValidation>
        <x14:dataValidation xr:uid="{00AB0061-00CA-4484-9F1F-009C00080050}" type="textLength" allowBlank="1" error="Допускается ввод не более 900 символов!" errorTitle="Ошибка" operator="lessThanOrEqual" showErrorMessage="1" showInputMessage="1">
          <x14:formula1>
            <xm:f>900</xm:f>
          </x14:formula1>
          <xm:sqref>W13</xm:sqref>
        </x14:dataValidation>
        <x14:dataValidation xr:uid="{007E0080-0052-409D-A85A-003300BF000E}" type="textLength" allowBlank="1" error="Допускается ввод не более 900 символов!" errorTitle="Ошибка" operator="lessThanOrEqual" showErrorMessage="1" showInputMessage="1">
          <x14:formula1>
            <xm:f>900</xm:f>
          </x14:formula1>
          <xm:sqref>J14</xm:sqref>
        </x14:dataValidation>
        <x14:dataValidation xr:uid="{00D60005-00E7-440C-8D2B-008E005200D3}" type="textLength" allowBlank="1" error="Допускается ввод не более 900 символов!" errorTitle="Ошибка" operator="lessThanOrEqual" showErrorMessage="1" showInputMessage="1">
          <x14:formula1>
            <xm:f>900</xm:f>
          </x14:formula1>
          <xm:sqref>R14</xm:sqref>
        </x14:dataValidation>
        <x14:dataValidation xr:uid="{006000C5-00A6-4210-AAE6-00A5009C00A3}" type="textLength" allowBlank="1" error="Допускается ввод не более 900 символов!" errorTitle="Ошибка" operator="lessThanOrEqual" showErrorMessage="1" showInputMessage="1">
          <x14:formula1>
            <xm:f>900</xm:f>
          </x14:formula1>
          <xm:sqref>J18</xm:sqref>
        </x14:dataValidation>
        <x14:dataValidation xr:uid="{003A00DE-00CA-4C2C-8144-0069006100AE}" type="textLength" allowBlank="1" error="Допускается ввод не более 900 символов!" errorTitle="Ошибка" operator="lessThanOrEqual" showErrorMessage="1" showInputMessage="1">
          <x14:formula1>
            <xm:f>900</xm:f>
          </x14:formula1>
          <xm:sqref>R18</xm:sqref>
        </x14:dataValidation>
        <x14:dataValidation xr:uid="{003700A4-00ED-4F64-A1C8-006D00110089}" type="textLength" allowBlank="1" error="Допускается ввод не более 900 символов!" errorTitle="Ошибка" operator="lessThanOrEqual" showErrorMessage="1" showInputMessage="1">
          <x14:formula1>
            <xm:f>900</xm:f>
          </x14:formula1>
          <xm:sqref>V18</xm:sqref>
        </x14:dataValidation>
        <x14:dataValidation xr:uid="{00BC0021-0058-4619-8335-00530032003F}" type="textLength" allowBlank="1" error="Допускается ввод не более 900 символов!" errorTitle="Ошибка" operator="lessThanOrEqual" showErrorMessage="1" showInputMessage="1">
          <x14:formula1>
            <xm:f>900</xm:f>
          </x14:formula1>
          <xm:sqref>W18</xm:sqref>
        </x14:dataValidation>
        <x14:dataValidation xr:uid="{001B0064-0016-4C6D-B3CE-005100C700F4}" type="textLength" allowBlank="1" error="Допускается ввод не более 900 символов!" errorTitle="Ошибка" operator="lessThanOrEqual" showErrorMessage="1" showInputMessage="1">
          <x14:formula1>
            <xm:f>900</xm:f>
          </x14:formula1>
          <xm:sqref>J19</xm:sqref>
        </x14:dataValidation>
        <x14:dataValidation xr:uid="{002100DD-002D-4298-8897-004E00CD0077}" type="textLength" allowBlank="1" error="Допускается ввод не более 900 символов!" errorTitle="Ошибка" operator="lessThanOrEqual" showErrorMessage="1" showInputMessage="1">
          <x14:formula1>
            <xm:f>900</xm:f>
          </x14:formula1>
          <xm:sqref>R19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defaultRowHeight="11.25" customHeight="1"/>
  <cols>
    <col hidden="1" min="1" max="2" style="9278" width="9.140625"/>
    <col customWidth="1" min="3" max="4" style="9278" width="3.00390625"/>
    <col customWidth="1" min="5" max="6" style="9278" width="15.00390625"/>
    <col customWidth="1" min="7" max="7" style="9278" width="11.57421875"/>
    <col customWidth="1" min="8" max="9" style="9278" width="3.00390625"/>
    <col customWidth="1" min="10" max="10" style="9278" width="12.00390625"/>
    <col customWidth="1" min="11" max="11" style="9278" width="0.28125"/>
    <col customWidth="1" min="12" max="13" style="9278" width="10.00390625"/>
    <col customWidth="1" min="14" max="15" style="9278" width="3.00390625"/>
    <col customWidth="1" min="16" max="16" style="9278" width="19.00390625"/>
    <col customWidth="1" min="17" max="17" style="9278" width="0.28125"/>
    <col customWidth="1" min="18" max="19" style="9278" width="10.00390625"/>
    <col customWidth="1" min="20" max="21" style="9278" width="3.00390625"/>
    <col customWidth="1" min="22" max="22" style="9278" width="25.00390625"/>
    <col customWidth="1" min="23" max="23" style="9278" width="0.28125"/>
    <col customWidth="1" min="24" max="25" style="9278" width="10.00390625"/>
    <col customWidth="1" min="26" max="27" style="9278" width="3.00390625"/>
    <col customWidth="1" min="28" max="28" style="9278" width="16.00390625"/>
    <col customWidth="1" min="29" max="29" style="9278" width="0.28125"/>
    <col customWidth="1" min="30" max="31" style="9278" width="10.00390625"/>
    <col customWidth="1" min="32" max="33" style="9278" width="3.00390625"/>
    <col customWidth="1" min="34" max="34" style="9278" width="8.00390625"/>
    <col customWidth="1" min="35" max="35" style="9278" width="21.00390625"/>
    <col customWidth="1" min="36" max="36" style="9278" width="8.00390625"/>
    <col customWidth="1" min="37" max="37" style="9697" width="8.00390625"/>
    <col customWidth="1" min="38" max="64" style="9278" width="8.00390625"/>
    <col hidden="1" min="65" max="65" style="9278" width="9.140625"/>
  </cols>
  <sheetData>
    <row r="1" s="9621" customFormat="1" ht="11.25" hidden="1" customHeight="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r="2" s="9622" customFormat="1" ht="11.25" hidden="1" customHeight="1">
      <c r="L2" s="1723" t="s">
        <v>286</v>
      </c>
      <c r="M2" s="1723" t="s">
        <v>287</v>
      </c>
      <c r="R2" s="1723" t="s">
        <v>288</v>
      </c>
      <c r="S2" s="1723" t="s">
        <v>287</v>
      </c>
      <c r="X2" s="1723" t="s">
        <v>286</v>
      </c>
      <c r="Y2" s="1723" t="s">
        <v>287</v>
      </c>
      <c r="AD2" s="1723" t="s">
        <v>286</v>
      </c>
      <c r="AE2" s="1723" t="s">
        <v>287</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r="3" s="9625" customFormat="1" ht="11.5" customHeight="1">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r="4" s="9233" customFormat="1" ht="34.5" customHeight="1">
      <c r="A4" s="1326"/>
      <c r="B4" s="1325"/>
      <c r="C4" s="1685"/>
      <c r="D4" s="2361" t="s">
        <v>289</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r="5" s="9233" customFormat="1" ht="14.65" customHeight="1">
      <c r="A5" s="1802"/>
      <c r="B5" s="1801"/>
      <c r="C5" s="1685"/>
      <c r="D5" s="2346" t="str">
        <f>IF(org=0,"Не определено",org)</f>
        <v xml:space="preserve">АО "ДГК" СП "Биробиджанская ТЭЦ"</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r="6" s="9233" customFormat="1" ht="14.65" customHeight="1">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r="7" s="9621" customFormat="1" ht="1.05" customHeight="1">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r="8" ht="33.75" customHeight="1">
      <c r="D8" s="2297" t="s">
        <v>89</v>
      </c>
      <c r="E8" s="2297" t="s">
        <v>106</v>
      </c>
      <c r="F8" s="2362" t="s">
        <v>122</v>
      </c>
      <c r="G8" s="2363"/>
      <c r="H8" s="2362" t="s">
        <v>89</v>
      </c>
      <c r="I8" s="2363"/>
      <c r="J8" s="2297" t="s">
        <v>123</v>
      </c>
      <c r="K8" s="1726"/>
      <c r="L8" s="2366" t="s">
        <v>290</v>
      </c>
      <c r="M8" s="2366"/>
      <c r="N8" s="2366"/>
      <c r="O8" s="2366"/>
      <c r="P8" s="2366"/>
      <c r="Q8" s="1727"/>
      <c r="R8" s="2266" t="s">
        <v>291</v>
      </c>
      <c r="S8" s="2367"/>
      <c r="T8" s="2367"/>
      <c r="U8" s="2367"/>
      <c r="V8" s="2367"/>
      <c r="W8" s="1727"/>
      <c r="X8" s="2368" t="s">
        <v>292</v>
      </c>
      <c r="Y8" s="2368"/>
      <c r="Z8" s="2368"/>
      <c r="AA8" s="2368"/>
      <c r="AB8" s="2368"/>
      <c r="AC8" s="1728"/>
      <c r="AD8" s="2297" t="s">
        <v>293</v>
      </c>
      <c r="AE8" s="2297"/>
      <c r="AF8" s="2297"/>
      <c r="AG8" s="2297"/>
      <c r="AH8" s="2271"/>
      <c r="AI8" s="2297" t="s">
        <v>294</v>
      </c>
      <c r="AJ8" s="1744"/>
      <c r="BM8" s="463">
        <v>32</v>
      </c>
    </row>
    <row r="9" ht="23.25" customHeight="1">
      <c r="D9" s="2297"/>
      <c r="E9" s="2297"/>
      <c r="F9" s="2345" t="s">
        <v>90</v>
      </c>
      <c r="G9" s="2345" t="s">
        <v>128</v>
      </c>
      <c r="H9" s="2364"/>
      <c r="I9" s="2365"/>
      <c r="J9" s="2271"/>
      <c r="K9" s="1729"/>
      <c r="L9" s="2297" t="s">
        <v>295</v>
      </c>
      <c r="M9" s="2271"/>
      <c r="N9" s="2362" t="s">
        <v>89</v>
      </c>
      <c r="O9" s="2363"/>
      <c r="P9" s="2297" t="s">
        <v>129</v>
      </c>
      <c r="Q9" s="1726"/>
      <c r="R9" s="2297" t="s">
        <v>295</v>
      </c>
      <c r="S9" s="2271"/>
      <c r="T9" s="2362" t="s">
        <v>89</v>
      </c>
      <c r="U9" s="2363"/>
      <c r="V9" s="2297" t="s">
        <v>129</v>
      </c>
      <c r="W9" s="1726"/>
      <c r="X9" s="2297" t="s">
        <v>295</v>
      </c>
      <c r="Y9" s="2271"/>
      <c r="Z9" s="2362" t="s">
        <v>89</v>
      </c>
      <c r="AA9" s="2363"/>
      <c r="AB9" s="2297" t="s">
        <v>296</v>
      </c>
      <c r="AC9" s="1726"/>
      <c r="AD9" s="2297" t="s">
        <v>295</v>
      </c>
      <c r="AE9" s="2271"/>
      <c r="AF9" s="2362" t="s">
        <v>89</v>
      </c>
      <c r="AG9" s="2363"/>
      <c r="AH9" s="2271" t="s">
        <v>296</v>
      </c>
      <c r="AI9" s="2297"/>
      <c r="AJ9" s="1744"/>
      <c r="BM9" s="463">
        <v>22</v>
      </c>
    </row>
    <row r="10" ht="24" customHeight="1">
      <c r="D10" s="2345"/>
      <c r="E10" s="2345"/>
      <c r="F10" s="2369"/>
      <c r="G10" s="2369"/>
      <c r="H10" s="2370"/>
      <c r="I10" s="2371"/>
      <c r="J10" s="2362"/>
      <c r="K10" s="1729"/>
      <c r="L10" s="1748" t="s">
        <v>297</v>
      </c>
      <c r="M10" s="1743" t="s">
        <v>298</v>
      </c>
      <c r="N10" s="2364"/>
      <c r="O10" s="2365"/>
      <c r="P10" s="2345"/>
      <c r="Q10" s="1726"/>
      <c r="R10" s="1748" t="s">
        <v>297</v>
      </c>
      <c r="S10" s="1743" t="s">
        <v>298</v>
      </c>
      <c r="T10" s="2364"/>
      <c r="U10" s="2365"/>
      <c r="V10" s="2345"/>
      <c r="W10" s="1726"/>
      <c r="X10" s="1748" t="s">
        <v>297</v>
      </c>
      <c r="Y10" s="1743" t="s">
        <v>298</v>
      </c>
      <c r="Z10" s="2364"/>
      <c r="AA10" s="2365"/>
      <c r="AB10" s="2345"/>
      <c r="AC10" s="1726"/>
      <c r="AD10" s="1748" t="s">
        <v>297</v>
      </c>
      <c r="AE10" s="1743" t="s">
        <v>298</v>
      </c>
      <c r="AF10" s="2364"/>
      <c r="AG10" s="2365"/>
      <c r="AH10" s="2362"/>
      <c r="AI10" s="2345"/>
      <c r="AJ10" s="1744"/>
      <c r="AK10" s="424" t="s">
        <v>299</v>
      </c>
      <c r="AL10" s="424" t="s">
        <v>130</v>
      </c>
      <c r="BM10" s="463">
        <v>23</v>
      </c>
    </row>
    <row r="11" ht="15" customHeight="1">
      <c r="D11" s="2353" t="s">
        <v>110</v>
      </c>
      <c r="E11" s="2349" t="s">
        <v>300</v>
      </c>
      <c r="F11" s="2349" t="s">
        <v>301</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r="12" ht="14.65" customHeight="1">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r="13" ht="14.65" customHeight="1">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r="14" ht="14.65" customHeight="1">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r="15" ht="11.5" customHeight="1">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r="16" s="9625" customFormat="1" ht="11.5" customHeight="1">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r="17" ht="15" customHeight="1">
      <c r="D17" s="2353" t="s">
        <v>111</v>
      </c>
      <c r="E17" s="2349" t="s">
        <v>300</v>
      </c>
      <c r="F17" s="2349" t="s">
        <v>302</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r="18" ht="14.65" customHeight="1">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r="19" ht="14.65" customHeight="1">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r="20" ht="14.65" customHeight="1">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r="21" ht="11.5" customHeight="1">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r="22" s="9625" customFormat="1" ht="11.5" customHeight="1">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r="23" ht="15" customHeight="1">
      <c r="D23" s="2353" t="s">
        <v>91</v>
      </c>
      <c r="E23" s="2349" t="s">
        <v>300</v>
      </c>
      <c r="F23" s="2349" t="s">
        <v>303</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99</v>
      </c>
      <c r="BM23" s="463">
        <v>14</v>
      </c>
    </row>
    <row r="24" ht="14.65" customHeight="1">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r="25" ht="14.65" customHeight="1">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r="26" ht="14.65" customHeight="1">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r="27" ht="11.5" customHeight="1">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r="28" s="9625" customFormat="1" ht="11.5" customHeight="1">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r="29" ht="15" customHeight="1">
      <c r="D29" s="2353" t="s">
        <v>92</v>
      </c>
      <c r="E29" s="2349" t="s">
        <v>300</v>
      </c>
      <c r="F29" s="2349" t="s">
        <v>304</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r="30" ht="14.65" customHeight="1">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r="31" ht="14.65" customHeight="1">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r="32" ht="14.65" customHeight="1">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r="33" ht="11.5" customHeight="1">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r="34" s="9625" customFormat="1" ht="11.5" customHeight="1">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r="35" ht="15" customHeight="1">
      <c r="D35" s="2353" t="s">
        <v>112</v>
      </c>
      <c r="E35" s="2349" t="s">
        <v>300</v>
      </c>
      <c r="F35" s="2349" t="s">
        <v>305</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r="36" ht="14.65" customHeight="1">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r="37" ht="14.65" customHeight="1">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r="38" ht="14.65" customHeight="1">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r="39" ht="11.5" customHeight="1">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r="40" s="9625" customFormat="1" ht="11.5" customHeight="1">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r="41" ht="11.5" customHeight="1">
      <c r="AK41" s="593"/>
      <c r="BM41" s="463">
        <v>11</v>
      </c>
    </row>
    <row r="42" ht="11.5" customHeight="1">
      <c r="AK42" s="593"/>
      <c r="BM42" s="463">
        <v>11</v>
      </c>
    </row>
    <row r="43" ht="11.5" customHeight="1">
      <c r="AK43" s="593"/>
      <c r="BM43" s="463">
        <v>11</v>
      </c>
    </row>
    <row r="44" ht="11.5" customHeight="1">
      <c r="AK44" s="593"/>
      <c r="BM44" s="463">
        <v>11</v>
      </c>
    </row>
    <row r="45" ht="11.5" customHeight="1">
      <c r="AK45" s="593"/>
      <c r="BM45" s="463">
        <v>11</v>
      </c>
    </row>
    <row r="46" ht="11.5" customHeight="1">
      <c r="AK46" s="593"/>
      <c r="BM46" s="463">
        <v>11</v>
      </c>
    </row>
    <row r="47" ht="11.5" customHeight="1">
      <c r="AK47" s="593"/>
      <c r="BM47" s="463">
        <v>11</v>
      </c>
    </row>
    <row r="48" ht="11.5" customHeight="1">
      <c r="AK48" s="593"/>
      <c r="BM48" s="463">
        <v>11</v>
      </c>
    </row>
    <row r="49" ht="11.5" customHeight="1">
      <c r="AK49" s="593"/>
      <c r="BM49" s="463">
        <v>11</v>
      </c>
    </row>
    <row r="50" ht="11.25" hidden="1" customHeight="1">
      <c r="A50" s="463" t="s">
        <v>83</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autoFilter="0" deleteColumns="1" deleteRows="1" formatColumns="0" formatRows="0" insertColumns="1" insertRows="1" sheet="1" sort="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7600D9-00EC-4B37-98A0-0048004A003E}" type="textLength" allowBlank="1" error="Допускается ввод не более 900 символов!" errorTitle="Ошибка" operator="lessThanOrEqual" showErrorMessage="1" showInputMessage="1">
          <x14:formula1>
            <xm:f>900</xm:f>
          </x14:formula1>
          <xm:sqref>AI29 AI23 P17:P20 J23:J27 J29:J33 AI35 J35:J39 P35:P38 P29:P32 AI17 J17:J21 P23:P26 AI11 J11:J15 P11:P14</xm:sqref>
        </x14:dataValidation>
        <x14:dataValidation xr:uid="{007900F5-00E3-4384-9BD9-00C2002C001F}" type="list" allowBlank="1" error="Выберите значение из списка" errorStyle="warning" errorTitle="Ошибка" prompt="Выберите значение из списка или укажите свой вид твердых коммунальных отходов" showInputMessage="1">
          <x14:formula1>
            <xm:f>list_typeTKO</xm:f>
          </x14:formula1>
          <xm:sqref>AC17 AC23 AC35 AC29 AC11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defaultRowHeight="11.25" customHeight="1"/>
  <cols>
    <col customWidth="1" hidden="1" min="1" max="1" style="9785" width="15.00390625"/>
    <col customWidth="1" hidden="1" min="2" max="2" style="9742" width="15.00390625"/>
    <col customWidth="1" min="3" max="3" style="9786" width="3.00390625"/>
    <col customWidth="1" min="4" max="4" style="9787" width="6.00390625"/>
    <col customWidth="1" min="5" max="5" style="9786" width="52.00390625"/>
    <col customWidth="1" min="6" max="6" style="9786" width="48.00390625"/>
    <col customWidth="1" min="7" max="7" style="9786" width="121.00390625"/>
    <col customWidth="1" min="8" max="8" style="9786" width="8.00390625"/>
    <col customWidth="1" min="9" max="9" style="9786" width="64.00390625"/>
    <col hidden="1" min="10" max="10" style="9786" width="9.140625"/>
  </cols>
  <sheetData>
    <row r="1" ht="11.25" hidden="1" customHeight="1">
      <c r="A1" s="1856" t="s">
        <v>306</v>
      </c>
      <c r="J1" s="625" t="s">
        <v>14</v>
      </c>
    </row>
    <row r="2" ht="11.25" hidden="1" customHeight="1">
      <c r="J2" s="625">
        <v>0</v>
      </c>
    </row>
    <row r="3" s="9700" customFormat="1" ht="11.5" customHeight="1">
      <c r="A3" s="1856"/>
      <c r="B3" s="671"/>
      <c r="D3" s="648"/>
      <c r="J3" s="647">
        <v>11</v>
      </c>
    </row>
    <row r="4" ht="27.300000000000001" customHeight="1">
      <c r="D4" s="2327" t="str">
        <f>ORG_INFO_NAME_FORM</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28"/>
      <c r="F4" s="2329"/>
      <c r="I4" s="885"/>
      <c r="J4" s="625">
        <v>26</v>
      </c>
    </row>
    <row r="5" ht="18" customHeight="1">
      <c r="D5" s="2346" t="str">
        <f>IF(org=0,"Не определено",org)</f>
        <v xml:space="preserve">АО "ДГК" СП "Биробиджанская ТЭЦ"</v>
      </c>
      <c r="E5" s="2346"/>
      <c r="F5" s="2346"/>
      <c r="I5" s="885"/>
      <c r="J5" s="625">
        <v>17</v>
      </c>
    </row>
    <row r="6" s="9700" customFormat="1" ht="11.5" customHeight="1">
      <c r="A6" s="1856"/>
      <c r="B6" s="671"/>
      <c r="D6" s="884"/>
      <c r="E6" s="884"/>
      <c r="F6" s="922"/>
      <c r="G6" s="884"/>
      <c r="J6" s="647">
        <v>11</v>
      </c>
    </row>
    <row r="7" ht="11.25" hidden="1" customHeight="1">
      <c r="A7" s="627"/>
      <c r="B7" s="672"/>
      <c r="C7" s="627"/>
      <c r="D7" s="633"/>
      <c r="E7" s="2377"/>
      <c r="F7" s="2377"/>
      <c r="J7" s="625">
        <v>0</v>
      </c>
    </row>
    <row r="8" ht="11.5" customHeight="1">
      <c r="A8" s="627"/>
      <c r="B8" s="672"/>
      <c r="C8" s="627"/>
      <c r="D8" s="2374" t="s">
        <v>307</v>
      </c>
      <c r="E8" s="2375"/>
      <c r="F8" s="2375"/>
      <c r="G8" s="2378" t="s">
        <v>308</v>
      </c>
      <c r="J8" s="625">
        <v>11</v>
      </c>
    </row>
    <row r="9" ht="11.5" customHeight="1">
      <c r="A9" s="627"/>
      <c r="B9" s="672"/>
      <c r="C9" s="627"/>
      <c r="D9" s="642" t="s">
        <v>89</v>
      </c>
      <c r="E9" s="616" t="s">
        <v>309</v>
      </c>
      <c r="F9" s="616" t="s">
        <v>310</v>
      </c>
      <c r="G9" s="2379"/>
      <c r="J9" s="625">
        <v>11</v>
      </c>
    </row>
    <row r="10" ht="12" hidden="1" customHeight="1">
      <c r="A10" s="627"/>
      <c r="B10" s="672"/>
      <c r="C10" s="627"/>
      <c r="D10" s="634"/>
      <c r="E10" s="634"/>
      <c r="F10" s="634"/>
      <c r="G10" s="634"/>
      <c r="J10" s="625">
        <v>0</v>
      </c>
    </row>
    <row r="11" ht="22.5" hidden="1" customHeight="1">
      <c r="A11" s="627"/>
      <c r="B11" s="672"/>
      <c r="C11" s="627"/>
      <c r="D11" s="1179" t="s">
        <v>110</v>
      </c>
      <c r="E11" s="1182" t="s">
        <v>311</v>
      </c>
      <c r="F11" s="1181" t="str">
        <f>IF(region_name="","",region_name)</f>
        <v xml:space="preserve">Еврейская автономная область</v>
      </c>
      <c r="G11" s="1182" t="s">
        <v>312</v>
      </c>
      <c r="H11" s="645"/>
      <c r="J11" s="625">
        <v>0</v>
      </c>
    </row>
    <row r="12" ht="22.5" hidden="1" customHeight="1">
      <c r="A12" s="627"/>
      <c r="B12" s="672"/>
      <c r="C12" s="627"/>
      <c r="D12" s="615" t="s">
        <v>110</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v>
      </c>
      <c r="F12" s="613" t="s">
        <v>313</v>
      </c>
      <c r="G12" s="644"/>
      <c r="H12" s="645"/>
      <c r="J12" s="625">
        <v>0</v>
      </c>
    </row>
    <row r="13" ht="23.25" customHeight="1">
      <c r="A13" s="627"/>
      <c r="B13" s="672"/>
      <c r="C13" s="627"/>
      <c r="D13" s="615" t="s">
        <v>110</v>
      </c>
      <c r="E13" s="612" t="str">
        <f>"Наименование юридического лица"&amp;IF(TEMPLATE_SPHERE="TKO"," (индивидуального предпринимателя)","")</f>
        <v xml:space="preserve">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 xml:space="preserve">Наименование юридического лица (согласно уставу регулируемой организации)</v>
      </c>
      <c r="H13" s="645"/>
      <c r="J13" s="625">
        <v>22</v>
      </c>
    </row>
    <row r="14" ht="22.5" hidden="1" customHeight="1">
      <c r="A14" s="627"/>
      <c r="B14" s="672"/>
      <c r="C14" s="627"/>
      <c r="D14" s="1179" t="s">
        <v>314</v>
      </c>
      <c r="E14" s="1180" t="s">
        <v>315</v>
      </c>
      <c r="F14" s="1181" t="str">
        <f>IF(inn="","",inn)</f>
        <v>1434031363</v>
      </c>
      <c r="G14" s="1182" t="s">
        <v>316</v>
      </c>
      <c r="H14" s="645"/>
      <c r="J14" s="625">
        <v>0</v>
      </c>
    </row>
    <row r="15" ht="22.5" hidden="1" customHeight="1">
      <c r="A15" s="627"/>
      <c r="B15" s="672"/>
      <c r="C15" s="627"/>
      <c r="D15" s="1179" t="s">
        <v>317</v>
      </c>
      <c r="E15" s="1180" t="s">
        <v>318</v>
      </c>
      <c r="F15" s="1181" t="str">
        <f>IF(kpp="","",kpp)</f>
        <v>790145002</v>
      </c>
      <c r="G15" s="1182" t="s">
        <v>319</v>
      </c>
      <c r="H15" s="645"/>
      <c r="J15" s="625">
        <v>0</v>
      </c>
    </row>
    <row r="16" ht="39" customHeight="1">
      <c r="A16" s="627"/>
      <c r="B16" s="672"/>
      <c r="C16" s="627"/>
      <c r="D16" s="615" t="s">
        <v>111</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 xml:space="preserve">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 xml:space="preserve">Указывается основной государственный регистрационный номер юридического лица (индивидуального предпринимателя).</v>
      </c>
      <c r="H16" s="645"/>
      <c r="J16" s="625">
        <v>37</v>
      </c>
    </row>
    <row r="17" ht="23.25" customHeight="1">
      <c r="A17" s="627"/>
      <c r="B17" s="672"/>
      <c r="C17" s="627"/>
      <c r="D17" s="615" t="s">
        <v>91</v>
      </c>
      <c r="E17" s="612" t="str">
        <f>"Дата присвоения ОГРН"&amp;IF(TEMPLATE_SPHERE="TKO",""," (ОГРНИП)")</f>
        <v xml:space="preserve">Дата присвоения ОГРН (ОГРНИП)</v>
      </c>
      <c r="F17" s="1902" t="s">
        <v>28</v>
      </c>
      <c r="G17" s="614" t="str">
        <f>"Дата присвоения ОГРН"&amp;IF(TEMPLATE_SPHERE="TKO",""," (ОГРНИП)")&amp;" указывается в виде «ДД.ММ.ГГГГ»."</f>
        <v xml:space="preserve">Дата присвоения ОГРН (ОГРНИП) указывается в виде «ДД.ММ.ГГГГ».</v>
      </c>
      <c r="H17" s="645"/>
      <c r="J17" s="625">
        <v>22</v>
      </c>
    </row>
    <row r="18" ht="71.25" customHeight="1">
      <c r="A18" s="627"/>
      <c r="B18" s="672"/>
      <c r="C18" s="627"/>
      <c r="D18" s="615" t="s">
        <v>92</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 xml:space="preserve">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r="19" ht="22.5" hidden="1" customHeight="1">
      <c r="A19" s="2372" t="s">
        <v>320</v>
      </c>
      <c r="B19" s="672"/>
      <c r="C19" s="2383"/>
      <c r="D19" s="615" t="str">
        <f>A19</f>
        <v>5.1</v>
      </c>
      <c r="E19" s="612" t="s">
        <v>321</v>
      </c>
      <c r="F19" s="613" t="s">
        <v>313</v>
      </c>
      <c r="G19" s="614" t="s">
        <v>322</v>
      </c>
      <c r="H19" s="645"/>
      <c r="I19" s="1022"/>
      <c r="J19" s="625">
        <v>0</v>
      </c>
    </row>
    <row r="20" ht="24" hidden="1" customHeight="1">
      <c r="A20" s="2372"/>
      <c r="B20" s="672"/>
      <c r="C20" s="2383"/>
      <c r="D20" s="610" t="str">
        <f>D19&amp;".1"</f>
        <v>5.1.1</v>
      </c>
      <c r="E20" s="609" t="s">
        <v>323</v>
      </c>
      <c r="F20" s="1051" t="s">
        <v>28</v>
      </c>
      <c r="G20" s="644"/>
      <c r="H20" s="645"/>
      <c r="I20" s="1022"/>
      <c r="J20" s="625">
        <v>0</v>
      </c>
    </row>
    <row r="21" ht="22.5" hidden="1" customHeight="1">
      <c r="A21" s="2372"/>
      <c r="B21" s="672"/>
      <c r="C21" s="2383"/>
      <c r="D21" s="610" t="str">
        <f>D19&amp;".2"</f>
        <v>5.1.2</v>
      </c>
      <c r="E21" s="609" t="s">
        <v>324</v>
      </c>
      <c r="F21" s="1903" t="s">
        <v>28</v>
      </c>
      <c r="G21" s="614" t="s">
        <v>325</v>
      </c>
      <c r="H21" s="645"/>
      <c r="I21" s="1022"/>
      <c r="J21" s="625">
        <v>0</v>
      </c>
    </row>
    <row r="22" ht="22.5" hidden="1" customHeight="1">
      <c r="A22" s="2372"/>
      <c r="B22" s="672"/>
      <c r="C22" s="2383"/>
      <c r="D22" s="610" t="str">
        <f>D19&amp;".3"</f>
        <v>5.1.3</v>
      </c>
      <c r="E22" s="609" t="s">
        <v>326</v>
      </c>
      <c r="F22" s="1051" t="s">
        <v>28</v>
      </c>
      <c r="G22" s="644"/>
      <c r="H22" s="645"/>
      <c r="I22" s="1022"/>
      <c r="J22" s="625">
        <v>0</v>
      </c>
    </row>
    <row r="23" ht="22.5" hidden="1" customHeight="1">
      <c r="A23" s="2372"/>
      <c r="B23" s="672"/>
      <c r="C23" s="2383"/>
      <c r="D23" s="610" t="str">
        <f>D19&amp;".4"</f>
        <v>5.1.4</v>
      </c>
      <c r="E23" s="609" t="s">
        <v>327</v>
      </c>
      <c r="F23" s="1051" t="s">
        <v>28</v>
      </c>
      <c r="G23" s="614" t="s">
        <v>328</v>
      </c>
      <c r="H23" s="645"/>
      <c r="I23" s="1022"/>
      <c r="J23" s="625">
        <v>0</v>
      </c>
    </row>
    <row r="24" ht="22.5" hidden="1" customHeight="1">
      <c r="A24" s="2148"/>
      <c r="B24" s="672"/>
      <c r="C24" s="662"/>
      <c r="D24" s="637"/>
      <c r="E24" s="1338" t="s">
        <v>329</v>
      </c>
      <c r="F24" s="638"/>
      <c r="G24" s="639"/>
      <c r="H24" s="645"/>
      <c r="I24" s="1022"/>
      <c r="J24" s="625">
        <v>0</v>
      </c>
    </row>
    <row r="25" s="9742" customFormat="1" ht="24.75" hidden="1" customHeight="1">
      <c r="A25" s="627"/>
      <c r="B25" s="672"/>
      <c r="C25" s="672"/>
      <c r="D25" s="1176" t="s">
        <v>91</v>
      </c>
      <c r="E25" s="1178" t="s">
        <v>330</v>
      </c>
      <c r="F25" s="1183" t="s">
        <v>313</v>
      </c>
      <c r="G25" s="1178"/>
      <c r="J25" s="671">
        <v>0</v>
      </c>
    </row>
    <row r="26" s="9742" customFormat="1" ht="11.25" hidden="1" customHeight="1">
      <c r="A26" s="627"/>
      <c r="B26" s="672"/>
      <c r="C26" s="672"/>
      <c r="D26" s="1176" t="s">
        <v>331</v>
      </c>
      <c r="E26" s="1177" t="s">
        <v>332</v>
      </c>
      <c r="F26" s="1183" t="s">
        <v>313</v>
      </c>
      <c r="G26" s="1178"/>
      <c r="J26" s="671">
        <v>0</v>
      </c>
    </row>
    <row r="27" s="9742" customFormat="1" ht="11.25" hidden="1" customHeight="1">
      <c r="A27" s="627"/>
      <c r="B27" s="672"/>
      <c r="C27" s="672"/>
      <c r="D27" s="1176" t="s">
        <v>333</v>
      </c>
      <c r="E27" s="1184" t="s">
        <v>334</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71">
        <v>0</v>
      </c>
    </row>
    <row r="28" s="9742" customFormat="1" ht="11.25" hidden="1" customHeight="1">
      <c r="A28" s="627"/>
      <c r="B28" s="672"/>
      <c r="C28" s="672"/>
      <c r="D28" s="1176" t="s">
        <v>335</v>
      </c>
      <c r="E28" s="1184" t="s">
        <v>336</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 xml:space="preserve">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71">
        <v>0</v>
      </c>
    </row>
    <row r="29" s="9742" customFormat="1" ht="11.25" hidden="1" customHeight="1">
      <c r="A29" s="627"/>
      <c r="B29" s="672"/>
      <c r="C29" s="672"/>
      <c r="D29" s="1176" t="s">
        <v>337</v>
      </c>
      <c r="E29" s="1184" t="s">
        <v>338</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 xml:space="preserve">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71">
        <v>0</v>
      </c>
    </row>
    <row r="30" s="9742" customFormat="1" ht="11.25" hidden="1" customHeight="1">
      <c r="A30" s="627"/>
      <c r="B30" s="672"/>
      <c r="C30" s="672"/>
      <c r="D30" s="1176" t="s">
        <v>339</v>
      </c>
      <c r="E30" s="1177" t="s">
        <v>340</v>
      </c>
      <c r="F30" s="1185"/>
      <c r="G30" s="1178"/>
      <c r="J30" s="671">
        <v>0</v>
      </c>
    </row>
    <row r="31" s="9742" customFormat="1" ht="11.25" hidden="1" customHeight="1">
      <c r="A31" s="627"/>
      <c r="B31" s="672"/>
      <c r="C31" s="672"/>
      <c r="D31" s="1176" t="s">
        <v>341</v>
      </c>
      <c r="E31" s="1177" t="s">
        <v>342</v>
      </c>
      <c r="F31" s="1185"/>
      <c r="G31" s="1178"/>
      <c r="J31" s="671">
        <v>0</v>
      </c>
    </row>
    <row r="32" s="9742" customFormat="1" ht="11.25" hidden="1" customHeight="1">
      <c r="A32" s="627"/>
      <c r="B32" s="672"/>
      <c r="C32" s="672"/>
      <c r="D32" s="1176" t="s">
        <v>343</v>
      </c>
      <c r="E32" s="1177" t="s">
        <v>344</v>
      </c>
      <c r="F32" s="1186"/>
      <c r="G32" s="1178"/>
      <c r="J32" s="671">
        <v>0</v>
      </c>
    </row>
    <row r="33" ht="24" customHeight="1">
      <c r="A33" s="627" t="str">
        <f>IF(TEMPLATE_SPHERE="HEAT","6","5")</f>
        <v>6</v>
      </c>
      <c r="B33" s="672"/>
      <c r="C33" s="627"/>
      <c r="D33" s="610" t="str">
        <f>A33</f>
        <v>6</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 xml:space="preserve">Фамилия, имя и отчество руководителя регулируемой организации, ЕТО, ТО  (индивидуального предпринимателя):</v>
      </c>
      <c r="F33" s="613" t="s">
        <v>313</v>
      </c>
      <c r="G33" s="644"/>
      <c r="H33" s="645"/>
      <c r="J33" s="625">
        <v>23</v>
      </c>
    </row>
    <row r="34" ht="23.25" customHeight="1">
      <c r="A34" s="627"/>
      <c r="B34" s="672"/>
      <c r="C34" s="627"/>
      <c r="D34" s="610" t="str">
        <f>D33&amp;".1"</f>
        <v>6.1</v>
      </c>
      <c r="E34" s="612" t="str">
        <f>"фамилия"&amp;IF(TEMPLATE_SPHERE&lt;&gt;"HEAT"," руководителя","")</f>
        <v>фамилия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фамилия руководителя регулируемой организации, ЕТО, ТО в соответствии с паспортными данными физического лица.</v>
      </c>
      <c r="H34" s="645"/>
      <c r="J34" s="625">
        <v>22</v>
      </c>
    </row>
    <row r="35" ht="23.25" customHeight="1">
      <c r="A35" s="627"/>
      <c r="B35" s="672"/>
      <c r="C35" s="627"/>
      <c r="D35" s="610" t="str">
        <f>D33&amp;".2"</f>
        <v>6.2</v>
      </c>
      <c r="E35" s="612" t="str">
        <f>"имя"&amp;IF(TEMPLATE_SPHERE&lt;&gt;"HEAT"," руководителя","")</f>
        <v>имя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 xml:space="preserve">Указывается имя руководителя регулируемой организации, ЕТО, ТО в соответствии с паспортными данными физического лица.</v>
      </c>
      <c r="H35" s="645"/>
      <c r="J35" s="625">
        <v>22</v>
      </c>
    </row>
    <row r="36" ht="24" customHeight="1">
      <c r="A36" s="627"/>
      <c r="B36" s="672"/>
      <c r="C36" s="627"/>
      <c r="D36" s="610" t="str">
        <f>D33&amp;".3"</f>
        <v>6.3</v>
      </c>
      <c r="E36" s="612" t="str">
        <f>"отчество"&amp;IF(TEMPLATE_SPHERE&lt;&gt;"HEAT"," руководителя","")</f>
        <v>отчество</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 xml:space="preserve">Указывается отчество руководителя регулируемой организации, ЕТО, ТО в соответствии с паспортными данными физического лица (при наличии).</v>
      </c>
      <c r="H36" s="645"/>
      <c r="J36" s="625">
        <v>23</v>
      </c>
    </row>
    <row r="37" ht="35.649999999999999" customHeight="1">
      <c r="A37" s="627"/>
      <c r="B37" s="672"/>
      <c r="C37" s="627"/>
      <c r="D37" s="610">
        <f>D33+1</f>
        <v>7</v>
      </c>
      <c r="E37" s="608" t="str">
        <f>"Почтовый адрес органов управления"&amp;IF(TEMPLATE_SPHERE&lt;&gt;"TKO"," регулируемой","")&amp;" организации"&amp;IF(TEMPLATE_SPHERE="HEAT",", ЕТО, ТО","")</f>
        <v xml:space="preserve">Почтовый адрес органов управления регулируемой организации, ЕТО, ТО</v>
      </c>
      <c r="F37" s="611"/>
      <c r="G37" s="614" t="s">
        <v>345</v>
      </c>
      <c r="H37" s="645"/>
      <c r="J37" s="625">
        <v>34</v>
      </c>
    </row>
    <row r="38" ht="35.649999999999999" customHeight="1">
      <c r="A38" s="627"/>
      <c r="B38" s="672"/>
      <c r="C38" s="627"/>
      <c r="D38" s="610">
        <f>D37+1</f>
        <v>8</v>
      </c>
      <c r="E38" s="608" t="str">
        <f>"Адрес места нахождения органов управления"&amp;IF(TEMPLATE_SPHERE&lt;&gt;"TKO"," регулируемой","")&amp;" организации"&amp;IF(TEMPLATE_SPHERE="HEAT",", ЕТО, ТО","")</f>
        <v xml:space="preserve">Адрес места нахождения органов управления регулируемой организации, ЕТО, ТО</v>
      </c>
      <c r="F38" s="611"/>
      <c r="G38" s="614" t="s">
        <v>345</v>
      </c>
      <c r="H38" s="645"/>
      <c r="J38" s="625">
        <v>34</v>
      </c>
    </row>
    <row r="39" ht="23.25" customHeight="1">
      <c r="A39" s="627"/>
      <c r="B39" s="672"/>
      <c r="C39" s="627"/>
      <c r="D39" s="610">
        <f>D38+1</f>
        <v>9</v>
      </c>
      <c r="E39" s="607" t="str">
        <f>"Контактные телефоны "&amp;IF(TEMPLATE_SPHERE="TKO","","регулируемой ")&amp;"организации"&amp;IF(TEMPLATE_SPHERE="HEAT",", ЕТО, ТО",IF(TEMPLATE_SPHERE="TKO"," (индивидуального предпринимателя)",""))</f>
        <v xml:space="preserve">Контактные телефоны регулируемой организации, ЕТО, ТО</v>
      </c>
      <c r="F39" s="613" t="s">
        <v>313</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 xml:space="preserve">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r="40" ht="22.5" hidden="1" customHeight="1">
      <c r="A40" s="627"/>
      <c r="B40" s="672"/>
      <c r="C40" s="627"/>
      <c r="D40" s="610" t="str">
        <f>D39&amp;".0"</f>
        <v>9.0</v>
      </c>
      <c r="E40" s="1775"/>
      <c r="F40" s="1051"/>
      <c r="G40" s="2381"/>
      <c r="H40" s="645"/>
      <c r="J40" s="625">
        <v>0</v>
      </c>
    </row>
    <row r="41" ht="23.25" customHeight="1">
      <c r="A41" s="627"/>
      <c r="B41" s="627"/>
      <c r="C41" s="1858"/>
      <c r="D41" s="610" t="str">
        <f>D39&amp;".1"</f>
        <v>9.1</v>
      </c>
      <c r="E41" s="1030"/>
      <c r="F41" s="1031"/>
      <c r="G41" s="2381"/>
      <c r="H41" s="645"/>
      <c r="J41" s="625">
        <v>22</v>
      </c>
    </row>
    <row r="42" ht="15.75" customHeight="1">
      <c r="A42" s="627"/>
      <c r="B42" s="672"/>
      <c r="C42" s="627"/>
      <c r="D42" s="637"/>
      <c r="E42" s="585" t="s">
        <v>346</v>
      </c>
      <c r="F42" s="639"/>
      <c r="G42" s="2382"/>
      <c r="H42" s="646"/>
      <c r="J42" s="625">
        <v>15</v>
      </c>
    </row>
    <row r="43" ht="27.300000000000001" customHeight="1">
      <c r="A43" s="627"/>
      <c r="B43" s="672"/>
      <c r="C43" s="627"/>
      <c r="D43" s="610">
        <f>D39+1</f>
        <v>10</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 xml:space="preserve">Официальный сайт регулируемой организации, ЕТО, ТО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 xml:space="preserve">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r="44" ht="23.25" customHeight="1">
      <c r="A44" s="627"/>
      <c r="B44" s="672"/>
      <c r="C44" s="627"/>
      <c r="D44" s="610">
        <f>D43+1</f>
        <v>11</v>
      </c>
      <c r="E44" s="608" t="str">
        <f>"Адрес электронной почты "&amp;IF(TEMPLATE_SPHERE="TKO","","регулируемой ")&amp;"организации"&amp;IF(TEMPLATE_SPHERE="HEAT",", ЕТО, ТО",IF(TEMPLATE_SPHERE="TKO"," (индивидуального предпринимателя)",""))</f>
        <v xml:space="preserve">Адрес электронной почты регулируемой организации, ЕТО, ТО</v>
      </c>
      <c r="F44" s="548"/>
      <c r="G44" s="644" t="s">
        <v>347</v>
      </c>
      <c r="H44" s="645"/>
      <c r="J44" s="625">
        <v>22</v>
      </c>
    </row>
    <row r="45" ht="23.25" customHeight="1">
      <c r="A45" s="627"/>
      <c r="B45" s="672"/>
      <c r="C45" s="627"/>
      <c r="D45" s="610">
        <f>D44+1</f>
        <v>12</v>
      </c>
      <c r="E45" s="608" t="s">
        <v>348</v>
      </c>
      <c r="F45" s="613" t="s">
        <v>313</v>
      </c>
      <c r="G45" s="607" t="str">
        <f>IF(TEMPLATE_SPHERE="TKO","Указывается режим работы организации.","")</f>
        <v/>
      </c>
      <c r="H45" s="645"/>
      <c r="J45" s="625">
        <v>22</v>
      </c>
    </row>
    <row r="46" ht="24" customHeight="1">
      <c r="A46" s="627"/>
      <c r="B46" s="672"/>
      <c r="C46" s="627"/>
      <c r="D46" s="610" t="str">
        <f>D45&amp;".1"</f>
        <v>12.1</v>
      </c>
      <c r="E46" s="612" t="str">
        <f>"режим работы регулируемой организации"&amp;IF(TEMPLATE_SPHERE="HEAT",", ЕТО, ТО","")</f>
        <v xml:space="preserve">режим работы регулируемой организации, ЕТО, ТО</v>
      </c>
      <c r="F46" s="1854"/>
      <c r="G46" s="607" t="s">
        <v>349</v>
      </c>
      <c r="H46" s="645"/>
      <c r="J46" s="625">
        <v>23</v>
      </c>
    </row>
    <row r="47" ht="24" customHeight="1">
      <c r="A47" s="2372"/>
      <c r="B47" s="672"/>
      <c r="C47" s="662"/>
      <c r="D47" s="610" t="str">
        <f>D45&amp;".2"</f>
        <v>12.2</v>
      </c>
      <c r="E47" s="612" t="s">
        <v>350</v>
      </c>
      <c r="F47" s="660"/>
      <c r="G47" s="607" t="s">
        <v>351</v>
      </c>
      <c r="H47" s="645"/>
      <c r="J47" s="625">
        <v>23</v>
      </c>
    </row>
    <row r="48" ht="24" customHeight="1">
      <c r="A48" s="2372"/>
      <c r="B48" s="672"/>
      <c r="C48" s="662"/>
      <c r="D48" s="610" t="str">
        <f>D45&amp;".3"</f>
        <v>12.3</v>
      </c>
      <c r="E48" s="612" t="s">
        <v>352</v>
      </c>
      <c r="F48" s="660"/>
      <c r="G48" s="607" t="s">
        <v>353</v>
      </c>
      <c r="H48" s="645"/>
      <c r="J48" s="625">
        <v>23</v>
      </c>
    </row>
    <row r="49" ht="24" customHeight="1">
      <c r="A49" s="2372"/>
      <c r="B49" s="672"/>
      <c r="C49" s="662"/>
      <c r="D49" s="610" t="str">
        <f>IF(TEMPLATE_SPHERE="TKO",D45&amp;".0",D45&amp;".4")</f>
        <v>12.4</v>
      </c>
      <c r="E49" s="606" t="s">
        <v>354</v>
      </c>
      <c r="F49" s="1855"/>
      <c r="G49" s="1932" t="s">
        <v>355</v>
      </c>
      <c r="H49" s="645"/>
      <c r="J49" s="625">
        <v>23</v>
      </c>
    </row>
    <row r="50" ht="24" customHeight="1">
      <c r="A50" s="627"/>
      <c r="B50" s="672"/>
      <c r="C50" s="627"/>
      <c r="D50" s="637"/>
      <c r="E50" s="585" t="s">
        <v>356</v>
      </c>
      <c r="F50" s="638"/>
      <c r="G50" s="1932" t="s">
        <v>357</v>
      </c>
      <c r="H50" s="646"/>
      <c r="J50" s="625">
        <v>23</v>
      </c>
    </row>
    <row r="51" ht="24" customHeight="1">
      <c r="A51" s="1028"/>
      <c r="B51" s="672"/>
      <c r="C51" s="662"/>
      <c r="D51" s="610">
        <f>D45+1</f>
        <v>13</v>
      </c>
      <c r="E51" s="698" t="s">
        <v>358</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 xml:space="preserve">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645"/>
      <c r="J51" s="625">
        <v>23</v>
      </c>
    </row>
    <row r="52" ht="11.5" customHeight="1">
      <c r="A52" s="627"/>
      <c r="B52" s="672"/>
      <c r="C52" s="627"/>
      <c r="J52" s="625">
        <v>11</v>
      </c>
    </row>
    <row r="53" s="9771" customFormat="1" ht="31.5" customHeight="1">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 xml:space="preserve">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76"/>
      <c r="F53" s="2376"/>
      <c r="G53" s="2376"/>
      <c r="H53" s="624"/>
      <c r="I53" s="624"/>
      <c r="J53" s="630">
        <v>30</v>
      </c>
    </row>
    <row r="54" s="9771" customFormat="1" ht="42" customHeight="1">
      <c r="A54" s="627"/>
      <c r="B54" s="672"/>
      <c r="C54" s="2373"/>
      <c r="D54" s="2376" t="str">
        <f>IF(ORG_INFO_P_NOTE_MAIN=0,"",ORG_INFO_P_NOTE_MAIN)</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76"/>
      <c r="F54" s="2376"/>
      <c r="G54" s="2376"/>
      <c r="J54" s="630">
        <v>40</v>
      </c>
    </row>
    <row r="55" ht="11.5" customHeight="1">
      <c r="D55" s="628"/>
      <c r="E55" s="629"/>
      <c r="F55" s="629"/>
      <c r="G55" s="629"/>
      <c r="J55" s="625">
        <v>11</v>
      </c>
    </row>
    <row r="56" ht="28.5" customHeight="1">
      <c r="D56" s="631"/>
      <c r="E56" s="628"/>
      <c r="F56" s="640"/>
      <c r="G56" s="640"/>
      <c r="J56" s="625">
        <v>27</v>
      </c>
    </row>
    <row r="57" ht="11.5" customHeight="1">
      <c r="D57" s="628"/>
      <c r="E57" s="628"/>
      <c r="F57" s="629"/>
      <c r="G57" s="629"/>
      <c r="J57" s="625">
        <v>11</v>
      </c>
    </row>
    <row r="58" ht="40.899999999999999" customHeight="1">
      <c r="D58" s="632"/>
      <c r="E58" s="641"/>
      <c r="F58" s="641"/>
      <c r="G58" s="641"/>
      <c r="J58" s="625">
        <v>39</v>
      </c>
    </row>
    <row r="59" ht="28.5" customHeight="1">
      <c r="D59" s="632"/>
      <c r="E59" s="641"/>
      <c r="F59" s="641"/>
      <c r="G59" s="641"/>
      <c r="J59" s="625">
        <v>27</v>
      </c>
    </row>
    <row r="60" ht="11.25" hidden="1" customHeight="1">
      <c r="A60" s="1856" t="s">
        <v>83</v>
      </c>
      <c r="B60" s="671">
        <v>0</v>
      </c>
      <c r="C60" s="625">
        <v>3</v>
      </c>
      <c r="D60" s="626">
        <v>6</v>
      </c>
      <c r="E60" s="625">
        <v>52</v>
      </c>
      <c r="F60" s="625">
        <v>48</v>
      </c>
      <c r="G60" s="625">
        <v>121</v>
      </c>
      <c r="H60" s="625">
        <v>8</v>
      </c>
      <c r="I60" s="625">
        <v>64</v>
      </c>
      <c r="J60" s="625">
        <v>11</v>
      </c>
    </row>
  </sheetData>
  <sheetProtection autoFilter="0" deleteColumns="1" deleteRows="1" formatColumns="0" formatRows="0" insertColumns="1" insertRows="1" sheet="1" sort="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1">
    <dataValidation sqref="F21 F1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D30033-00E2-465C-ABD6-007D004600AA}"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F51 F46:F49</xm:sqref>
        </x14:dataValidation>
        <x14:dataValidation xr:uid="{00ED0069-0054-4DAE-B353-0077008100AF}" type="textLength" allowBlank="1" error="Допускается ввод не более 900 символов!" errorTitle="Ошибка" operator="lessThanOrEqual" showErrorMessage="1" showInputMessage="1">
          <x14:formula1>
            <xm:f>900</xm:f>
          </x14:formula1>
          <xm:sqref>F13 F43:F44 F27:F32 F16 E40:F41 F18 F20 F34:F38 F22:F23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defaultRowHeight="14.25" customHeight="1"/>
  <cols>
    <col customWidth="1" hidden="1" min="1" max="1" style="9102" width="9.140625"/>
    <col customWidth="1" hidden="1" min="2" max="2" style="9138" width="9.140625"/>
    <col customWidth="1" min="3" max="3" style="9306" width="3.00390625"/>
    <col customWidth="1" min="4" max="4" style="9138" width="5.00390625"/>
    <col customWidth="1" min="5" max="5" style="9138" width="48.00390625"/>
    <col customWidth="1" min="6" max="6" style="9138" width="38.00390625"/>
    <col customWidth="1" hidden="1" min="7" max="7" style="9138" width="1.7109375"/>
    <col customWidth="1" min="8" max="11" style="9138" width="19.8515625"/>
    <col customWidth="1" min="12" max="12" style="9138" width="9.7109375"/>
    <col customWidth="1" min="13" max="18" style="9138" width="19.8515625"/>
    <col customWidth="1" hidden="1" min="19" max="19" style="9138" width="1.7109375"/>
    <col customWidth="1" hidden="1" min="20" max="22" style="9138" width="19.8515625"/>
    <col customWidth="1" hidden="1" min="23" max="23" style="9138" width="1.7109375"/>
    <col customWidth="1" hidden="1" min="24" max="26" style="9138" width="19.8515625"/>
    <col customWidth="1" hidden="1" min="27" max="27" style="9138" width="1.7109375"/>
    <col customWidth="1" hidden="1" min="28" max="29" style="9138" width="19.8515625"/>
    <col customWidth="1" hidden="1" min="30" max="30" style="9138" width="1.7109375"/>
    <col customWidth="1" min="31" max="31" style="9138" width="103.7109375"/>
    <col customWidth="1" hidden="1" min="32" max="34" style="9138" width="103.7109375"/>
    <col customWidth="1" min="35" max="35" style="9233" width="3.00390625"/>
    <col customWidth="1" min="36" max="38" style="9218" width="10.00390625"/>
    <col customWidth="1" hidden="1" min="39" max="39" style="9218" width="13.7109375"/>
    <col customWidth="1" min="40" max="40" style="9218" width="15.00390625"/>
    <col customWidth="1" min="41" max="41" style="9218" width="16.00390625"/>
    <col customWidth="1" min="42" max="45" style="9218" width="10.00390625"/>
    <col hidden="1" min="46" max="46" style="9138" width="10.57421875"/>
  </cols>
  <sheetData>
    <row r="1" ht="22.5" hidden="1" customHeight="1">
      <c r="E1" s="582"/>
      <c r="F1" s="582"/>
      <c r="G1" s="582"/>
      <c r="H1" s="2387" t="s">
        <v>359</v>
      </c>
      <c r="I1" s="2387"/>
      <c r="J1" s="2387"/>
      <c r="K1" s="2387"/>
      <c r="L1" s="2387"/>
      <c r="M1" s="2387"/>
      <c r="N1" s="2387"/>
      <c r="O1" s="2387"/>
      <c r="P1" s="2387"/>
      <c r="Q1" s="2387"/>
      <c r="R1" s="2387"/>
      <c r="T1" s="2387" t="s">
        <v>360</v>
      </c>
      <c r="U1" s="2387"/>
      <c r="V1" s="2387"/>
      <c r="X1" s="2387" t="s">
        <v>361</v>
      </c>
      <c r="Y1" s="2387"/>
      <c r="Z1" s="2387"/>
      <c r="AB1" s="2387" t="s">
        <v>362</v>
      </c>
      <c r="AC1" s="2387"/>
      <c r="AT1" s="617" t="s">
        <v>14</v>
      </c>
    </row>
    <row r="2" ht="14.25" hidden="1" customHeight="1">
      <c r="AT2" s="617">
        <v>0</v>
      </c>
    </row>
    <row r="3" s="9790" customFormat="1" ht="5.25" customHeight="1">
      <c r="C3" s="871"/>
      <c r="D3" s="872"/>
      <c r="E3" s="872"/>
      <c r="F3" s="872"/>
      <c r="G3" s="872"/>
      <c r="H3" s="872" t="s">
        <v>363</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r="4" ht="39.75" customHeight="1">
      <c r="C4" s="620"/>
      <c r="D4" s="2327" t="str">
        <f>ORG_VD_NAME_FORM</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r="5" s="9138" customFormat="1" ht="18" customHeight="1">
      <c r="A5" s="929"/>
      <c r="C5" s="992"/>
      <c r="D5" s="2384" t="str">
        <f>IF(org=0,"Не определено",org)</f>
        <v xml:space="preserve">АО "ДГК" СП "Биробиджанская ТЭЦ"</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r="6" s="9113" customFormat="1" ht="11.5" customHeight="1">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r="7" ht="14.65" customHeight="1">
      <c r="C7" s="620"/>
      <c r="D7" s="2388" t="s">
        <v>307</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308</v>
      </c>
      <c r="AF7" s="2393" t="s">
        <v>308</v>
      </c>
      <c r="AG7" s="2393" t="s">
        <v>308</v>
      </c>
      <c r="AH7" s="2393" t="s">
        <v>308</v>
      </c>
      <c r="AT7" s="617">
        <v>14</v>
      </c>
    </row>
    <row r="8" ht="27.300000000000001" customHeight="1">
      <c r="C8" s="620"/>
      <c r="D8" s="2297" t="s">
        <v>89</v>
      </c>
      <c r="E8" s="2393" t="str">
        <f>"Наименование "&amp;IF(TEMPLATE_SPHERE&lt;&gt;"HEAT","централизованной ","")&amp;"системы "&amp;TEMPLATE_SPHERE_RUS</f>
        <v xml:space="preserve">Наименование системы теплоснабжения</v>
      </c>
      <c r="F8" s="2393" t="str">
        <f>IF(TEMPLATE_SPHERE&lt;&gt;"HEAT","Регулируемый вид деятельности","Вид регулируемой деятельности")</f>
        <v xml:space="preserve">Вид регулируемой деятельности</v>
      </c>
      <c r="G8" s="998"/>
      <c r="H8" s="2394" t="s">
        <v>364</v>
      </c>
      <c r="I8" s="2396" t="s">
        <v>365</v>
      </c>
      <c r="J8" s="2393" t="s">
        <v>366</v>
      </c>
      <c r="K8" s="2393"/>
      <c r="L8" s="2393"/>
      <c r="M8" s="2388"/>
      <c r="N8" s="2393" t="s">
        <v>367</v>
      </c>
      <c r="O8" s="2393"/>
      <c r="P8" s="2393" t="s">
        <v>368</v>
      </c>
      <c r="Q8" s="2393"/>
      <c r="R8" s="2400" t="s">
        <v>369</v>
      </c>
      <c r="S8" s="994"/>
      <c r="T8" s="2398" t="s">
        <v>370</v>
      </c>
      <c r="U8" s="2398" t="s">
        <v>371</v>
      </c>
      <c r="V8" s="2398" t="s">
        <v>372</v>
      </c>
      <c r="W8" s="996"/>
      <c r="X8" s="2398" t="s">
        <v>373</v>
      </c>
      <c r="Y8" s="2398" t="s">
        <v>374</v>
      </c>
      <c r="Z8" s="2398" t="s">
        <v>375</v>
      </c>
      <c r="AA8" s="996"/>
      <c r="AB8" s="2398" t="s">
        <v>376</v>
      </c>
      <c r="AC8" s="2398" t="s">
        <v>369</v>
      </c>
      <c r="AD8" s="996"/>
      <c r="AE8" s="2393"/>
      <c r="AF8" s="2393"/>
      <c r="AG8" s="2393"/>
      <c r="AH8" s="2393"/>
      <c r="AT8" s="617">
        <v>26</v>
      </c>
    </row>
    <row r="9" ht="46.149999999999999" customHeight="1">
      <c r="C9" s="620"/>
      <c r="D9" s="2297"/>
      <c r="E9" s="2393"/>
      <c r="F9" s="2393"/>
      <c r="G9" s="999"/>
      <c r="H9" s="2395"/>
      <c r="I9" s="2397"/>
      <c r="J9" s="595" t="s">
        <v>377</v>
      </c>
      <c r="K9" s="595" t="s">
        <v>378</v>
      </c>
      <c r="L9" s="595" t="s">
        <v>379</v>
      </c>
      <c r="M9" s="601" t="s">
        <v>380</v>
      </c>
      <c r="N9" s="595" t="s">
        <v>381</v>
      </c>
      <c r="O9" s="595" t="s">
        <v>380</v>
      </c>
      <c r="P9" s="595" t="s">
        <v>382</v>
      </c>
      <c r="Q9" s="595" t="s">
        <v>380</v>
      </c>
      <c r="R9" s="2401"/>
      <c r="S9" s="995"/>
      <c r="T9" s="2399"/>
      <c r="U9" s="2399"/>
      <c r="V9" s="2399"/>
      <c r="W9" s="997"/>
      <c r="X9" s="2399"/>
      <c r="Y9" s="2399"/>
      <c r="Z9" s="2399"/>
      <c r="AA9" s="997"/>
      <c r="AB9" s="2399"/>
      <c r="AC9" s="2399"/>
      <c r="AD9" s="997"/>
      <c r="AE9" s="2393"/>
      <c r="AF9" s="2393"/>
      <c r="AG9" s="2393"/>
      <c r="AH9" s="2393"/>
      <c r="AT9" s="617">
        <v>44</v>
      </c>
    </row>
    <row r="10" ht="12" hidden="1" customHeight="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r="11" s="9831" customFormat="1" ht="11.25" hidden="1" customHeight="1">
      <c r="C11" s="668"/>
      <c r="D11" s="669" t="s">
        <v>383</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r="12" ht="14.65" customHeight="1">
      <c r="A12" s="617"/>
      <c r="C12" s="620"/>
      <c r="D12" s="604" t="s">
        <v>110</v>
      </c>
      <c r="E12" s="1947" t="s">
        <v>28</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384</v>
      </c>
      <c r="AF12" s="2391" t="s">
        <v>385</v>
      </c>
      <c r="AG12" s="2391" t="s">
        <v>386</v>
      </c>
      <c r="AH12" s="2391" t="s">
        <v>387</v>
      </c>
      <c r="AI12" s="617"/>
      <c r="AM12" s="681"/>
      <c r="AP12" s="670" t="s">
        <v>388</v>
      </c>
      <c r="AQ12" s="670" t="s">
        <v>388</v>
      </c>
      <c r="AT12" s="617">
        <v>14</v>
      </c>
    </row>
    <row r="13" ht="18" customHeight="1">
      <c r="A13" s="617"/>
      <c r="C13" s="620"/>
      <c r="D13" s="575"/>
      <c r="E13" s="1039" t="str">
        <f>IF(TITLE_DIFFERENTIATION_TYPE="нет","","Добавить систему")</f>
        <v/>
      </c>
      <c r="F13" s="1039" t="str">
        <f>IF(TITLE_DIFFERENTIATION_TYPE="нет","Добавить вид деятельности","")</f>
        <v xml:space="preserve">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r="14" ht="14.65" customHeight="1">
      <c r="AI14" s="617"/>
      <c r="AT14" s="617">
        <v>14</v>
      </c>
    </row>
    <row r="15" ht="14.65" customHeight="1">
      <c r="E15" s="928"/>
      <c r="L15" s="928"/>
      <c r="AT15" s="617">
        <v>14</v>
      </c>
    </row>
    <row r="16" ht="14.65" customHeight="1">
      <c r="L16" s="928"/>
      <c r="AT16" s="617">
        <v>14</v>
      </c>
    </row>
    <row r="17" ht="14.65" customHeight="1">
      <c r="L17" s="928"/>
      <c r="AT17" s="617">
        <v>14</v>
      </c>
    </row>
    <row r="18" ht="22.5" hidden="1" customHeight="1">
      <c r="A18" s="619" t="s">
        <v>83</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autoFilter="0" deleteColumns="1" deleteRows="1" formatColumns="0" formatRows="0" insertColumns="1" insertRows="1" sheet="1" sort="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2">
    <dataValidation sqref="E11:G11" allowBlank="1" error="Допускается ввод только неотрицательных чисел!" errorTitle="Ошибка" showErrorMessage="1"/>
    <dataValidation sqref="F12"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C004D-0069-4F9D-824D-008F00B1009F}" type="decimal" allowBlank="1" error="Допускается ввод только неотрицательных чисел!" errorTitle="Ошибка" showErrorMessage="1">
          <x14:formula1>
            <xm:f>0</xm:f>
          </x14:formula1>
          <x14:formula2>
            <xm:f>9.99999999999999E+23</xm:f>
          </x14:formula2>
          <xm:sqref>H11:AD11 T12 H12:I12 AB12 X12 K12 M12 O12 Q12</xm:sqref>
        </x14:dataValidation>
        <x14:dataValidation xr:uid="{009D0093-00EA-47F2-9A06-00F5000F0095}" type="textLength" allowBlank="1" error="Допускается ввод не более 900 символов!" errorTitle="Ошибка" operator="lessThanOrEqual" showErrorMessage="1" showInputMessage="1">
          <x14:formula1>
            <xm:f>900</xm:f>
          </x14:formula1>
          <xm:sqref>E12</xm:sqref>
        </x14:dataValidation>
        <x14:dataValidation xr:uid="{00A2005F-00E7-48F2-8274-00B400100030}" type="whole" allowBlank="1" error="Допускается ввод только неотрицательных целых чисел!" errorTitle="Ошибка" showErrorMessage="1">
          <x14:formula1>
            <xm:f>0</xm:f>
          </x14:formula1>
          <x14:formula2>
            <xm:f>9.99999999999999E+23</xm:f>
          </x14:formula2>
          <xm:sqref>N12 P12 U12:V12 Y12:Z12 J12 R12:S12 AC12</xm:sqref>
        </x14:dataValidation>
        <x14:dataValidation xr:uid="{00CA0004-0052-422B-8933-00E900D60069}" type="list" allowBlank="1" error="Выберите значение из списка" errorTitle="Ошибка" prompt="Выберите значение из списка" showErrorMessage="1" showInputMessage="1">
          <x14:formula1>
            <xm:f>kind_of_power_te_unit</xm:f>
          </x14:formula1>
          <xm:sqref>L12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defaultRowHeight="14.25" customHeight="1"/>
  <cols>
    <col customWidth="1" hidden="1" min="1" max="1" style="9102" width="9.140625"/>
    <col customWidth="1" hidden="1" min="2" max="2" style="9138" width="9.140625"/>
    <col customWidth="1" min="3" max="3" style="9306" width="3.00390625"/>
    <col customWidth="1" min="4" max="4" style="9138" width="5.00390625"/>
    <col customWidth="1" min="5" max="5" style="9138" width="38.00390625"/>
    <col customWidth="1" min="6" max="7" style="9138" width="3.00390625"/>
    <col customWidth="1" min="8" max="8" style="9138" width="38.00390625"/>
    <col customWidth="1" min="9" max="9" style="9138" width="35.00390625"/>
    <col customWidth="1" min="10" max="10" style="9138" width="103.00390625"/>
    <col customWidth="1" min="11" max="11" style="9233" width="3.00390625"/>
    <col customWidth="1" min="12" max="14" style="9218" width="10.00390625"/>
    <col customWidth="1" min="15" max="15" style="9218" width="13.00390625"/>
    <col customWidth="1" min="16" max="16" style="9218" width="15.00390625"/>
    <col customWidth="1" min="17" max="17" style="9218" width="16.00390625"/>
    <col customWidth="1" min="18" max="21" style="9218" width="10.00390625"/>
    <col hidden="1" min="22" max="22" style="9138" width="10.57421875"/>
  </cols>
  <sheetData>
    <row r="1" ht="22.5" hidden="1" customHeight="1">
      <c r="E1" s="582"/>
      <c r="F1" s="582"/>
      <c r="G1" s="582"/>
      <c r="H1" s="2387" t="s">
        <v>359</v>
      </c>
      <c r="I1" s="2387"/>
      <c r="V1" s="1777" t="s">
        <v>14</v>
      </c>
    </row>
    <row r="2" s="9138" customFormat="1" ht="14.25" hidden="1" customHeight="1">
      <c r="C2" s="1789"/>
      <c r="D2" s="2403" t="s">
        <v>110</v>
      </c>
      <c r="E2" s="2405"/>
      <c r="F2" s="1795"/>
      <c r="G2" s="1790" t="s">
        <v>110</v>
      </c>
      <c r="H2" s="1793"/>
      <c r="I2" s="1791"/>
      <c r="L2" s="1792"/>
      <c r="M2" s="1792"/>
      <c r="N2" s="1792"/>
      <c r="O2" s="1792" t="s">
        <v>389</v>
      </c>
      <c r="P2" s="1792"/>
      <c r="Q2" s="1792"/>
      <c r="R2" s="1794" t="s">
        <v>388</v>
      </c>
      <c r="S2" s="1794" t="s">
        <v>388</v>
      </c>
      <c r="T2" s="1792"/>
      <c r="U2" s="1792"/>
      <c r="V2" s="1788">
        <v>0</v>
      </c>
    </row>
    <row r="3" s="9138" customFormat="1" ht="14.25" hidden="1" customHeight="1">
      <c r="C3" s="1789"/>
      <c r="D3" s="2404"/>
      <c r="E3" s="2406"/>
      <c r="F3" s="575"/>
      <c r="G3" s="1039"/>
      <c r="H3" s="1039" t="s">
        <v>390</v>
      </c>
      <c r="I3" s="483"/>
      <c r="L3" s="1792"/>
      <c r="M3" s="1792"/>
      <c r="N3" s="1792"/>
      <c r="O3" s="1792"/>
      <c r="P3" s="1792"/>
      <c r="Q3" s="1792"/>
      <c r="R3" s="1794"/>
      <c r="S3" s="1794"/>
      <c r="T3" s="1792"/>
      <c r="U3" s="1792"/>
      <c r="V3" s="1788">
        <v>0</v>
      </c>
    </row>
    <row r="4" ht="14.25" hidden="1" customHeight="1">
      <c r="V4" s="1777">
        <v>0</v>
      </c>
    </row>
    <row r="5" s="9790" customFormat="1" ht="5.25" customHeight="1">
      <c r="C5" s="871"/>
      <c r="D5" s="872"/>
      <c r="E5" s="872"/>
      <c r="F5" s="872"/>
      <c r="G5" s="872"/>
      <c r="H5" s="872" t="s">
        <v>363</v>
      </c>
      <c r="I5" s="872"/>
      <c r="J5" s="872"/>
      <c r="L5" s="1784"/>
      <c r="M5" s="1784"/>
      <c r="N5" s="1784"/>
      <c r="O5" s="1784"/>
      <c r="P5" s="1784"/>
      <c r="Q5" s="1784"/>
      <c r="R5" s="1784"/>
      <c r="S5" s="1784"/>
      <c r="T5" s="1784"/>
      <c r="U5" s="1784"/>
      <c r="V5" s="1783">
        <v>5</v>
      </c>
    </row>
    <row r="6" ht="29.25" customHeight="1">
      <c r="C6" s="1686"/>
      <c r="D6" s="2407" t="s">
        <v>391</v>
      </c>
      <c r="E6" s="2407"/>
      <c r="F6" s="2407"/>
      <c r="G6" s="2407"/>
      <c r="H6" s="2407"/>
      <c r="I6" s="2407"/>
      <c r="J6" s="661"/>
      <c r="K6" s="1785"/>
      <c r="V6" s="1777">
        <v>28</v>
      </c>
    </row>
    <row r="7" ht="18" customHeight="1">
      <c r="C7" s="1686"/>
      <c r="D7" s="2346" t="str">
        <f>IF(org=0,"Не определено",org)</f>
        <v xml:space="preserve">АО "ДГК" СП "Биробиджанская ТЭЦ"</v>
      </c>
      <c r="E7" s="2346"/>
      <c r="F7" s="2346"/>
      <c r="G7" s="2346"/>
      <c r="H7" s="2346"/>
      <c r="I7" s="2346"/>
      <c r="J7" s="661"/>
      <c r="K7" s="1785"/>
      <c r="V7" s="1777">
        <v>17</v>
      </c>
    </row>
    <row r="8" s="9113" customFormat="1" ht="5.25" customHeight="1">
      <c r="A8" s="1781"/>
      <c r="C8" s="656"/>
      <c r="D8" s="655"/>
      <c r="E8" s="655"/>
      <c r="F8" s="655"/>
      <c r="G8" s="655"/>
      <c r="H8" s="655"/>
      <c r="I8" s="655"/>
      <c r="J8" s="655"/>
      <c r="L8" s="1784"/>
      <c r="M8" s="1784"/>
      <c r="N8" s="1784"/>
      <c r="O8" s="1784"/>
      <c r="P8" s="1784"/>
      <c r="Q8" s="1784"/>
      <c r="R8" s="1784"/>
      <c r="S8" s="1784"/>
      <c r="T8" s="1784"/>
      <c r="U8" s="1784"/>
      <c r="V8" s="1782">
        <v>5</v>
      </c>
    </row>
    <row r="9" s="9113" customFormat="1" ht="5.25" customHeight="1">
      <c r="A9" s="1781"/>
      <c r="C9" s="656"/>
      <c r="D9" s="655"/>
      <c r="E9" s="655"/>
      <c r="F9" s="655"/>
      <c r="G9" s="655"/>
      <c r="H9" s="655"/>
      <c r="I9" s="655"/>
      <c r="J9" s="655"/>
      <c r="L9" s="1792"/>
      <c r="M9" s="1792"/>
      <c r="N9" s="1792"/>
      <c r="O9" s="1792"/>
      <c r="P9" s="1792"/>
      <c r="Q9" s="1792"/>
      <c r="R9" s="1792"/>
      <c r="S9" s="1792"/>
      <c r="T9" s="1792"/>
      <c r="U9" s="1792"/>
      <c r="V9" s="1782">
        <v>5</v>
      </c>
    </row>
    <row r="10" ht="14.65" customHeight="1">
      <c r="C10" s="1686"/>
      <c r="D10" s="2388" t="s">
        <v>307</v>
      </c>
      <c r="E10" s="2389"/>
      <c r="F10" s="2389"/>
      <c r="G10" s="2389"/>
      <c r="H10" s="2389"/>
      <c r="I10" s="2389"/>
      <c r="J10" s="2393" t="s">
        <v>308</v>
      </c>
      <c r="V10" s="1777">
        <v>14</v>
      </c>
    </row>
    <row r="11" ht="27.300000000000001" customHeight="1">
      <c r="C11" s="1686"/>
      <c r="D11" s="2297" t="s">
        <v>89</v>
      </c>
      <c r="E11" s="2393" t="s">
        <v>106</v>
      </c>
      <c r="F11" s="2362" t="s">
        <v>89</v>
      </c>
      <c r="G11" s="2363"/>
      <c r="H11" s="2345" t="s">
        <v>392</v>
      </c>
      <c r="I11" s="2345" t="s">
        <v>393</v>
      </c>
      <c r="J11" s="2393"/>
      <c r="V11" s="1777">
        <v>26</v>
      </c>
    </row>
    <row r="12" ht="14.65" customHeight="1">
      <c r="C12" s="1686"/>
      <c r="D12" s="2297"/>
      <c r="E12" s="2393"/>
      <c r="F12" s="2370"/>
      <c r="G12" s="2371"/>
      <c r="H12" s="2402"/>
      <c r="I12" s="2402"/>
      <c r="J12" s="2393"/>
      <c r="V12" s="1777">
        <v>14</v>
      </c>
    </row>
    <row r="13" s="9831" customFormat="1" ht="11.25" hidden="1" customHeight="1">
      <c r="C13" s="668"/>
      <c r="D13" s="669" t="s">
        <v>383</v>
      </c>
      <c r="E13" s="669"/>
      <c r="F13" s="669"/>
      <c r="G13" s="669"/>
      <c r="H13" s="667"/>
      <c r="I13" s="667"/>
      <c r="J13" s="605"/>
      <c r="L13" s="1784"/>
      <c r="M13" s="1784"/>
      <c r="N13" s="1784"/>
      <c r="O13" s="1784"/>
      <c r="P13" s="1784"/>
      <c r="Q13" s="1784"/>
      <c r="R13" s="1784"/>
      <c r="S13" s="1784"/>
      <c r="T13" s="1784"/>
      <c r="U13" s="1784"/>
      <c r="V13" s="666">
        <v>0</v>
      </c>
    </row>
    <row r="14" ht="14.65" customHeight="1">
      <c r="A14" s="1777"/>
      <c r="C14" s="1686"/>
      <c r="D14" s="2403" t="s">
        <v>110</v>
      </c>
      <c r="E14" s="2405"/>
      <c r="F14" s="1787"/>
      <c r="G14" s="1786" t="s">
        <v>110</v>
      </c>
      <c r="H14" s="1793"/>
      <c r="I14" s="1791"/>
      <c r="J14" s="2339" t="s">
        <v>394</v>
      </c>
      <c r="K14" s="1777"/>
      <c r="R14" s="670" t="s">
        <v>388</v>
      </c>
      <c r="S14" s="670" t="s">
        <v>388</v>
      </c>
      <c r="V14" s="1777">
        <v>14</v>
      </c>
    </row>
    <row r="15" ht="14.65" customHeight="1">
      <c r="A15" s="1777"/>
      <c r="C15" s="1686"/>
      <c r="D15" s="2404"/>
      <c r="E15" s="2406"/>
      <c r="F15" s="575"/>
      <c r="G15" s="1039"/>
      <c r="H15" s="1039" t="s">
        <v>390</v>
      </c>
      <c r="I15" s="483"/>
      <c r="J15" s="2340"/>
      <c r="K15" s="1777"/>
      <c r="R15" s="670"/>
      <c r="S15" s="670"/>
      <c r="V15" s="1777">
        <v>14</v>
      </c>
    </row>
    <row r="16" ht="14.65" customHeight="1">
      <c r="A16" s="1777"/>
      <c r="C16" s="1686"/>
      <c r="D16" s="575"/>
      <c r="E16" s="1039" t="s">
        <v>121</v>
      </c>
      <c r="F16" s="483"/>
      <c r="G16" s="483"/>
      <c r="H16" s="576"/>
      <c r="I16" s="576"/>
      <c r="J16" s="2341"/>
      <c r="K16" s="1777"/>
      <c r="V16" s="1777">
        <v>14</v>
      </c>
    </row>
    <row r="17" ht="14.65" customHeight="1">
      <c r="K17" s="1777"/>
      <c r="V17" s="1777">
        <v>14</v>
      </c>
    </row>
    <row r="18" ht="22.5" hidden="1" customHeight="1">
      <c r="A18" s="1778" t="s">
        <v>83</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autoFilter="0" deleteColumns="1" deleteRows="1" formatColumns="0" formatRows="0" insertColumns="1" insertRows="1" sheet="1" sort="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2">
    <dataValidation sqref="E14 E2"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 sqref="E13:G13" allowBlank="1" error="Допускается ввод только неотрицательных чисел!" errorTitle="Ошибка" showError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92005D-00ED-4DFD-B0A9-00A000940003}" type="whole" allowBlank="1" error="Допускается ввод только неотрицательных целых чисел!" errorTitle="Ошибка" showErrorMessage="1">
          <x14:formula1>
            <xm:f>0</xm:f>
          </x14:formula1>
          <x14:formula2>
            <xm:f>9.99999999999999E+23</xm:f>
          </x14:formula2>
          <xm:sqref>I14 I2</xm:sqref>
        </x14:dataValidation>
        <x14:dataValidation xr:uid="{006C008C-003F-4A3C-B778-00AC005200FC}" type="decimal" allowBlank="1" error="Допускается ввод только неотрицательных чисел!" errorTitle="Ошибка" showErrorMessage="1">
          <x14:formula1>
            <xm:f>0</xm:f>
          </x14:formula1>
          <x14:formula2>
            <xm:f>9.99999999999999E+23</xm:f>
          </x14:formula2>
          <xm:sqref>H13:I13</xm:sqref>
        </x14:dataValidation>
        <x14:dataValidation xr:uid="{009100E4-0058-4128-9153-00F800400050}" type="textLength" allowBlank="1" error="Допускается ввод не более 900 символов!" errorTitle="Ошибка" operator="lessThanOrEqual" showErrorMessage="1" showInputMessage="1">
          <x14:formula1>
            <xm:f>900</xm:f>
          </x14:formula1>
          <xm:sqref>H14 H2</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3" tint="0.59999999999999998"/>
  </sheetPr>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defaultRowHeight="14.25" customHeight="1"/>
  <cols>
    <col customWidth="1" hidden="1" min="1" max="1" style="9102" width="9.140625"/>
    <col customWidth="1" hidden="1" min="2" max="3" style="9138" width="9.140625"/>
    <col customWidth="1" min="4" max="4" style="9306" width="3.00390625"/>
    <col customWidth="1" min="5" max="5" style="9138" width="6.00390625"/>
    <col customWidth="1" hidden="1" min="6" max="6" style="9138" width="1.7109375"/>
    <col customWidth="1" min="7" max="8" style="9138" width="30.00390625"/>
    <col customWidth="1" min="9" max="9" style="9138" width="8.00390625"/>
    <col customWidth="1" min="10" max="10" style="9138" width="12.140625"/>
    <col customWidth="1" min="11" max="11" style="9138" width="46.00390625"/>
    <col customWidth="1" min="12" max="12" style="9138" width="100.00390625"/>
    <col customWidth="1" min="13" max="13" style="9233" width="7.00390625"/>
    <col customWidth="1" min="14" max="22" style="9138" width="10.00390625"/>
    <col hidden="1" min="23" max="23" style="9138" width="10.57421875"/>
  </cols>
  <sheetData>
    <row r="1" s="9218" customFormat="1" ht="5.25" hidden="1" customHeight="1">
      <c r="C1" s="681"/>
      <c r="D1" s="664"/>
      <c r="F1" s="681"/>
      <c r="G1" s="659" t="s">
        <v>84</v>
      </c>
      <c r="H1" s="659" t="s">
        <v>85</v>
      </c>
      <c r="I1" s="659" t="s">
        <v>86</v>
      </c>
      <c r="P1" s="659" t="s">
        <v>84</v>
      </c>
      <c r="Q1" s="659" t="s">
        <v>85</v>
      </c>
      <c r="R1" s="659" t="s">
        <v>86</v>
      </c>
      <c r="W1" s="659" t="s">
        <v>14</v>
      </c>
    </row>
    <row r="2" s="9218" customFormat="1" ht="5.25" hidden="1" customHeight="1">
      <c r="C2" s="681"/>
      <c r="D2" s="664"/>
      <c r="F2" s="681"/>
      <c r="W2" s="659">
        <v>0</v>
      </c>
    </row>
    <row r="3" s="9113" customFormat="1" ht="5.25" customHeight="1">
      <c r="A3" s="649"/>
      <c r="D3" s="656"/>
      <c r="E3" s="651"/>
      <c r="F3" s="651"/>
      <c r="G3" s="651"/>
      <c r="H3" s="651"/>
      <c r="I3" s="652"/>
      <c r="J3" s="653"/>
      <c r="K3" s="653"/>
      <c r="L3" s="653"/>
      <c r="W3" s="650">
        <v>5</v>
      </c>
    </row>
    <row r="4" ht="23.25" customHeight="1">
      <c r="D4" s="620"/>
      <c r="E4" s="2408" t="s">
        <v>395</v>
      </c>
      <c r="F4" s="2408"/>
      <c r="G4" s="2409"/>
      <c r="H4" s="2409"/>
      <c r="I4" s="2410"/>
      <c r="J4" s="661"/>
      <c r="K4" s="623"/>
      <c r="L4" s="623"/>
      <c r="W4" s="617">
        <v>22</v>
      </c>
    </row>
    <row r="5" s="9138" customFormat="1" ht="18" customHeight="1">
      <c r="A5" s="929"/>
      <c r="D5" s="992"/>
      <c r="E5" s="2384" t="str">
        <f>IF(org=0,"Не определено",org)</f>
        <v xml:space="preserve">АО "ДГК" СП "Биробиджанская ТЭЦ"</v>
      </c>
      <c r="F5" s="2384"/>
      <c r="G5" s="2385"/>
      <c r="H5" s="2385"/>
      <c r="I5" s="2386"/>
      <c r="J5" s="661"/>
      <c r="K5" s="623"/>
      <c r="L5" s="623"/>
      <c r="M5" s="677"/>
      <c r="W5" s="928">
        <v>17</v>
      </c>
    </row>
    <row r="6" s="9113" customFormat="1" ht="11.5" customHeight="1">
      <c r="A6" s="649"/>
      <c r="D6" s="656"/>
      <c r="E6" s="651"/>
      <c r="F6" s="651"/>
      <c r="G6" s="654"/>
      <c r="H6" s="654"/>
      <c r="I6" s="655"/>
      <c r="J6" s="655"/>
      <c r="K6" s="922"/>
      <c r="L6" s="655"/>
      <c r="W6" s="650">
        <v>11</v>
      </c>
    </row>
    <row r="7" ht="14.65" customHeight="1">
      <c r="D7" s="620"/>
      <c r="E7" s="2378" t="s">
        <v>307</v>
      </c>
      <c r="F7" s="2378"/>
      <c r="G7" s="2379"/>
      <c r="H7" s="2379"/>
      <c r="I7" s="2379"/>
      <c r="J7" s="2379"/>
      <c r="K7" s="2379"/>
      <c r="L7" s="2393" t="s">
        <v>308</v>
      </c>
      <c r="W7" s="617">
        <v>14</v>
      </c>
    </row>
    <row r="8" ht="48.25" customHeight="1">
      <c r="D8" s="620"/>
      <c r="E8" s="643" t="s">
        <v>89</v>
      </c>
      <c r="F8" s="993"/>
      <c r="G8" s="635" t="s">
        <v>87</v>
      </c>
      <c r="H8" s="635" t="s">
        <v>88</v>
      </c>
      <c r="I8" s="584" t="s">
        <v>86</v>
      </c>
      <c r="J8" s="584" t="s">
        <v>396</v>
      </c>
      <c r="K8" s="584" t="s">
        <v>397</v>
      </c>
      <c r="L8" s="2393"/>
      <c r="W8" s="617">
        <v>46</v>
      </c>
    </row>
    <row r="9" ht="12" hidden="1" customHeight="1">
      <c r="D9" s="657"/>
      <c r="E9" s="663"/>
      <c r="F9" s="1000"/>
      <c r="G9" s="663"/>
      <c r="H9" s="663"/>
      <c r="I9" s="663"/>
      <c r="J9" s="663"/>
      <c r="K9" s="663"/>
      <c r="L9" s="663"/>
      <c r="M9" s="617"/>
      <c r="W9" s="617">
        <v>0</v>
      </c>
    </row>
    <row r="10" ht="14.25" hidden="1" customHeight="1">
      <c r="A10" s="675"/>
      <c r="B10" s="675"/>
      <c r="D10" s="676"/>
      <c r="E10" s="682">
        <v>0</v>
      </c>
      <c r="F10" s="991"/>
      <c r="G10" s="678"/>
      <c r="H10" s="678"/>
      <c r="I10" s="678"/>
      <c r="J10" s="678"/>
      <c r="K10" s="678"/>
      <c r="L10" s="2391" t="s">
        <v>398</v>
      </c>
      <c r="M10" s="677"/>
      <c r="N10" s="675"/>
      <c r="O10" s="675"/>
      <c r="P10" s="675"/>
      <c r="Q10" s="675"/>
      <c r="R10" s="675"/>
      <c r="S10" s="675"/>
      <c r="T10" s="675"/>
      <c r="U10" s="675"/>
      <c r="V10" s="675"/>
      <c r="W10" s="617">
        <v>0</v>
      </c>
    </row>
    <row r="11" ht="15" hidden="1" customHeight="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r="12" s="9113" customFormat="1" ht="15" customHeight="1">
      <c r="A12" s="2269"/>
      <c r="B12" s="674"/>
      <c r="C12" s="674"/>
      <c r="D12" s="1036"/>
      <c r="E12" s="993">
        <v>1</v>
      </c>
      <c r="F12" s="1034">
        <v>23</v>
      </c>
      <c r="G12" s="1033"/>
      <c r="H12" s="963"/>
      <c r="I12" s="961"/>
      <c r="J12" s="690" t="s">
        <v>67</v>
      </c>
      <c r="K12" s="1334" t="s">
        <v>28</v>
      </c>
      <c r="L12" s="2411"/>
      <c r="M12" s="681"/>
      <c r="N12" s="681"/>
      <c r="O12" s="681"/>
      <c r="P12" s="686" t="s">
        <v>399</v>
      </c>
      <c r="Q12" s="686" t="s">
        <v>400</v>
      </c>
      <c r="R12" s="687" t="s">
        <v>401</v>
      </c>
      <c r="S12" s="681" t="s">
        <v>402</v>
      </c>
      <c r="T12" s="681"/>
      <c r="U12" s="681"/>
      <c r="V12" s="681"/>
      <c r="W12" s="650">
        <v>14</v>
      </c>
    </row>
    <row r="13" ht="15.75" customHeight="1">
      <c r="A13" s="2269"/>
      <c r="B13" s="675"/>
      <c r="D13" s="676"/>
      <c r="E13" s="575"/>
      <c r="F13" s="699"/>
      <c r="G13" s="586" t="s">
        <v>103</v>
      </c>
      <c r="H13" s="574"/>
      <c r="I13" s="574"/>
      <c r="J13" s="574"/>
      <c r="K13" s="573"/>
      <c r="L13" s="2392"/>
      <c r="M13" s="679"/>
      <c r="N13" s="675"/>
      <c r="O13" s="675"/>
      <c r="P13" s="675"/>
      <c r="Q13" s="675"/>
      <c r="R13" s="675"/>
      <c r="S13" s="675"/>
      <c r="T13" s="675"/>
      <c r="U13" s="675"/>
      <c r="V13" s="675"/>
      <c r="W13" s="617">
        <v>15</v>
      </c>
    </row>
    <row r="14" ht="11.5" customHeight="1">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r="15" ht="14.65" customHeight="1">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 xml:space="preserve">&lt;1&gt;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636"/>
      <c r="I15" s="636"/>
      <c r="J15" s="636"/>
      <c r="K15" s="636"/>
      <c r="L15" s="636"/>
      <c r="W15" s="617">
        <v>14</v>
      </c>
    </row>
    <row r="16" ht="14.65" customHeight="1">
      <c r="W16" s="617">
        <v>14</v>
      </c>
    </row>
    <row r="17" ht="14.65" customHeight="1">
      <c r="W17" s="617">
        <v>14</v>
      </c>
    </row>
    <row r="18" ht="14.65" customHeight="1">
      <c r="G18" s="675"/>
      <c r="W18" s="617">
        <v>14</v>
      </c>
    </row>
    <row r="19" ht="22.5" hidden="1" customHeight="1">
      <c r="A19" s="619" t="s">
        <v>83</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autoFilter="0" deleteColumns="1" deleteRows="1" formatColumns="0" formatRows="0" insertColumns="1" insertRows="1" sheet="1" sort="1"/>
  <mergeCells count="6">
    <mergeCell ref="A11:A13"/>
    <mergeCell ref="E4:I4"/>
    <mergeCell ref="E7:K7"/>
    <mergeCell ref="L7:L8"/>
    <mergeCell ref="L10:L13"/>
    <mergeCell ref="E5:I5"/>
  </mergeCells>
  <dataValidations count="1">
    <dataValidation sqref="J12" allowBlank="1" prompt="Изменение значения по двойному щелчоку левой кнопки мыши"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240023-00AD-4120-8CEA-00A800CE002E}" type="decimal" allowBlank="1" error="Допускается ввод только неотрицательных чисел!" errorTitle="Ошибка" showErrorMessage="1">
          <x14:formula1>
            <xm:f>0</xm:f>
          </x14:formula1>
          <x14:formula2>
            <xm:f>9.99999999999999E+23</xm:f>
          </x14:formula2>
          <xm:sqref>G10:K10</xm:sqref>
        </x14:dataValidation>
        <x14:dataValidation xr:uid="{00AE00D0-0022-4AB1-8A39-00C500C4004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K12</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J43" activePane="bottomRight" state="frozen"/>
      <selection pane="bottomLeft" activeCell="A43" sqref="A43"/>
      <selection pane="topRight" activeCell="AD1" sqref="AD1"/>
      <selection pane="bottomRight" activeCell="AO50" sqref="AO50"/>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min="37" max="37" style="9138" width="8.57421875"/>
    <col customWidth="1" min="39" max="39" style="10316" width="0.28125"/>
    <col customWidth="1" min="47" max="47" style="10316" width="0.28125"/>
    <col customWidth="1" min="55" max="55" style="10316" width="0"/>
    <col customWidth="1" min="63" max="63" style="10316" width="0.28125"/>
    <col hidden="1" min="69" max="69" style="10316" width="10.57421875"/>
    <col customWidth="1" min="70" max="70" style="9138" width="4.00390625"/>
    <col customWidth="1" min="71" max="71" style="9138" width="115.00390625"/>
    <col customWidth="1" min="72" max="76" style="9218" width="10.00390625"/>
    <col hidden="1" min="77" max="77" style="9138" width="10.57421875"/>
  </cols>
  <sheetData>
    <row r="1" ht="22.5" hidden="1" customHeight="1">
      <c r="Y1" s="497"/>
      <c r="Z1" s="497"/>
      <c r="AG1" s="497"/>
      <c r="AH1" s="497"/>
      <c r="AL1" s="3649"/>
      <c r="AM1" s="3649"/>
      <c r="AN1" s="3649"/>
      <c r="AO1" s="3649"/>
      <c r="AP1" s="3649"/>
      <c r="AQ1" s="3649"/>
      <c r="AR1" s="3649"/>
      <c r="AS1" s="3649"/>
      <c r="AT1" s="3649"/>
      <c r="AU1" s="3649"/>
      <c r="AV1" s="3649"/>
      <c r="AW1" s="3649"/>
      <c r="AX1" s="3649"/>
      <c r="AY1" s="3649"/>
      <c r="AZ1" s="3649"/>
      <c r="BA1" s="3649"/>
      <c r="BB1" s="3649"/>
      <c r="BC1" s="3649"/>
      <c r="BD1" s="3649"/>
      <c r="BE1" s="3649"/>
      <c r="BF1" s="3649"/>
      <c r="BG1" s="3649"/>
      <c r="BH1" s="3649"/>
      <c r="BI1" s="3649"/>
      <c r="BJ1" s="3649"/>
      <c r="BK1" s="3649"/>
      <c r="BL1" s="3649"/>
      <c r="BM1" s="3649"/>
      <c r="BN1" s="3649"/>
      <c r="BO1" s="3649"/>
      <c r="BP1" s="3649"/>
      <c r="BQ1" s="3649"/>
      <c r="BY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663"/>
      <c r="AM2" s="3664"/>
      <c r="AN2" s="3664"/>
      <c r="AO2" s="3664"/>
      <c r="AP2" s="3664"/>
      <c r="AQ2" s="3664"/>
      <c r="AR2" s="3664"/>
      <c r="AS2" s="3665"/>
      <c r="AT2" s="3663"/>
      <c r="AU2" s="3664"/>
      <c r="AV2" s="3664"/>
      <c r="AW2" s="3664"/>
      <c r="AX2" s="3664"/>
      <c r="AY2" s="3664"/>
      <c r="AZ2" s="3664"/>
      <c r="BA2" s="3665"/>
      <c r="BB2" s="3663"/>
      <c r="BC2" s="3664"/>
      <c r="BD2" s="3664"/>
      <c r="BE2" s="3664"/>
      <c r="BF2" s="3664"/>
      <c r="BG2" s="3664"/>
      <c r="BH2" s="3664"/>
      <c r="BI2" s="3665"/>
      <c r="BJ2" s="3663"/>
      <c r="BK2" s="3664"/>
      <c r="BL2" s="3664"/>
      <c r="BM2" s="3664"/>
      <c r="BN2" s="3664"/>
      <c r="BO2" s="3664"/>
      <c r="BP2" s="3664"/>
      <c r="BQ2" s="3665"/>
      <c r="BR2" s="2414"/>
      <c r="BS2" s="1428" t="s">
        <v>403</v>
      </c>
      <c r="BU2" s="670"/>
      <c r="BV2" s="670" t="str">
        <f>IF(T2="","",T2)</f>
        <v xml:space="preserve">Наименование тарифа</v>
      </c>
      <c r="BW2" s="670"/>
      <c r="BX2" s="670"/>
      <c r="BY2" s="1325">
        <v>0</v>
      </c>
    </row>
    <row r="3" ht="21" hidden="1" customHeight="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663"/>
      <c r="AM3" s="3664"/>
      <c r="AN3" s="3664"/>
      <c r="AO3" s="3664"/>
      <c r="AP3" s="3664"/>
      <c r="AQ3" s="3664"/>
      <c r="AR3" s="3664"/>
      <c r="AS3" s="3665"/>
      <c r="AT3" s="3663"/>
      <c r="AU3" s="3664"/>
      <c r="AV3" s="3664"/>
      <c r="AW3" s="3664"/>
      <c r="AX3" s="3664"/>
      <c r="AY3" s="3664"/>
      <c r="AZ3" s="3664"/>
      <c r="BA3" s="3665"/>
      <c r="BB3" s="3663"/>
      <c r="BC3" s="3664"/>
      <c r="BD3" s="3664"/>
      <c r="BE3" s="3664"/>
      <c r="BF3" s="3664"/>
      <c r="BG3" s="3664"/>
      <c r="BH3" s="3664"/>
      <c r="BI3" s="3665"/>
      <c r="BJ3" s="3663"/>
      <c r="BK3" s="3664"/>
      <c r="BL3" s="3664"/>
      <c r="BM3" s="3664"/>
      <c r="BN3" s="3664"/>
      <c r="BO3" s="3664"/>
      <c r="BP3" s="3664"/>
      <c r="BQ3" s="3665"/>
      <c r="BR3" s="2414"/>
      <c r="BS3" s="1428" t="s">
        <v>405</v>
      </c>
      <c r="BU3" s="670"/>
      <c r="BV3" s="670" t="str">
        <f>IF(T3="","",T3)</f>
        <v xml:space="preserve">Территория действия тарифа</v>
      </c>
      <c r="BW3" s="670"/>
      <c r="BX3" s="670"/>
      <c r="BY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663"/>
      <c r="AM4" s="3664"/>
      <c r="AN4" s="3664"/>
      <c r="AO4" s="3664"/>
      <c r="AP4" s="3664"/>
      <c r="AQ4" s="3664"/>
      <c r="AR4" s="3664"/>
      <c r="AS4" s="3665"/>
      <c r="AT4" s="3663"/>
      <c r="AU4" s="3664"/>
      <c r="AV4" s="3664"/>
      <c r="AW4" s="3664"/>
      <c r="AX4" s="3664"/>
      <c r="AY4" s="3664"/>
      <c r="AZ4" s="3664"/>
      <c r="BA4" s="3665"/>
      <c r="BB4" s="3663"/>
      <c r="BC4" s="3664"/>
      <c r="BD4" s="3664"/>
      <c r="BE4" s="3664"/>
      <c r="BF4" s="3664"/>
      <c r="BG4" s="3664"/>
      <c r="BH4" s="3664"/>
      <c r="BI4" s="3665"/>
      <c r="BJ4" s="3663"/>
      <c r="BK4" s="3664"/>
      <c r="BL4" s="3664"/>
      <c r="BM4" s="3664"/>
      <c r="BN4" s="3664"/>
      <c r="BO4" s="3664"/>
      <c r="BP4" s="3664"/>
      <c r="BQ4" s="3665"/>
      <c r="BR4" s="2414"/>
      <c r="BS4" s="1428" t="s">
        <v>407</v>
      </c>
      <c r="BU4" s="670"/>
      <c r="BV4" s="670" t="str">
        <f>IF(T4="","",T4)</f>
        <v xml:space="preserve">Наименование системы теплоснабжения</v>
      </c>
      <c r="BW4" s="670"/>
      <c r="BX4" s="670"/>
      <c r="BY4" s="1325">
        <v>0</v>
      </c>
    </row>
    <row r="5" ht="21" hidden="1" customHeight="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663"/>
      <c r="AM5" s="3664"/>
      <c r="AN5" s="3664"/>
      <c r="AO5" s="3664"/>
      <c r="AP5" s="3664"/>
      <c r="AQ5" s="3664"/>
      <c r="AR5" s="3664"/>
      <c r="AS5" s="3665"/>
      <c r="AT5" s="3663"/>
      <c r="AU5" s="3664"/>
      <c r="AV5" s="3664"/>
      <c r="AW5" s="3664"/>
      <c r="AX5" s="3664"/>
      <c r="AY5" s="3664"/>
      <c r="AZ5" s="3664"/>
      <c r="BA5" s="3665"/>
      <c r="BB5" s="3663"/>
      <c r="BC5" s="3664"/>
      <c r="BD5" s="3664"/>
      <c r="BE5" s="3664"/>
      <c r="BF5" s="3664"/>
      <c r="BG5" s="3664"/>
      <c r="BH5" s="3664"/>
      <c r="BI5" s="3665"/>
      <c r="BJ5" s="3663"/>
      <c r="BK5" s="3664"/>
      <c r="BL5" s="3664"/>
      <c r="BM5" s="3664"/>
      <c r="BN5" s="3664"/>
      <c r="BO5" s="3664"/>
      <c r="BP5" s="3664"/>
      <c r="BQ5" s="3665"/>
      <c r="BR5" s="2414"/>
      <c r="BS5" s="1428" t="s">
        <v>409</v>
      </c>
      <c r="BU5" s="670"/>
      <c r="BV5" s="670" t="str">
        <f>IF(T5="","",T5)</f>
        <v xml:space="preserve">Источник тепловой энергии</v>
      </c>
      <c r="BW5" s="670"/>
      <c r="BX5" s="670"/>
      <c r="BY5" s="1325">
        <v>0</v>
      </c>
    </row>
    <row r="6" ht="47.25" hidden="1" customHeight="1">
      <c r="A6" s="1533"/>
      <c r="B6" s="1533"/>
      <c r="C6" s="1533"/>
      <c r="D6" s="1533"/>
      <c r="E6" s="2429"/>
      <c r="F6" s="2429"/>
      <c r="G6" s="2429"/>
      <c r="H6" s="2429"/>
      <c r="I6" s="2426">
        <f>S5&amp;".1"</f>
      </c>
      <c r="J6" s="1533"/>
      <c r="K6" s="1533"/>
      <c r="L6" s="1534" t="s">
        <v>410</v>
      </c>
      <c r="M6" s="707"/>
      <c r="P6" s="2427">
        <v>1</v>
      </c>
      <c r="Q6" s="1475"/>
      <c r="R6" s="526"/>
      <c r="S6" s="1479">
        <f>$I6</f>
      </c>
      <c r="T6" s="455" t="s">
        <v>411</v>
      </c>
      <c r="U6" s="470"/>
      <c r="V6" s="2415"/>
      <c r="W6" s="2416"/>
      <c r="X6" s="2416"/>
      <c r="Y6" s="2416"/>
      <c r="Z6" s="2416"/>
      <c r="AA6" s="2416"/>
      <c r="AB6" s="2416"/>
      <c r="AC6" s="2417"/>
      <c r="AD6" s="2415"/>
      <c r="AE6" s="2416"/>
      <c r="AF6" s="2416"/>
      <c r="AG6" s="2416"/>
      <c r="AH6" s="2416"/>
      <c r="AI6" s="2416"/>
      <c r="AJ6" s="2416"/>
      <c r="AK6" s="2416"/>
      <c r="AL6" s="3684"/>
      <c r="AM6" s="3685"/>
      <c r="AN6" s="3685"/>
      <c r="AO6" s="3685"/>
      <c r="AP6" s="3685"/>
      <c r="AQ6" s="3685"/>
      <c r="AR6" s="3685"/>
      <c r="AS6" s="3686"/>
      <c r="AT6" s="3684"/>
      <c r="AU6" s="3685"/>
      <c r="AV6" s="3685"/>
      <c r="AW6" s="3685"/>
      <c r="AX6" s="3685"/>
      <c r="AY6" s="3685"/>
      <c r="AZ6" s="3685"/>
      <c r="BA6" s="3686"/>
      <c r="BB6" s="3684"/>
      <c r="BC6" s="3685"/>
      <c r="BD6" s="3685"/>
      <c r="BE6" s="3685"/>
      <c r="BF6" s="3685"/>
      <c r="BG6" s="3685"/>
      <c r="BH6" s="3685"/>
      <c r="BI6" s="3686"/>
      <c r="BJ6" s="3684"/>
      <c r="BK6" s="3685"/>
      <c r="BL6" s="3685"/>
      <c r="BM6" s="3685"/>
      <c r="BN6" s="3685"/>
      <c r="BO6" s="3685"/>
      <c r="BP6" s="3685"/>
      <c r="BQ6" s="3686"/>
      <c r="BR6" s="2417"/>
      <c r="BS6" s="1428" t="s">
        <v>412</v>
      </c>
      <c r="BU6" s="670"/>
      <c r="BV6" s="670" t="str">
        <f>IF(T6="","",T6)</f>
        <v xml:space="preserve">Схема подключения теплопотребляющей установки к коллектору источника тепловой энергии</v>
      </c>
      <c r="BW6" s="670"/>
      <c r="BX6" s="670"/>
      <c r="BY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479">
        <f>$J7</f>
      </c>
      <c r="T7" s="456" t="s">
        <v>414</v>
      </c>
      <c r="U7" s="470"/>
      <c r="V7" s="2415"/>
      <c r="W7" s="2416"/>
      <c r="X7" s="2416"/>
      <c r="Y7" s="2416"/>
      <c r="Z7" s="2416"/>
      <c r="AA7" s="2416"/>
      <c r="AB7" s="2416"/>
      <c r="AC7" s="2417"/>
      <c r="AD7" s="2415"/>
      <c r="AE7" s="2416"/>
      <c r="AF7" s="2416"/>
      <c r="AG7" s="2416"/>
      <c r="AH7" s="2416"/>
      <c r="AI7" s="2416"/>
      <c r="AJ7" s="2416"/>
      <c r="AK7" s="2416"/>
      <c r="AL7" s="3684"/>
      <c r="AM7" s="3685"/>
      <c r="AN7" s="3685"/>
      <c r="AO7" s="3685"/>
      <c r="AP7" s="3685"/>
      <c r="AQ7" s="3685"/>
      <c r="AR7" s="3685"/>
      <c r="AS7" s="3686"/>
      <c r="AT7" s="3684"/>
      <c r="AU7" s="3685"/>
      <c r="AV7" s="3685"/>
      <c r="AW7" s="3685"/>
      <c r="AX7" s="3685"/>
      <c r="AY7" s="3685"/>
      <c r="AZ7" s="3685"/>
      <c r="BA7" s="3686"/>
      <c r="BB7" s="3684"/>
      <c r="BC7" s="3685"/>
      <c r="BD7" s="3685"/>
      <c r="BE7" s="3685"/>
      <c r="BF7" s="3685"/>
      <c r="BG7" s="3685"/>
      <c r="BH7" s="3685"/>
      <c r="BI7" s="3686"/>
      <c r="BJ7" s="3684"/>
      <c r="BK7" s="3685"/>
      <c r="BL7" s="3685"/>
      <c r="BM7" s="3685"/>
      <c r="BN7" s="3685"/>
      <c r="BO7" s="3685"/>
      <c r="BP7" s="3685"/>
      <c r="BQ7" s="3686"/>
      <c r="BR7" s="2417"/>
      <c r="BS7" s="1428" t="s">
        <v>415</v>
      </c>
      <c r="BU7" s="670"/>
      <c r="BV7" s="670" t="str">
        <f>IF(T7="","",T7)</f>
        <v xml:space="preserve">Группа потребителей</v>
      </c>
      <c r="BW7" s="670"/>
      <c r="BX7" s="670"/>
      <c r="BY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479">
        <f>$K8</f>
      </c>
      <c r="T8" s="1517"/>
      <c r="U8" s="470"/>
      <c r="V8" s="921"/>
      <c r="W8" s="495"/>
      <c r="X8" s="921"/>
      <c r="Y8" s="1427"/>
      <c r="Z8" s="2435"/>
      <c r="AA8" s="2277" t="s">
        <v>67</v>
      </c>
      <c r="AB8" s="2435"/>
      <c r="AC8" s="2277" t="s">
        <v>67</v>
      </c>
      <c r="AD8" s="921"/>
      <c r="AE8" s="495"/>
      <c r="AF8" s="921"/>
      <c r="AG8" s="1427"/>
      <c r="AH8" s="2435"/>
      <c r="AI8" s="2277" t="s">
        <v>67</v>
      </c>
      <c r="AJ8" s="2435"/>
      <c r="AK8" s="2277" t="s">
        <v>67</v>
      </c>
      <c r="AL8" s="3695"/>
      <c r="AM8" s="3696"/>
      <c r="AN8" s="3695"/>
      <c r="AO8" s="3697"/>
      <c r="AP8" s="3698"/>
      <c r="AQ8" s="3191" t="s">
        <v>67</v>
      </c>
      <c r="AR8" s="3698"/>
      <c r="AS8" s="3191" t="s">
        <v>67</v>
      </c>
      <c r="AT8" s="3695"/>
      <c r="AU8" s="3696"/>
      <c r="AV8" s="3695"/>
      <c r="AW8" s="3697"/>
      <c r="AX8" s="3698"/>
      <c r="AY8" s="3191" t="s">
        <v>67</v>
      </c>
      <c r="AZ8" s="3698"/>
      <c r="BA8" s="3191" t="s">
        <v>67</v>
      </c>
      <c r="BB8" s="3695"/>
      <c r="BC8" s="3696"/>
      <c r="BD8" s="3695"/>
      <c r="BE8" s="3697"/>
      <c r="BF8" s="3698"/>
      <c r="BG8" s="3191" t="s">
        <v>67</v>
      </c>
      <c r="BH8" s="3698"/>
      <c r="BI8" s="3191" t="s">
        <v>67</v>
      </c>
      <c r="BJ8" s="3695"/>
      <c r="BK8" s="3696"/>
      <c r="BL8" s="3695"/>
      <c r="BM8" s="3697"/>
      <c r="BN8" s="3698"/>
      <c r="BO8" s="3191" t="s">
        <v>67</v>
      </c>
      <c r="BP8" s="3698"/>
      <c r="BQ8" s="3191" t="s">
        <v>67</v>
      </c>
      <c r="BR8" s="495"/>
      <c r="BS8" s="2423" t="s">
        <v>417</v>
      </c>
      <c r="BT8" s="681">
        <f>STRCHECKDATE(V9:BR9)</f>
      </c>
      <c r="BU8" s="670"/>
      <c r="BV8" s="670" t="str">
        <f>IF(T8="","",T8)</f>
        <v/>
      </c>
      <c r="BW8" s="670"/>
      <c r="BX8" s="670"/>
      <c r="BY8" s="1325">
        <v>0</v>
      </c>
    </row>
    <row r="9" ht="0.75" hidden="1" customHeight="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3696"/>
      <c r="AM9" s="3696"/>
      <c r="AN9" s="3696"/>
      <c r="AO9" s="3703" t="str">
        <f>AP8&amp;"-"&amp;AR8</f>
        <v>-</v>
      </c>
      <c r="AP9" s="3704"/>
      <c r="AQ9" s="3191"/>
      <c r="AR9" s="3704"/>
      <c r="AS9" s="3191"/>
      <c r="AT9" s="3696"/>
      <c r="AU9" s="3696"/>
      <c r="AV9" s="3696"/>
      <c r="AW9" s="3703" t="str">
        <f>AX8&amp;"-"&amp;AZ8</f>
        <v>-</v>
      </c>
      <c r="AX9" s="3704"/>
      <c r="AY9" s="3191"/>
      <c r="AZ9" s="3704"/>
      <c r="BA9" s="3191"/>
      <c r="BB9" s="3696"/>
      <c r="BC9" s="3696"/>
      <c r="BD9" s="3696"/>
      <c r="BE9" s="3703" t="str">
        <f>BF8&amp;"-"&amp;BH8</f>
        <v>-</v>
      </c>
      <c r="BF9" s="3704"/>
      <c r="BG9" s="3191"/>
      <c r="BH9" s="3704"/>
      <c r="BI9" s="3191"/>
      <c r="BJ9" s="3696"/>
      <c r="BK9" s="3696"/>
      <c r="BL9" s="3696"/>
      <c r="BM9" s="3703" t="str">
        <f>BN8&amp;"-"&amp;BP8</f>
        <v>-</v>
      </c>
      <c r="BN9" s="3704"/>
      <c r="BO9" s="3191"/>
      <c r="BP9" s="3704"/>
      <c r="BQ9" s="3191"/>
      <c r="BR9" s="495"/>
      <c r="BS9" s="2424"/>
      <c r="BU9" s="670"/>
      <c r="BV9" s="670" t="str">
        <f>IF(T9="","",T9)</f>
        <v/>
      </c>
      <c r="BW9" s="670"/>
      <c r="BX9" s="670"/>
      <c r="BY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3708"/>
      <c r="AM10" s="3709"/>
      <c r="AN10" s="3710"/>
      <c r="AO10" s="3711"/>
      <c r="AP10" s="3712"/>
      <c r="AQ10" s="3713"/>
      <c r="AR10" s="3714"/>
      <c r="AS10" s="3715"/>
      <c r="AT10" s="3716"/>
      <c r="AU10" s="3717"/>
      <c r="AV10" s="3718"/>
      <c r="AW10" s="3719"/>
      <c r="AX10" s="3720"/>
      <c r="AY10" s="3721"/>
      <c r="AZ10" s="3722"/>
      <c r="BA10" s="3723"/>
      <c r="BB10" s="3724"/>
      <c r="BC10" s="3725"/>
      <c r="BD10" s="3726"/>
      <c r="BE10" s="3727"/>
      <c r="BF10" s="3728"/>
      <c r="BG10" s="3729"/>
      <c r="BH10" s="3730"/>
      <c r="BI10" s="3731"/>
      <c r="BJ10" s="3732"/>
      <c r="BK10" s="3733"/>
      <c r="BL10" s="3734"/>
      <c r="BM10" s="3735"/>
      <c r="BN10" s="3736"/>
      <c r="BO10" s="3737"/>
      <c r="BP10" s="3738"/>
      <c r="BQ10" s="3739"/>
      <c r="BR10" s="494"/>
      <c r="BS10" s="2425"/>
      <c r="BU10" s="670"/>
      <c r="BV10" s="670" t="str">
        <f>IF(T10="","",T10)</f>
        <v xml:space="preserve">Добавить вид теплоносителя (параметры теплоносителя)</v>
      </c>
      <c r="BW10" s="670"/>
      <c r="BX10" s="670"/>
      <c r="BY10" s="1325">
        <v>0</v>
      </c>
    </row>
    <row r="11" ht="15" hidden="1" customHeight="1">
      <c r="A11" s="1533"/>
      <c r="B11" s="1533"/>
      <c r="C11" s="1533"/>
      <c r="D11" s="1533"/>
      <c r="E11" s="2429"/>
      <c r="F11" s="2429"/>
      <c r="G11" s="2429"/>
      <c r="H11" s="2429"/>
      <c r="I11" s="2426"/>
      <c r="J11" s="1533"/>
      <c r="K11" s="1533"/>
      <c r="L11" s="1534"/>
      <c r="M11" s="707"/>
      <c r="P11" s="2427"/>
      <c r="Q11" s="1475"/>
      <c r="R11" s="526"/>
      <c r="S11" s="1448"/>
      <c r="T11" s="457" t="s">
        <v>419</v>
      </c>
      <c r="U11" s="537"/>
      <c r="V11" s="537"/>
      <c r="W11" s="537"/>
      <c r="X11" s="537"/>
      <c r="Y11" s="537"/>
      <c r="Z11" s="537"/>
      <c r="AA11" s="537"/>
      <c r="AB11" s="537"/>
      <c r="AC11" s="536"/>
      <c r="AD11" s="537"/>
      <c r="AE11" s="537"/>
      <c r="AF11" s="537"/>
      <c r="AG11" s="537"/>
      <c r="AH11" s="537"/>
      <c r="AI11" s="537"/>
      <c r="AJ11" s="537"/>
      <c r="AK11" s="536"/>
      <c r="AL11" s="3744"/>
      <c r="AM11" s="3745"/>
      <c r="AN11" s="3746"/>
      <c r="AO11" s="3747"/>
      <c r="AP11" s="3748"/>
      <c r="AQ11" s="3749"/>
      <c r="AR11" s="3750"/>
      <c r="AS11" s="3751"/>
      <c r="AT11" s="3752"/>
      <c r="AU11" s="3753"/>
      <c r="AV11" s="3754"/>
      <c r="AW11" s="3755"/>
      <c r="AX11" s="3756"/>
      <c r="AY11" s="3757"/>
      <c r="AZ11" s="3758"/>
      <c r="BA11" s="3759"/>
      <c r="BB11" s="3760"/>
      <c r="BC11" s="3761"/>
      <c r="BD11" s="3762"/>
      <c r="BE11" s="3763"/>
      <c r="BF11" s="3764"/>
      <c r="BG11" s="3765"/>
      <c r="BH11" s="3766"/>
      <c r="BI11" s="3767"/>
      <c r="BJ11" s="3768"/>
      <c r="BK11" s="3769"/>
      <c r="BL11" s="3770"/>
      <c r="BM11" s="3771"/>
      <c r="BN11" s="3772"/>
      <c r="BO11" s="3773"/>
      <c r="BP11" s="3774"/>
      <c r="BQ11" s="3775"/>
      <c r="BR11" s="537"/>
      <c r="BS11" s="473"/>
      <c r="BU11" s="670"/>
      <c r="BV11" s="670" t="str">
        <f>IF(T11="","",T11)</f>
        <v xml:space="preserve">Добавить группу потребителей</v>
      </c>
      <c r="BW11" s="670"/>
      <c r="BX11" s="670"/>
      <c r="BY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3779"/>
      <c r="AM12" s="3780"/>
      <c r="AN12" s="3781"/>
      <c r="AO12" s="3782"/>
      <c r="AP12" s="3783"/>
      <c r="AQ12" s="3784"/>
      <c r="AR12" s="3785"/>
      <c r="AS12" s="3786"/>
      <c r="AT12" s="3787"/>
      <c r="AU12" s="3788"/>
      <c r="AV12" s="3789"/>
      <c r="AW12" s="3790"/>
      <c r="AX12" s="3791"/>
      <c r="AY12" s="3792"/>
      <c r="AZ12" s="3793"/>
      <c r="BA12" s="3794"/>
      <c r="BB12" s="3795"/>
      <c r="BC12" s="3796"/>
      <c r="BD12" s="3797"/>
      <c r="BE12" s="3798"/>
      <c r="BF12" s="3799"/>
      <c r="BG12" s="3800"/>
      <c r="BH12" s="3801"/>
      <c r="BI12" s="3802"/>
      <c r="BJ12" s="3803"/>
      <c r="BK12" s="3804"/>
      <c r="BL12" s="3805"/>
      <c r="BM12" s="3806"/>
      <c r="BN12" s="3807"/>
      <c r="BO12" s="3808"/>
      <c r="BP12" s="3809"/>
      <c r="BQ12" s="3810"/>
      <c r="BR12" s="537"/>
      <c r="BS12" s="473"/>
      <c r="BU12" s="670"/>
      <c r="BV12" s="670" t="str">
        <f>IF(T12="","",T12)</f>
        <v xml:space="preserve">Добавить схему подключения</v>
      </c>
      <c r="BW12" s="670"/>
      <c r="BX12" s="670"/>
      <c r="BY12" s="1325">
        <v>0</v>
      </c>
    </row>
    <row r="13" s="9218"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3818"/>
      <c r="AM13" s="3818"/>
      <c r="AN13" s="3818"/>
      <c r="AO13" s="3818"/>
      <c r="AP13" s="3818"/>
      <c r="AQ13" s="3818"/>
      <c r="AR13" s="3818"/>
      <c r="AS13" s="3818"/>
      <c r="AT13" s="3818"/>
      <c r="AU13" s="3818"/>
      <c r="AV13" s="3818"/>
      <c r="AW13" s="3818"/>
      <c r="AX13" s="3818"/>
      <c r="AY13" s="3818"/>
      <c r="AZ13" s="3818"/>
      <c r="BA13" s="3818"/>
      <c r="BB13" s="3818"/>
      <c r="BC13" s="3818"/>
      <c r="BD13" s="3818"/>
      <c r="BE13" s="3818"/>
      <c r="BF13" s="3818"/>
      <c r="BG13" s="3818"/>
      <c r="BH13" s="3818"/>
      <c r="BI13" s="3818"/>
      <c r="BJ13" s="3818"/>
      <c r="BK13" s="3818"/>
      <c r="BL13" s="3818"/>
      <c r="BM13" s="3818"/>
      <c r="BN13" s="3818"/>
      <c r="BO13" s="3818"/>
      <c r="BP13" s="3818"/>
      <c r="BQ13" s="3818"/>
      <c r="BR13" s="1490"/>
      <c r="BS13" s="1490"/>
      <c r="BU13" s="959"/>
      <c r="BV13" s="959" t="str">
        <f>IF(T13="","",T13)</f>
        <v xml:space="preserve">Добавить источник для дифференциации</v>
      </c>
      <c r="BW13" s="959"/>
      <c r="BX13" s="959"/>
      <c r="BY13" s="688">
        <v>0</v>
      </c>
    </row>
    <row r="14" s="9218"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3824"/>
      <c r="AM14" s="3824"/>
      <c r="AN14" s="3824"/>
      <c r="AO14" s="3824"/>
      <c r="AP14" s="3824"/>
      <c r="AQ14" s="3824"/>
      <c r="AR14" s="3824"/>
      <c r="AS14" s="3824"/>
      <c r="AT14" s="3824"/>
      <c r="AU14" s="3824"/>
      <c r="AV14" s="3824"/>
      <c r="AW14" s="3824"/>
      <c r="AX14" s="3824"/>
      <c r="AY14" s="3824"/>
      <c r="AZ14" s="3824"/>
      <c r="BA14" s="3824"/>
      <c r="BB14" s="3824"/>
      <c r="BC14" s="3824"/>
      <c r="BD14" s="3824"/>
      <c r="BE14" s="3824"/>
      <c r="BF14" s="3824"/>
      <c r="BG14" s="3824"/>
      <c r="BH14" s="3824"/>
      <c r="BI14" s="3824"/>
      <c r="BJ14" s="3824"/>
      <c r="BK14" s="3824"/>
      <c r="BL14" s="3824"/>
      <c r="BM14" s="3824"/>
      <c r="BN14" s="3824"/>
      <c r="BO14" s="3824"/>
      <c r="BP14" s="3824"/>
      <c r="BQ14" s="3824"/>
      <c r="BR14" s="1494"/>
      <c r="BS14" s="1494"/>
      <c r="BU14" s="959"/>
      <c r="BV14" s="959" t="str">
        <f>IF(T14="","",T14)</f>
        <v xml:space="preserve">Добавить централизованную систему для дифференциации</v>
      </c>
      <c r="BW14" s="959"/>
      <c r="BX14" s="959"/>
      <c r="BY14" s="688">
        <v>0</v>
      </c>
    </row>
    <row r="15" s="9218"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3824"/>
      <c r="AM15" s="3824"/>
      <c r="AN15" s="3824"/>
      <c r="AO15" s="3824"/>
      <c r="AP15" s="3824"/>
      <c r="AQ15" s="3824"/>
      <c r="AR15" s="3824"/>
      <c r="AS15" s="3824"/>
      <c r="AT15" s="3824"/>
      <c r="AU15" s="3824"/>
      <c r="AV15" s="3824"/>
      <c r="AW15" s="3824"/>
      <c r="AX15" s="3824"/>
      <c r="AY15" s="3824"/>
      <c r="AZ15" s="3824"/>
      <c r="BA15" s="3824"/>
      <c r="BB15" s="3824"/>
      <c r="BC15" s="3824"/>
      <c r="BD15" s="3824"/>
      <c r="BE15" s="3824"/>
      <c r="BF15" s="3824"/>
      <c r="BG15" s="3824"/>
      <c r="BH15" s="3824"/>
      <c r="BI15" s="3824"/>
      <c r="BJ15" s="3824"/>
      <c r="BK15" s="3824"/>
      <c r="BL15" s="3824"/>
      <c r="BM15" s="3824"/>
      <c r="BN15" s="3824"/>
      <c r="BO15" s="3824"/>
      <c r="BP15" s="3824"/>
      <c r="BQ15" s="3824"/>
      <c r="BR15" s="1494"/>
      <c r="BS15" s="1494"/>
      <c r="BU15" s="959"/>
      <c r="BV15" s="959" t="str">
        <f>IF(T15="","",T15)</f>
        <v xml:space="preserve">Добавить территорию для дифференциации</v>
      </c>
      <c r="BW15" s="959"/>
      <c r="BX15" s="959"/>
      <c r="BY15" s="688">
        <v>0</v>
      </c>
    </row>
    <row r="16" ht="14.25" hidden="1" customHeight="1">
      <c r="AC16" s="497"/>
      <c r="AK16" s="497"/>
      <c r="AL16" s="3649"/>
      <c r="AM16" s="3649"/>
      <c r="AN16" s="3649"/>
      <c r="AO16" s="3649"/>
      <c r="AP16" s="3649"/>
      <c r="AQ16" s="3649"/>
      <c r="AR16" s="3649"/>
      <c r="AS16" s="3649"/>
      <c r="AT16" s="3649"/>
      <c r="AU16" s="3649"/>
      <c r="AV16" s="3649"/>
      <c r="AW16" s="3649"/>
      <c r="AX16" s="3649"/>
      <c r="AY16" s="3649"/>
      <c r="AZ16" s="3649"/>
      <c r="BA16" s="3649"/>
      <c r="BB16" s="3649"/>
      <c r="BC16" s="3649"/>
      <c r="BD16" s="3649"/>
      <c r="BE16" s="3649"/>
      <c r="BF16" s="3649"/>
      <c r="BG16" s="3649"/>
      <c r="BH16" s="3649"/>
      <c r="BI16" s="3649"/>
      <c r="BJ16" s="3649"/>
      <c r="BK16" s="3649"/>
      <c r="BL16" s="3649"/>
      <c r="BM16" s="3649"/>
      <c r="BN16" s="3649"/>
      <c r="BO16" s="3649"/>
      <c r="BP16" s="3649"/>
      <c r="BQ16" s="3649"/>
      <c r="BY16" s="1325">
        <v>0</v>
      </c>
    </row>
    <row r="17" ht="14.25" hidden="1" customHeight="1">
      <c r="P17" s="1481"/>
      <c r="AD17" s="1530"/>
      <c r="AE17" s="1530"/>
      <c r="AF17" s="1530"/>
      <c r="AG17" s="1531"/>
      <c r="AH17" s="2437"/>
      <c r="AI17" s="2438" t="s">
        <v>67</v>
      </c>
      <c r="AJ17" s="2437"/>
      <c r="AK17" s="2438" t="s">
        <v>67</v>
      </c>
      <c r="AL17" s="3649"/>
      <c r="AM17" s="3649"/>
      <c r="AN17" s="3649"/>
      <c r="AO17" s="3649"/>
      <c r="AP17" s="3649"/>
      <c r="AQ17" s="3649"/>
      <c r="AR17" s="3649"/>
      <c r="AS17" s="3649"/>
      <c r="AT17" s="3649"/>
      <c r="AU17" s="3649"/>
      <c r="AV17" s="3649"/>
      <c r="AW17" s="3649"/>
      <c r="AX17" s="3649"/>
      <c r="AY17" s="3649"/>
      <c r="AZ17" s="3649"/>
      <c r="BA17" s="3649"/>
      <c r="BB17" s="3649"/>
      <c r="BC17" s="3649"/>
      <c r="BD17" s="3649"/>
      <c r="BE17" s="3649"/>
      <c r="BF17" s="3649"/>
      <c r="BG17" s="3649"/>
      <c r="BH17" s="3649"/>
      <c r="BI17" s="3649"/>
      <c r="BJ17" s="3649"/>
      <c r="BK17" s="3649"/>
      <c r="BL17" s="3649"/>
      <c r="BM17" s="3649"/>
      <c r="BN17" s="3649"/>
      <c r="BO17" s="3649"/>
      <c r="BP17" s="3649"/>
      <c r="BQ17" s="3649"/>
      <c r="BY17" s="1325">
        <v>0</v>
      </c>
    </row>
    <row r="18" ht="14.25" hidden="1" customHeight="1">
      <c r="P18" s="1481"/>
      <c r="AD18" s="1530"/>
      <c r="AE18" s="1530"/>
      <c r="AF18" s="1530"/>
      <c r="AG18" s="498" t="str">
        <f>AH17&amp;"-"&amp;AJ17</f>
        <v>-</v>
      </c>
      <c r="AH18" s="2438"/>
      <c r="AI18" s="2438"/>
      <c r="AJ18" s="2438"/>
      <c r="AK18" s="2438"/>
      <c r="AL18" s="3649"/>
      <c r="AM18" s="3649"/>
      <c r="AN18" s="3649"/>
      <c r="AO18" s="3649"/>
      <c r="AP18" s="3649"/>
      <c r="AQ18" s="3649"/>
      <c r="AR18" s="3649"/>
      <c r="AS18" s="3649"/>
      <c r="AT18" s="3649"/>
      <c r="AU18" s="3649"/>
      <c r="AV18" s="3649"/>
      <c r="AW18" s="3649"/>
      <c r="AX18" s="3649"/>
      <c r="AY18" s="3649"/>
      <c r="AZ18" s="3649"/>
      <c r="BA18" s="3649"/>
      <c r="BB18" s="3649"/>
      <c r="BC18" s="3649"/>
      <c r="BD18" s="3649"/>
      <c r="BE18" s="3649"/>
      <c r="BF18" s="3649"/>
      <c r="BG18" s="3649"/>
      <c r="BH18" s="3649"/>
      <c r="BI18" s="3649"/>
      <c r="BJ18" s="3649"/>
      <c r="BK18" s="3649"/>
      <c r="BL18" s="3649"/>
      <c r="BM18" s="3649"/>
      <c r="BN18" s="3649"/>
      <c r="BO18" s="3649"/>
      <c r="BP18" s="3649"/>
      <c r="BQ18" s="3649"/>
      <c r="BY18" s="1325">
        <v>0</v>
      </c>
    </row>
    <row r="19" ht="14.25" hidden="1" customHeight="1">
      <c r="P19" s="1481"/>
      <c r="AK19" s="497"/>
      <c r="AL19" s="3649"/>
      <c r="AM19" s="3649"/>
      <c r="AN19" s="3649"/>
      <c r="AO19" s="3649"/>
      <c r="AP19" s="3649"/>
      <c r="AQ19" s="3649"/>
      <c r="AR19" s="3649"/>
      <c r="AS19" s="3649"/>
      <c r="AT19" s="3649"/>
      <c r="AU19" s="3649"/>
      <c r="AV19" s="3649"/>
      <c r="AW19" s="3649"/>
      <c r="AX19" s="3649"/>
      <c r="AY19" s="3649"/>
      <c r="AZ19" s="3649"/>
      <c r="BA19" s="3649"/>
      <c r="BB19" s="3649"/>
      <c r="BC19" s="3649"/>
      <c r="BD19" s="3649"/>
      <c r="BE19" s="3649"/>
      <c r="BF19" s="3649"/>
      <c r="BG19" s="3649"/>
      <c r="BH19" s="3649"/>
      <c r="BI19" s="3649"/>
      <c r="BJ19" s="3649"/>
      <c r="BK19" s="3649"/>
      <c r="BL19" s="3649"/>
      <c r="BM19" s="3649"/>
      <c r="BN19" s="3649"/>
      <c r="BO19" s="3649"/>
      <c r="BP19" s="3649"/>
      <c r="BQ19" s="3649"/>
      <c r="BY19" s="1325">
        <v>0</v>
      </c>
    </row>
    <row r="20" s="9217" customFormat="1" ht="22.5" hidden="1" customHeight="1">
      <c r="L20" s="1499"/>
      <c r="M20" s="1532"/>
      <c r="N20" s="1532"/>
      <c r="O20" s="1537" t="s">
        <v>421</v>
      </c>
      <c r="P20" s="1532"/>
      <c r="Q20" s="1541"/>
      <c r="R20" s="1541"/>
      <c r="S20" s="899"/>
      <c r="Z20" s="1537"/>
      <c r="AB20" s="1537"/>
      <c r="AC20" s="1536"/>
      <c r="AH20" s="1537"/>
      <c r="AJ20" s="1537"/>
      <c r="AK20" s="1536"/>
      <c r="AL20" s="3836"/>
      <c r="AM20" s="3836"/>
      <c r="AN20" s="3836"/>
      <c r="AO20" s="3836"/>
      <c r="AP20" s="3837"/>
      <c r="AQ20" s="3836"/>
      <c r="AR20" s="3837"/>
      <c r="AS20" s="3836"/>
      <c r="AT20" s="3836"/>
      <c r="AU20" s="3836"/>
      <c r="AV20" s="3836"/>
      <c r="AW20" s="3836"/>
      <c r="AX20" s="3837"/>
      <c r="AY20" s="3836"/>
      <c r="AZ20" s="3837"/>
      <c r="BA20" s="3836"/>
      <c r="BB20" s="3836"/>
      <c r="BC20" s="3836"/>
      <c r="BD20" s="3836"/>
      <c r="BE20" s="3836"/>
      <c r="BF20" s="3837"/>
      <c r="BG20" s="3836"/>
      <c r="BH20" s="3837"/>
      <c r="BI20" s="3836"/>
      <c r="BJ20" s="3836"/>
      <c r="BK20" s="3836"/>
      <c r="BL20" s="3836"/>
      <c r="BM20" s="3836"/>
      <c r="BN20" s="3837"/>
      <c r="BO20" s="3836"/>
      <c r="BP20" s="3837"/>
      <c r="BQ20" s="3836"/>
      <c r="BT20" s="681"/>
      <c r="BU20" s="681"/>
      <c r="BV20" s="681"/>
      <c r="BW20" s="681"/>
      <c r="BX20" s="681"/>
      <c r="BY20" s="1330">
        <v>0</v>
      </c>
    </row>
    <row r="21" s="9217" customFormat="1" ht="14.25" hidden="1" customHeight="1">
      <c r="L21" s="1499"/>
      <c r="M21" s="1532"/>
      <c r="N21" s="1532"/>
      <c r="O21" s="1532"/>
      <c r="P21" s="1532"/>
      <c r="Q21" s="1541"/>
      <c r="R21" s="1541"/>
      <c r="S21" s="899"/>
      <c r="AC21" s="1536"/>
      <c r="AK21" s="1536"/>
      <c r="AL21" s="3836"/>
      <c r="AM21" s="3836"/>
      <c r="AN21" s="3836"/>
      <c r="AO21" s="3836"/>
      <c r="AP21" s="3836"/>
      <c r="AQ21" s="3836"/>
      <c r="AR21" s="3836"/>
      <c r="AS21" s="3836"/>
      <c r="AT21" s="3836"/>
      <c r="AU21" s="3836"/>
      <c r="AV21" s="3836"/>
      <c r="AW21" s="3836"/>
      <c r="AX21" s="3836"/>
      <c r="AY21" s="3836"/>
      <c r="AZ21" s="3836"/>
      <c r="BA21" s="3836"/>
      <c r="BB21" s="3836"/>
      <c r="BC21" s="3836"/>
      <c r="BD21" s="3836"/>
      <c r="BE21" s="3836"/>
      <c r="BF21" s="3836"/>
      <c r="BG21" s="3836"/>
      <c r="BH21" s="3836"/>
      <c r="BI21" s="3836"/>
      <c r="BJ21" s="3836"/>
      <c r="BK21" s="3836"/>
      <c r="BL21" s="3836"/>
      <c r="BM21" s="3836"/>
      <c r="BN21" s="3836"/>
      <c r="BO21" s="3836"/>
      <c r="BP21" s="3836"/>
      <c r="BQ21" s="3836"/>
      <c r="BT21" s="681"/>
      <c r="BU21" s="681"/>
      <c r="BV21" s="681"/>
      <c r="BW21" s="681"/>
      <c r="BX21" s="681"/>
      <c r="BY21" s="1330">
        <v>0</v>
      </c>
    </row>
    <row r="22" s="9217"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L22" s="3836"/>
      <c r="AM22" s="3836"/>
      <c r="AN22" s="3836"/>
      <c r="AO22" s="3836"/>
      <c r="AP22" s="3836"/>
      <c r="AQ22" s="3839" t="s">
        <v>424</v>
      </c>
      <c r="AR22" s="3836"/>
      <c r="AS22" s="3839" t="s">
        <v>425</v>
      </c>
      <c r="AT22" s="3836"/>
      <c r="AU22" s="3836"/>
      <c r="AV22" s="3836"/>
      <c r="AW22" s="3836"/>
      <c r="AX22" s="3836"/>
      <c r="AY22" s="3839" t="s">
        <v>424</v>
      </c>
      <c r="AZ22" s="3836"/>
      <c r="BA22" s="3839" t="s">
        <v>425</v>
      </c>
      <c r="BB22" s="3836"/>
      <c r="BC22" s="3836"/>
      <c r="BD22" s="3836"/>
      <c r="BE22" s="3836"/>
      <c r="BF22" s="3836"/>
      <c r="BG22" s="3839" t="s">
        <v>424</v>
      </c>
      <c r="BH22" s="3836"/>
      <c r="BI22" s="3839" t="s">
        <v>425</v>
      </c>
      <c r="BJ22" s="3836"/>
      <c r="BK22" s="3836"/>
      <c r="BL22" s="3836"/>
      <c r="BM22" s="3836"/>
      <c r="BN22" s="3836"/>
      <c r="BO22" s="3839" t="s">
        <v>424</v>
      </c>
      <c r="BP22" s="3836"/>
      <c r="BQ22" s="3839" t="s">
        <v>425</v>
      </c>
      <c r="BT22" s="681"/>
      <c r="BU22" s="681"/>
      <c r="BV22" s="681"/>
      <c r="BW22" s="681"/>
      <c r="BX22" s="681"/>
      <c r="BY22" s="1330">
        <v>0</v>
      </c>
    </row>
    <row r="23" ht="14.25" hidden="1" customHeight="1">
      <c r="O23" s="1534"/>
      <c r="P23" s="1481"/>
      <c r="AL23" s="3649"/>
      <c r="AM23" s="3649"/>
      <c r="AN23" s="3649"/>
      <c r="AO23" s="3649"/>
      <c r="AP23" s="3649"/>
      <c r="AQ23" s="3649"/>
      <c r="AR23" s="3649"/>
      <c r="AS23" s="3649"/>
      <c r="AT23" s="3649"/>
      <c r="AU23" s="3649"/>
      <c r="AV23" s="3649"/>
      <c r="AW23" s="3649"/>
      <c r="AX23" s="3649"/>
      <c r="AY23" s="3649"/>
      <c r="AZ23" s="3649"/>
      <c r="BA23" s="3649"/>
      <c r="BB23" s="3649"/>
      <c r="BC23" s="3649"/>
      <c r="BD23" s="3649"/>
      <c r="BE23" s="3649"/>
      <c r="BF23" s="3649"/>
      <c r="BG23" s="3649"/>
      <c r="BH23" s="3649"/>
      <c r="BI23" s="3649"/>
      <c r="BJ23" s="3649"/>
      <c r="BK23" s="3649"/>
      <c r="BL23" s="3649"/>
      <c r="BM23" s="3649"/>
      <c r="BN23" s="3649"/>
      <c r="BO23" s="3649"/>
      <c r="BP23" s="3649"/>
      <c r="BQ23" s="3649"/>
      <c r="BY23" s="1325">
        <v>0</v>
      </c>
    </row>
    <row r="24" ht="14.25" hidden="1" customHeight="1">
      <c r="O24" s="1534"/>
      <c r="P24" s="1481"/>
      <c r="AL24" s="3649"/>
      <c r="AM24" s="3649"/>
      <c r="AN24" s="3649"/>
      <c r="AO24" s="3649"/>
      <c r="AP24" s="3649"/>
      <c r="AQ24" s="3649"/>
      <c r="AR24" s="3649"/>
      <c r="AS24" s="3649"/>
      <c r="AT24" s="3649"/>
      <c r="AU24" s="3649"/>
      <c r="AV24" s="3649"/>
      <c r="AW24" s="3649"/>
      <c r="AX24" s="3649"/>
      <c r="AY24" s="3649"/>
      <c r="AZ24" s="3649"/>
      <c r="BA24" s="3649"/>
      <c r="BB24" s="3649"/>
      <c r="BC24" s="3649"/>
      <c r="BD24" s="3649"/>
      <c r="BE24" s="3649"/>
      <c r="BF24" s="3649"/>
      <c r="BG24" s="3649"/>
      <c r="BH24" s="3649"/>
      <c r="BI24" s="3649"/>
      <c r="BJ24" s="3649"/>
      <c r="BK24" s="3649"/>
      <c r="BL24" s="3649"/>
      <c r="BM24" s="3649"/>
      <c r="BN24" s="3649"/>
      <c r="BO24" s="3649"/>
      <c r="BP24" s="3649"/>
      <c r="BQ24" s="3649"/>
      <c r="BY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L25" s="3649"/>
      <c r="AM25" s="3649"/>
      <c r="AN25" s="3649"/>
      <c r="AO25" s="3649"/>
      <c r="AP25" s="3649"/>
      <c r="AQ25" s="3649"/>
      <c r="AR25" s="3649"/>
      <c r="AS25" s="3649"/>
      <c r="AT25" s="3649"/>
      <c r="AU25" s="3649"/>
      <c r="AV25" s="3649"/>
      <c r="AW25" s="3649"/>
      <c r="AX25" s="3649"/>
      <c r="AY25" s="3649"/>
      <c r="AZ25" s="3649"/>
      <c r="BA25" s="3649"/>
      <c r="BB25" s="3649"/>
      <c r="BC25" s="3649"/>
      <c r="BD25" s="3649"/>
      <c r="BE25" s="3649"/>
      <c r="BF25" s="3649"/>
      <c r="BG25" s="3649"/>
      <c r="BH25" s="3649"/>
      <c r="BI25" s="3649"/>
      <c r="BJ25" s="3649"/>
      <c r="BK25" s="3649"/>
      <c r="BL25" s="3649"/>
      <c r="BM25" s="3649"/>
      <c r="BN25" s="3649"/>
      <c r="BO25" s="3649"/>
      <c r="BP25" s="3649"/>
      <c r="BQ25" s="3649"/>
      <c r="BY25" s="1325">
        <v>14</v>
      </c>
    </row>
    <row r="26" ht="14.65" customHeight="1">
      <c r="Q26" s="546"/>
      <c r="R26" s="546"/>
      <c r="S26" s="2418"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L26" s="3845"/>
      <c r="AM26" s="3845"/>
      <c r="AN26" s="3845"/>
      <c r="AO26" s="3845"/>
      <c r="AP26" s="3845"/>
      <c r="AQ26" s="3845"/>
      <c r="AR26" s="3845"/>
      <c r="AS26" s="3845"/>
      <c r="AT26" s="3845"/>
      <c r="AU26" s="3845"/>
      <c r="AV26" s="3845"/>
      <c r="AW26" s="3845"/>
      <c r="AX26" s="3845"/>
      <c r="AY26" s="3845"/>
      <c r="AZ26" s="3845"/>
      <c r="BA26" s="3845"/>
      <c r="BB26" s="3845"/>
      <c r="BC26" s="3845"/>
      <c r="BD26" s="3845"/>
      <c r="BE26" s="3845"/>
      <c r="BF26" s="3845"/>
      <c r="BG26" s="3845"/>
      <c r="BH26" s="3845"/>
      <c r="BI26" s="3845"/>
      <c r="BJ26" s="3845"/>
      <c r="BK26" s="3845"/>
      <c r="BL26" s="3845"/>
      <c r="BM26" s="3845"/>
      <c r="BN26" s="3845"/>
      <c r="BO26" s="3845"/>
      <c r="BP26" s="3845"/>
      <c r="BQ26" s="3845"/>
      <c r="BY26" s="1325">
        <v>14</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L27" s="3847"/>
      <c r="AM27" s="3847"/>
      <c r="AN27" s="3847"/>
      <c r="AO27" s="3847"/>
      <c r="AP27" s="3847"/>
      <c r="AQ27" s="3847"/>
      <c r="AR27" s="3847"/>
      <c r="AS27" s="3847"/>
      <c r="AT27" s="3847"/>
      <c r="AU27" s="3847"/>
      <c r="AV27" s="3847"/>
      <c r="AW27" s="3847"/>
      <c r="AX27" s="3847"/>
      <c r="AY27" s="3847"/>
      <c r="AZ27" s="3847"/>
      <c r="BA27" s="3847"/>
      <c r="BB27" s="3847"/>
      <c r="BC27" s="3847"/>
      <c r="BD27" s="3847"/>
      <c r="BE27" s="3847"/>
      <c r="BF27" s="3847"/>
      <c r="BG27" s="3847"/>
      <c r="BH27" s="3847"/>
      <c r="BI27" s="3847"/>
      <c r="BJ27" s="3847"/>
      <c r="BK27" s="3847"/>
      <c r="BL27" s="3847"/>
      <c r="BM27" s="3847"/>
      <c r="BN27" s="3847"/>
      <c r="BO27" s="3847"/>
      <c r="BP27" s="3847"/>
      <c r="BQ27" s="3847"/>
      <c r="BY27" s="1325">
        <v>14</v>
      </c>
    </row>
    <row r="28" ht="14.25" hidden="1"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3849"/>
      <c r="AM28" s="3849"/>
      <c r="AN28" s="3849"/>
      <c r="AO28" s="3849"/>
      <c r="AP28" s="3849"/>
      <c r="AQ28" s="3849"/>
      <c r="AR28" s="3849"/>
      <c r="AS28" s="3849"/>
      <c r="AT28" s="3849"/>
      <c r="AU28" s="3849"/>
      <c r="AV28" s="3849"/>
      <c r="AW28" s="3849"/>
      <c r="AX28" s="3849"/>
      <c r="AY28" s="3849"/>
      <c r="AZ28" s="3849"/>
      <c r="BA28" s="3849"/>
      <c r="BB28" s="3849"/>
      <c r="BC28" s="3849"/>
      <c r="BD28" s="3849"/>
      <c r="BE28" s="3849"/>
      <c r="BF28" s="3849"/>
      <c r="BG28" s="3849"/>
      <c r="BH28" s="3849"/>
      <c r="BI28" s="3849"/>
      <c r="BJ28" s="3849"/>
      <c r="BK28" s="3849"/>
      <c r="BL28" s="3849"/>
      <c r="BM28" s="3849"/>
      <c r="BN28" s="3849"/>
      <c r="BO28" s="3849"/>
      <c r="BP28" s="3849"/>
      <c r="BQ28" s="3849"/>
      <c r="BR28" s="679"/>
      <c r="BY28" s="1325">
        <v>0</v>
      </c>
    </row>
    <row r="29" s="9344" customFormat="1" ht="25.5" hidden="1"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3856" t="str">
        <f>IF(TITLE_NAME_OR_PR_CHANGE="",IF(TITLE_NAME_OR_PR="","",TITLE_NAME_OR_PR),TITLE_NAME_OR_PR_CHANGE)</f>
        <v/>
      </c>
      <c r="AM29" s="3856"/>
      <c r="AN29" s="3856"/>
      <c r="AO29" s="3856"/>
      <c r="AP29" s="3856"/>
      <c r="AQ29" s="3856"/>
      <c r="AR29" s="3856"/>
      <c r="AS29" s="3649"/>
      <c r="AT29" s="3856" t="str">
        <f>IF(TITLE_NAME_OR_PR_CHANGE="",IF(TITLE_NAME_OR_PR="","",TITLE_NAME_OR_PR),TITLE_NAME_OR_PR_CHANGE)</f>
        <v/>
      </c>
      <c r="AU29" s="3856"/>
      <c r="AV29" s="3856"/>
      <c r="AW29" s="3856"/>
      <c r="AX29" s="3856"/>
      <c r="AY29" s="3856"/>
      <c r="AZ29" s="3856"/>
      <c r="BA29" s="3649"/>
      <c r="BB29" s="3856" t="str">
        <f>IF(TITLE_NAME_OR_PR_CHANGE="",IF(TITLE_NAME_OR_PR="","",TITLE_NAME_OR_PR),TITLE_NAME_OR_PR_CHANGE)</f>
        <v/>
      </c>
      <c r="BC29" s="3856"/>
      <c r="BD29" s="3856"/>
      <c r="BE29" s="3856"/>
      <c r="BF29" s="3856"/>
      <c r="BG29" s="3856"/>
      <c r="BH29" s="3856"/>
      <c r="BI29" s="3649"/>
      <c r="BJ29" s="3856" t="str">
        <f>IF(TITLE_NAME_OR_PR_CHANGE="",IF(TITLE_NAME_OR_PR="","",TITLE_NAME_OR_PR),TITLE_NAME_OR_PR_CHANGE)</f>
        <v/>
      </c>
      <c r="BK29" s="3856"/>
      <c r="BL29" s="3856"/>
      <c r="BM29" s="3856"/>
      <c r="BN29" s="3856"/>
      <c r="BO29" s="3856"/>
      <c r="BP29" s="3856"/>
      <c r="BQ29" s="3649"/>
      <c r="BR29" s="496"/>
      <c r="BS29" s="450"/>
      <c r="BT29" s="538"/>
      <c r="BU29" s="538"/>
      <c r="BV29" s="538"/>
      <c r="BW29" s="538"/>
      <c r="BX29" s="538"/>
      <c r="BY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45646</v>
      </c>
      <c r="W30" s="2434"/>
      <c r="X30" s="2434"/>
      <c r="Y30" s="2434"/>
      <c r="Z30" s="2434"/>
      <c r="AA30" s="2434"/>
      <c r="AB30" s="2434"/>
      <c r="AC30" s="496"/>
      <c r="AD30" s="2434" t="str">
        <f>IF(TITLE_DATE_PR_CHANGE="",IF(TITLE_DATE_PR="","",TITLE_DATE_PR),TITLE_DATE_PR_CHANGE)</f>
        <v>45646</v>
      </c>
      <c r="AE30" s="2434"/>
      <c r="AF30" s="2434"/>
      <c r="AG30" s="2434"/>
      <c r="AH30" s="2434"/>
      <c r="AI30" s="2434"/>
      <c r="AJ30" s="2434"/>
      <c r="AK30" s="496"/>
      <c r="AL30" s="3861" t="str">
        <f>IF(TITLE_DATE_PR_CHANGE="",IF(TITLE_DATE_PR="","",TITLE_DATE_PR),TITLE_DATE_PR_CHANGE)</f>
        <v>45646</v>
      </c>
      <c r="AM30" s="3861"/>
      <c r="AN30" s="3861"/>
      <c r="AO30" s="3861"/>
      <c r="AP30" s="3861"/>
      <c r="AQ30" s="3861"/>
      <c r="AR30" s="3861"/>
      <c r="AS30" s="3649"/>
      <c r="AT30" s="3861" t="str">
        <f>IF(TITLE_DATE_PR_CHANGE="",IF(TITLE_DATE_PR="","",TITLE_DATE_PR),TITLE_DATE_PR_CHANGE)</f>
        <v>45646</v>
      </c>
      <c r="AU30" s="3861"/>
      <c r="AV30" s="3861"/>
      <c r="AW30" s="3861"/>
      <c r="AX30" s="3861"/>
      <c r="AY30" s="3861"/>
      <c r="AZ30" s="3861"/>
      <c r="BA30" s="3649"/>
      <c r="BB30" s="3861" t="str">
        <f>IF(TITLE_DATE_PR_CHANGE="",IF(TITLE_DATE_PR="","",TITLE_DATE_PR),TITLE_DATE_PR_CHANGE)</f>
        <v>45646</v>
      </c>
      <c r="BC30" s="3861"/>
      <c r="BD30" s="3861"/>
      <c r="BE30" s="3861"/>
      <c r="BF30" s="3861"/>
      <c r="BG30" s="3861"/>
      <c r="BH30" s="3861"/>
      <c r="BI30" s="3649"/>
      <c r="BJ30" s="3861" t="str">
        <f>IF(TITLE_DATE_PR_CHANGE="",IF(TITLE_DATE_PR="","",TITLE_DATE_PR),TITLE_DATE_PR_CHANGE)</f>
        <v>45646</v>
      </c>
      <c r="BK30" s="3861"/>
      <c r="BL30" s="3861"/>
      <c r="BM30" s="3861"/>
      <c r="BN30" s="3861"/>
      <c r="BO30" s="3861"/>
      <c r="BP30" s="3861"/>
      <c r="BQ30" s="3649"/>
      <c r="BR30" s="496"/>
      <c r="BS30" s="450"/>
      <c r="BT30" s="538"/>
      <c r="BU30" s="538"/>
      <c r="BV30" s="538"/>
      <c r="BW30" s="538"/>
      <c r="BX30" s="538"/>
      <c r="BY30" s="588">
        <v>0</v>
      </c>
    </row>
    <row r="31" s="9344" customFormat="1" ht="18.75" hidden="1"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ДГК-01.1/22560</v>
      </c>
      <c r="W31" s="2421"/>
      <c r="X31" s="2421"/>
      <c r="Y31" s="2421"/>
      <c r="Z31" s="2421"/>
      <c r="AA31" s="2421"/>
      <c r="AB31" s="2421"/>
      <c r="AC31" s="496"/>
      <c r="AD31" s="2421" t="str">
        <f>IF(TITLE_NUMBER_PR_CHANGE="",IF(TITLE_NUMBER_PR="","",TITLE_NUMBER_PR),TITLE_NUMBER_PR_CHANGE)</f>
        <v>ДГК-01.1/22560</v>
      </c>
      <c r="AE31" s="2421"/>
      <c r="AF31" s="2421"/>
      <c r="AG31" s="2421"/>
      <c r="AH31" s="2421"/>
      <c r="AI31" s="2421"/>
      <c r="AJ31" s="2421"/>
      <c r="AK31" s="496"/>
      <c r="AL31" s="3856" t="str">
        <f>IF(TITLE_NUMBER_PR_CHANGE="",IF(TITLE_NUMBER_PR="","",TITLE_NUMBER_PR),TITLE_NUMBER_PR_CHANGE)</f>
        <v>ДГК-01.1/22560</v>
      </c>
      <c r="AM31" s="3856"/>
      <c r="AN31" s="3856"/>
      <c r="AO31" s="3856"/>
      <c r="AP31" s="3856"/>
      <c r="AQ31" s="3856"/>
      <c r="AR31" s="3856"/>
      <c r="AS31" s="3649"/>
      <c r="AT31" s="3856" t="str">
        <f>IF(TITLE_NUMBER_PR_CHANGE="",IF(TITLE_NUMBER_PR="","",TITLE_NUMBER_PR),TITLE_NUMBER_PR_CHANGE)</f>
        <v>ДГК-01.1/22560</v>
      </c>
      <c r="AU31" s="3856"/>
      <c r="AV31" s="3856"/>
      <c r="AW31" s="3856"/>
      <c r="AX31" s="3856"/>
      <c r="AY31" s="3856"/>
      <c r="AZ31" s="3856"/>
      <c r="BA31" s="3649"/>
      <c r="BB31" s="3856" t="str">
        <f>IF(TITLE_NUMBER_PR_CHANGE="",IF(TITLE_NUMBER_PR="","",TITLE_NUMBER_PR),TITLE_NUMBER_PR_CHANGE)</f>
        <v>ДГК-01.1/22560</v>
      </c>
      <c r="BC31" s="3856"/>
      <c r="BD31" s="3856"/>
      <c r="BE31" s="3856"/>
      <c r="BF31" s="3856"/>
      <c r="BG31" s="3856"/>
      <c r="BH31" s="3856"/>
      <c r="BI31" s="3649"/>
      <c r="BJ31" s="3856" t="str">
        <f>IF(TITLE_NUMBER_PR_CHANGE="",IF(TITLE_NUMBER_PR="","",TITLE_NUMBER_PR),TITLE_NUMBER_PR_CHANGE)</f>
        <v>ДГК-01.1/22560</v>
      </c>
      <c r="BK31" s="3856"/>
      <c r="BL31" s="3856"/>
      <c r="BM31" s="3856"/>
      <c r="BN31" s="3856"/>
      <c r="BO31" s="3856"/>
      <c r="BP31" s="3856"/>
      <c r="BQ31" s="3649"/>
      <c r="BR31" s="496"/>
      <c r="BS31" s="450"/>
      <c r="BT31" s="538"/>
      <c r="BU31" s="538"/>
      <c r="BV31" s="538"/>
      <c r="BW31" s="538"/>
      <c r="BX31" s="538"/>
      <c r="BY31" s="588">
        <v>0</v>
      </c>
    </row>
    <row r="32" s="9344" customFormat="1" ht="18.75" hidden="1" customHeight="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3856" t="str">
        <f>IF(TITLE_IST_PUB_CHANGE="",IF(TITLE_IST_PUB="","",TITLE_IST_PUB),TITLE_IST_PUB_CHANGE)</f>
        <v/>
      </c>
      <c r="AM32" s="3856"/>
      <c r="AN32" s="3856"/>
      <c r="AO32" s="3856"/>
      <c r="AP32" s="3856"/>
      <c r="AQ32" s="3856"/>
      <c r="AR32" s="3856"/>
      <c r="AS32" s="3649"/>
      <c r="AT32" s="3856" t="str">
        <f>IF(TITLE_IST_PUB_CHANGE="",IF(TITLE_IST_PUB="","",TITLE_IST_PUB),TITLE_IST_PUB_CHANGE)</f>
        <v/>
      </c>
      <c r="AU32" s="3856"/>
      <c r="AV32" s="3856"/>
      <c r="AW32" s="3856"/>
      <c r="AX32" s="3856"/>
      <c r="AY32" s="3856"/>
      <c r="AZ32" s="3856"/>
      <c r="BA32" s="3649"/>
      <c r="BB32" s="3856" t="str">
        <f>IF(TITLE_IST_PUB_CHANGE="",IF(TITLE_IST_PUB="","",TITLE_IST_PUB),TITLE_IST_PUB_CHANGE)</f>
        <v/>
      </c>
      <c r="BC32" s="3856"/>
      <c r="BD32" s="3856"/>
      <c r="BE32" s="3856"/>
      <c r="BF32" s="3856"/>
      <c r="BG32" s="3856"/>
      <c r="BH32" s="3856"/>
      <c r="BI32" s="3649"/>
      <c r="BJ32" s="3856" t="str">
        <f>IF(TITLE_IST_PUB_CHANGE="",IF(TITLE_IST_PUB="","",TITLE_IST_PUB),TITLE_IST_PUB_CHANGE)</f>
        <v/>
      </c>
      <c r="BK32" s="3856"/>
      <c r="BL32" s="3856"/>
      <c r="BM32" s="3856"/>
      <c r="BN32" s="3856"/>
      <c r="BO32" s="3856"/>
      <c r="BP32" s="3856"/>
      <c r="BQ32" s="3649"/>
      <c r="BR32" s="496"/>
      <c r="BS32" s="450"/>
      <c r="BT32" s="538"/>
      <c r="BU32" s="538"/>
      <c r="BV32" s="538"/>
      <c r="BW32" s="538"/>
      <c r="BX32" s="538"/>
      <c r="BY32" s="588">
        <v>0</v>
      </c>
    </row>
    <row r="33" ht="14.25" customHeight="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3849"/>
      <c r="AM33" s="3849"/>
      <c r="AN33" s="3849"/>
      <c r="AO33" s="3849"/>
      <c r="AP33" s="3849"/>
      <c r="AQ33" s="3849"/>
      <c r="AR33" s="3849"/>
      <c r="AS33" s="3849"/>
      <c r="AT33" s="3849"/>
      <c r="AU33" s="3849"/>
      <c r="AV33" s="3849"/>
      <c r="AW33" s="3849"/>
      <c r="AX33" s="3849"/>
      <c r="AY33" s="3849"/>
      <c r="AZ33" s="3849"/>
      <c r="BA33" s="3849"/>
      <c r="BB33" s="3849"/>
      <c r="BC33" s="3849"/>
      <c r="BD33" s="3849"/>
      <c r="BE33" s="3849"/>
      <c r="BF33" s="3849"/>
      <c r="BG33" s="3849"/>
      <c r="BH33" s="3849"/>
      <c r="BI33" s="3849"/>
      <c r="BJ33" s="3849"/>
      <c r="BK33" s="3849"/>
      <c r="BL33" s="3849"/>
      <c r="BM33" s="3849"/>
      <c r="BN33" s="3849"/>
      <c r="BO33" s="3849"/>
      <c r="BP33" s="3849"/>
      <c r="BQ33" s="3849"/>
      <c r="BR33" s="679"/>
      <c r="BY33" s="1325">
        <v>0</v>
      </c>
    </row>
    <row r="34" s="9344" customFormat="1" ht="18.75"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45646</v>
      </c>
      <c r="W34" s="2434"/>
      <c r="X34" s="2434"/>
      <c r="Y34" s="2434"/>
      <c r="Z34" s="2434"/>
      <c r="AA34" s="2434"/>
      <c r="AB34" s="2434"/>
      <c r="AC34" s="496"/>
      <c r="AD34" s="2434" t="str">
        <f>IF(TITLE_DATE_PR_CHANGE="",IF(TITLE_DATE_PR="","",TITLE_DATE_PR),TITLE_DATE_PR_CHANGE)</f>
        <v>45646</v>
      </c>
      <c r="AE34" s="2434"/>
      <c r="AF34" s="2434"/>
      <c r="AG34" s="2434"/>
      <c r="AH34" s="2434"/>
      <c r="AI34" s="2434"/>
      <c r="AJ34" s="2434"/>
      <c r="AK34" s="496"/>
      <c r="AL34" s="3861" t="str">
        <f>IF(TITLE_DATE_PR_CHANGE="",IF(TITLE_DATE_PR="","",TITLE_DATE_PR),TITLE_DATE_PR_CHANGE)</f>
        <v>45646</v>
      </c>
      <c r="AM34" s="3861"/>
      <c r="AN34" s="3861"/>
      <c r="AO34" s="3861"/>
      <c r="AP34" s="3861"/>
      <c r="AQ34" s="3861"/>
      <c r="AR34" s="3861"/>
      <c r="AS34" s="3649"/>
      <c r="AT34" s="3861" t="str">
        <f>IF(TITLE_DATE_PR_CHANGE="",IF(TITLE_DATE_PR="","",TITLE_DATE_PR),TITLE_DATE_PR_CHANGE)</f>
        <v>45646</v>
      </c>
      <c r="AU34" s="3861"/>
      <c r="AV34" s="3861"/>
      <c r="AW34" s="3861"/>
      <c r="AX34" s="3861"/>
      <c r="AY34" s="3861"/>
      <c r="AZ34" s="3861"/>
      <c r="BA34" s="3649"/>
      <c r="BB34" s="3861" t="str">
        <f>IF(TITLE_DATE_PR_CHANGE="",IF(TITLE_DATE_PR="","",TITLE_DATE_PR),TITLE_DATE_PR_CHANGE)</f>
        <v>45646</v>
      </c>
      <c r="BC34" s="3861"/>
      <c r="BD34" s="3861"/>
      <c r="BE34" s="3861"/>
      <c r="BF34" s="3861"/>
      <c r="BG34" s="3861"/>
      <c r="BH34" s="3861"/>
      <c r="BI34" s="3649"/>
      <c r="BJ34" s="3861" t="str">
        <f>IF(TITLE_DATE_PR_CHANGE="",IF(TITLE_DATE_PR="","",TITLE_DATE_PR),TITLE_DATE_PR_CHANGE)</f>
        <v>45646</v>
      </c>
      <c r="BK34" s="3861"/>
      <c r="BL34" s="3861"/>
      <c r="BM34" s="3861"/>
      <c r="BN34" s="3861"/>
      <c r="BO34" s="3861"/>
      <c r="BP34" s="3861"/>
      <c r="BQ34" s="3649"/>
      <c r="BR34" s="496"/>
      <c r="BS34" s="450"/>
      <c r="BT34" s="538"/>
      <c r="BU34" s="538"/>
      <c r="BV34" s="538"/>
      <c r="BW34" s="538"/>
      <c r="BX34" s="538"/>
      <c r="BY34" s="588">
        <v>0</v>
      </c>
    </row>
    <row r="35" s="9344" customFormat="1" ht="18.75"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ДГК-01.1/22560</v>
      </c>
      <c r="W35" s="2421"/>
      <c r="X35" s="2421"/>
      <c r="Y35" s="2421"/>
      <c r="Z35" s="2421"/>
      <c r="AA35" s="2421"/>
      <c r="AB35" s="2421"/>
      <c r="AC35" s="496"/>
      <c r="AD35" s="2421" t="str">
        <f>IF(TITLE_NUMBER_PR_CHANGE="",IF(TITLE_NUMBER_PR="","",TITLE_NUMBER_PR),TITLE_NUMBER_PR_CHANGE)</f>
        <v>ДГК-01.1/22560</v>
      </c>
      <c r="AE35" s="2421"/>
      <c r="AF35" s="2421"/>
      <c r="AG35" s="2421"/>
      <c r="AH35" s="2421"/>
      <c r="AI35" s="2421"/>
      <c r="AJ35" s="2421"/>
      <c r="AK35" s="496"/>
      <c r="AL35" s="3856" t="str">
        <f>IF(TITLE_NUMBER_PR_CHANGE="",IF(TITLE_NUMBER_PR="","",TITLE_NUMBER_PR),TITLE_NUMBER_PR_CHANGE)</f>
        <v>ДГК-01.1/22560</v>
      </c>
      <c r="AM35" s="3856"/>
      <c r="AN35" s="3856"/>
      <c r="AO35" s="3856"/>
      <c r="AP35" s="3856"/>
      <c r="AQ35" s="3856"/>
      <c r="AR35" s="3856"/>
      <c r="AS35" s="3649"/>
      <c r="AT35" s="3856" t="str">
        <f>IF(TITLE_NUMBER_PR_CHANGE="",IF(TITLE_NUMBER_PR="","",TITLE_NUMBER_PR),TITLE_NUMBER_PR_CHANGE)</f>
        <v>ДГК-01.1/22560</v>
      </c>
      <c r="AU35" s="3856"/>
      <c r="AV35" s="3856"/>
      <c r="AW35" s="3856"/>
      <c r="AX35" s="3856"/>
      <c r="AY35" s="3856"/>
      <c r="AZ35" s="3856"/>
      <c r="BA35" s="3649"/>
      <c r="BB35" s="3856" t="str">
        <f>IF(TITLE_NUMBER_PR_CHANGE="",IF(TITLE_NUMBER_PR="","",TITLE_NUMBER_PR),TITLE_NUMBER_PR_CHANGE)</f>
        <v>ДГК-01.1/22560</v>
      </c>
      <c r="BC35" s="3856"/>
      <c r="BD35" s="3856"/>
      <c r="BE35" s="3856"/>
      <c r="BF35" s="3856"/>
      <c r="BG35" s="3856"/>
      <c r="BH35" s="3856"/>
      <c r="BI35" s="3649"/>
      <c r="BJ35" s="3856" t="str">
        <f>IF(TITLE_NUMBER_PR_CHANGE="",IF(TITLE_NUMBER_PR="","",TITLE_NUMBER_PR),TITLE_NUMBER_PR_CHANGE)</f>
        <v>ДГК-01.1/22560</v>
      </c>
      <c r="BK35" s="3856"/>
      <c r="BL35" s="3856"/>
      <c r="BM35" s="3856"/>
      <c r="BN35" s="3856"/>
      <c r="BO35" s="3856"/>
      <c r="BP35" s="3856"/>
      <c r="BQ35" s="3649"/>
      <c r="BR35" s="496"/>
      <c r="BS35" s="450"/>
      <c r="BT35" s="538"/>
      <c r="BU35" s="538"/>
      <c r="BV35" s="538"/>
      <c r="BW35" s="538"/>
      <c r="BX35" s="538"/>
      <c r="BY35" s="588">
        <v>0</v>
      </c>
    </row>
    <row r="36" s="9344" customFormat="1" ht="0" customHeight="1">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431</v>
      </c>
      <c r="AD36" s="496"/>
      <c r="AE36" s="496"/>
      <c r="AF36" s="496"/>
      <c r="AG36" s="496"/>
      <c r="AH36" s="496"/>
      <c r="AI36" s="496"/>
      <c r="AJ36" s="496"/>
      <c r="AK36" s="448" t="s">
        <v>431</v>
      </c>
      <c r="AL36" s="3649"/>
      <c r="AM36" s="3649"/>
      <c r="AN36" s="3649"/>
      <c r="AO36" s="3649"/>
      <c r="AP36" s="3649"/>
      <c r="AQ36" s="3649"/>
      <c r="AR36" s="3649"/>
      <c r="AS36" s="3865" t="s">
        <v>431</v>
      </c>
      <c r="AT36" s="3649"/>
      <c r="AU36" s="3649"/>
      <c r="AV36" s="3649"/>
      <c r="AW36" s="3649"/>
      <c r="AX36" s="3649"/>
      <c r="AY36" s="3649"/>
      <c r="AZ36" s="3649"/>
      <c r="BA36" s="3865" t="s">
        <v>431</v>
      </c>
      <c r="BB36" s="3649"/>
      <c r="BC36" s="3649"/>
      <c r="BD36" s="3649"/>
      <c r="BE36" s="3649"/>
      <c r="BF36" s="3649"/>
      <c r="BG36" s="3649"/>
      <c r="BH36" s="3649"/>
      <c r="BI36" s="3865" t="s">
        <v>431</v>
      </c>
      <c r="BJ36" s="3649"/>
      <c r="BK36" s="3649"/>
      <c r="BL36" s="3649"/>
      <c r="BM36" s="3649"/>
      <c r="BN36" s="3649"/>
      <c r="BO36" s="3649"/>
      <c r="BP36" s="3649"/>
      <c r="BQ36" s="3865" t="s">
        <v>431</v>
      </c>
      <c r="BT36" s="538"/>
      <c r="BU36" s="538"/>
      <c r="BV36" s="538"/>
      <c r="BW36" s="538"/>
      <c r="BX36" s="538"/>
      <c r="BY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3868" t="s">
        <v>432</v>
      </c>
      <c r="AM37" s="3868"/>
      <c r="AN37" s="3868"/>
      <c r="AO37" s="3868"/>
      <c r="AP37" s="3868"/>
      <c r="AQ37" s="3868"/>
      <c r="AR37" s="3868"/>
      <c r="AS37" s="3868"/>
      <c r="AT37" s="3868" t="s">
        <v>432</v>
      </c>
      <c r="AU37" s="3868"/>
      <c r="AV37" s="3868"/>
      <c r="AW37" s="3868"/>
      <c r="AX37" s="3868"/>
      <c r="AY37" s="3868"/>
      <c r="AZ37" s="3868"/>
      <c r="BA37" s="3868"/>
      <c r="BB37" s="3868" t="s">
        <v>432</v>
      </c>
      <c r="BC37" s="3868"/>
      <c r="BD37" s="3868"/>
      <c r="BE37" s="3868"/>
      <c r="BF37" s="3868"/>
      <c r="BG37" s="3868"/>
      <c r="BH37" s="3868"/>
      <c r="BI37" s="3868"/>
      <c r="BJ37" s="3868" t="s">
        <v>432</v>
      </c>
      <c r="BK37" s="3868"/>
      <c r="BL37" s="3868"/>
      <c r="BM37" s="3868"/>
      <c r="BN37" s="3868"/>
      <c r="BO37" s="3868"/>
      <c r="BP37" s="3868"/>
      <c r="BQ37" s="3868"/>
      <c r="BY37" s="1325">
        <v>14</v>
      </c>
    </row>
    <row r="38" ht="1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3869" t="s">
        <v>307</v>
      </c>
      <c r="AM38" s="3869"/>
      <c r="AN38" s="3869"/>
      <c r="AO38" s="3869"/>
      <c r="AP38" s="3869"/>
      <c r="AQ38" s="3869"/>
      <c r="AR38" s="3869"/>
      <c r="AS38" s="3869"/>
      <c r="AT38" s="3869" t="s">
        <v>307</v>
      </c>
      <c r="AU38" s="3869"/>
      <c r="AV38" s="3869"/>
      <c r="AW38" s="3869"/>
      <c r="AX38" s="3869"/>
      <c r="AY38" s="3869"/>
      <c r="AZ38" s="3869"/>
      <c r="BA38" s="3869"/>
      <c r="BB38" s="3869" t="s">
        <v>307</v>
      </c>
      <c r="BC38" s="3869"/>
      <c r="BD38" s="3869"/>
      <c r="BE38" s="3869"/>
      <c r="BF38" s="3869"/>
      <c r="BG38" s="3869"/>
      <c r="BH38" s="3869"/>
      <c r="BI38" s="3869"/>
      <c r="BJ38" s="3869" t="s">
        <v>307</v>
      </c>
      <c r="BK38" s="3869"/>
      <c r="BL38" s="3869"/>
      <c r="BM38" s="3869"/>
      <c r="BN38" s="3869"/>
      <c r="BO38" s="3869"/>
      <c r="BP38" s="3869"/>
      <c r="BQ38" s="3869"/>
      <c r="BR38" s="2297"/>
      <c r="BS38" s="2297"/>
      <c r="BY38" s="1325"/>
    </row>
    <row r="39" ht="14.65" customHeight="1">
      <c r="Q39" s="546"/>
      <c r="R39" s="546"/>
      <c r="S39" s="2443" t="s">
        <v>89</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3876" t="s">
        <v>434</v>
      </c>
      <c r="AM39" s="3877"/>
      <c r="AN39" s="3877"/>
      <c r="AO39" s="3877"/>
      <c r="AP39" s="3877"/>
      <c r="AQ39" s="3877"/>
      <c r="AR39" s="3878"/>
      <c r="AS39" s="3879" t="s">
        <v>435</v>
      </c>
      <c r="AT39" s="3876" t="s">
        <v>434</v>
      </c>
      <c r="AU39" s="3877"/>
      <c r="AV39" s="3877"/>
      <c r="AW39" s="3877"/>
      <c r="AX39" s="3877"/>
      <c r="AY39" s="3877"/>
      <c r="AZ39" s="3878"/>
      <c r="BA39" s="3879" t="s">
        <v>435</v>
      </c>
      <c r="BB39" s="3876" t="s">
        <v>434</v>
      </c>
      <c r="BC39" s="3877"/>
      <c r="BD39" s="3877"/>
      <c r="BE39" s="3877"/>
      <c r="BF39" s="3877"/>
      <c r="BG39" s="3877"/>
      <c r="BH39" s="3878"/>
      <c r="BI39" s="3879" t="s">
        <v>435</v>
      </c>
      <c r="BJ39" s="3876" t="s">
        <v>434</v>
      </c>
      <c r="BK39" s="3877"/>
      <c r="BL39" s="3877"/>
      <c r="BM39" s="3877"/>
      <c r="BN39" s="3877"/>
      <c r="BO39" s="3877"/>
      <c r="BP39" s="3878"/>
      <c r="BQ39" s="3879" t="s">
        <v>435</v>
      </c>
      <c r="BR39" s="2450" t="s">
        <v>437</v>
      </c>
      <c r="BS39" s="2297"/>
      <c r="BY39" s="1325">
        <v>14</v>
      </c>
    </row>
    <row r="40" ht="35.649999999999999" customHeight="1">
      <c r="Q40" s="546"/>
      <c r="R40" s="546"/>
      <c r="S40" s="2443"/>
      <c r="T40" s="2379"/>
      <c r="U40" s="1201"/>
      <c r="V40" s="2430" t="s">
        <v>438</v>
      </c>
      <c r="W40" s="2780" t="s">
        <v>439</v>
      </c>
      <c r="X40" s="2432" t="s">
        <v>440</v>
      </c>
      <c r="Y40" s="2433"/>
      <c r="Z40" s="2432" t="s">
        <v>441</v>
      </c>
      <c r="AA40" s="2439"/>
      <c r="AB40" s="2433"/>
      <c r="AC40" s="2448"/>
      <c r="AD40" s="2430" t="s">
        <v>438</v>
      </c>
      <c r="AE40" s="2453" t="s">
        <v>439</v>
      </c>
      <c r="AF40" s="2432" t="s">
        <v>440</v>
      </c>
      <c r="AG40" s="2433"/>
      <c r="AH40" s="2432" t="s">
        <v>441</v>
      </c>
      <c r="AI40" s="2439"/>
      <c r="AJ40" s="2433"/>
      <c r="AK40" s="2448"/>
      <c r="AL40" s="3889" t="s">
        <v>438</v>
      </c>
      <c r="AM40" s="3890" t="s">
        <v>439</v>
      </c>
      <c r="AN40" s="3891" t="s">
        <v>440</v>
      </c>
      <c r="AO40" s="3892"/>
      <c r="AP40" s="3891" t="s">
        <v>441</v>
      </c>
      <c r="AQ40" s="3893"/>
      <c r="AR40" s="3892"/>
      <c r="AS40" s="3894"/>
      <c r="AT40" s="3889" t="s">
        <v>438</v>
      </c>
      <c r="AU40" s="3890" t="s">
        <v>439</v>
      </c>
      <c r="AV40" s="3891" t="s">
        <v>440</v>
      </c>
      <c r="AW40" s="3892"/>
      <c r="AX40" s="3891" t="s">
        <v>441</v>
      </c>
      <c r="AY40" s="3893"/>
      <c r="AZ40" s="3892"/>
      <c r="BA40" s="3894"/>
      <c r="BB40" s="3889" t="s">
        <v>438</v>
      </c>
      <c r="BC40" s="3890" t="s">
        <v>439</v>
      </c>
      <c r="BD40" s="3891" t="s">
        <v>440</v>
      </c>
      <c r="BE40" s="3892"/>
      <c r="BF40" s="3891" t="s">
        <v>441</v>
      </c>
      <c r="BG40" s="3893"/>
      <c r="BH40" s="3892"/>
      <c r="BI40" s="3894"/>
      <c r="BJ40" s="3889" t="s">
        <v>438</v>
      </c>
      <c r="BK40" s="3890" t="s">
        <v>439</v>
      </c>
      <c r="BL40" s="3891" t="s">
        <v>440</v>
      </c>
      <c r="BM40" s="3892"/>
      <c r="BN40" s="3891" t="s">
        <v>441</v>
      </c>
      <c r="BO40" s="3893"/>
      <c r="BP40" s="3892"/>
      <c r="BQ40" s="3894"/>
      <c r="BR40" s="2451"/>
      <c r="BS40" s="2297"/>
      <c r="BY40" s="1325">
        <v>34</v>
      </c>
    </row>
    <row r="41" ht="35.649999999999999" customHeight="1">
      <c r="A41" s="1540"/>
      <c r="B41" s="1540" t="s">
        <v>135</v>
      </c>
      <c r="C41" s="1540" t="s">
        <v>136</v>
      </c>
      <c r="D41" s="1540" t="s">
        <v>137</v>
      </c>
      <c r="E41" s="1534" t="s">
        <v>442</v>
      </c>
      <c r="F41" s="1534" t="s">
        <v>443</v>
      </c>
      <c r="G41" s="1534" t="s">
        <v>444</v>
      </c>
      <c r="H41" s="1534" t="s">
        <v>445</v>
      </c>
      <c r="I41" s="1534" t="s">
        <v>446</v>
      </c>
      <c r="J41" s="1534" t="s">
        <v>447</v>
      </c>
      <c r="K41" s="1534" t="s">
        <v>448</v>
      </c>
      <c r="L41" s="1534" t="s">
        <v>422</v>
      </c>
      <c r="Q41" s="546"/>
      <c r="R41" s="546"/>
      <c r="S41" s="2443"/>
      <c r="T41" s="2379"/>
      <c r="U41" s="472"/>
      <c r="V41" s="2431"/>
      <c r="W41" s="2454"/>
      <c r="X41" s="1392" t="s">
        <v>449</v>
      </c>
      <c r="Y41" s="1392" t="s">
        <v>450</v>
      </c>
      <c r="Z41" s="1391" t="s">
        <v>451</v>
      </c>
      <c r="AA41" s="2440" t="s">
        <v>452</v>
      </c>
      <c r="AB41" s="2441"/>
      <c r="AC41" s="2449"/>
      <c r="AD41" s="2431"/>
      <c r="AE41" s="2454"/>
      <c r="AF41" s="1392" t="s">
        <v>449</v>
      </c>
      <c r="AG41" s="1392" t="s">
        <v>450</v>
      </c>
      <c r="AH41" s="1483" t="s">
        <v>451</v>
      </c>
      <c r="AI41" s="2440" t="s">
        <v>452</v>
      </c>
      <c r="AJ41" s="2441"/>
      <c r="AK41" s="2449"/>
      <c r="AL41" s="3905"/>
      <c r="AM41" s="3906"/>
      <c r="AN41" s="3907" t="s">
        <v>449</v>
      </c>
      <c r="AO41" s="3907" t="s">
        <v>450</v>
      </c>
      <c r="AP41" s="3907" t="s">
        <v>451</v>
      </c>
      <c r="AQ41" s="3908" t="s">
        <v>452</v>
      </c>
      <c r="AR41" s="3909"/>
      <c r="AS41" s="3910"/>
      <c r="AT41" s="3905"/>
      <c r="AU41" s="3906"/>
      <c r="AV41" s="3907" t="s">
        <v>449</v>
      </c>
      <c r="AW41" s="3907" t="s">
        <v>450</v>
      </c>
      <c r="AX41" s="3907" t="s">
        <v>451</v>
      </c>
      <c r="AY41" s="3908" t="s">
        <v>452</v>
      </c>
      <c r="AZ41" s="3909"/>
      <c r="BA41" s="3910"/>
      <c r="BB41" s="3905"/>
      <c r="BC41" s="3906"/>
      <c r="BD41" s="3907" t="s">
        <v>449</v>
      </c>
      <c r="BE41" s="3907" t="s">
        <v>450</v>
      </c>
      <c r="BF41" s="3907" t="s">
        <v>451</v>
      </c>
      <c r="BG41" s="3908" t="s">
        <v>452</v>
      </c>
      <c r="BH41" s="3909"/>
      <c r="BI41" s="3910"/>
      <c r="BJ41" s="3905"/>
      <c r="BK41" s="3906"/>
      <c r="BL41" s="3907" t="s">
        <v>449</v>
      </c>
      <c r="BM41" s="3907" t="s">
        <v>450</v>
      </c>
      <c r="BN41" s="3907" t="s">
        <v>451</v>
      </c>
      <c r="BO41" s="3908" t="s">
        <v>452</v>
      </c>
      <c r="BP41" s="3909"/>
      <c r="BQ41" s="3910"/>
      <c r="BR41" s="2452"/>
      <c r="BS41" s="2297"/>
      <c r="BY41" s="1325">
        <v>34</v>
      </c>
    </row>
    <row r="42" s="9831"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3921">
        <f>OFFSET(AL42,0,-1)+1</f>
        <v>6</v>
      </c>
      <c r="AM42" s="3921"/>
      <c r="AN42" s="3921">
        <f>OFFSET(AN42,0,-1)+1</f>
        <v>1</v>
      </c>
      <c r="AO42" s="3921">
        <f>OFFSET(AO42,0,-1)+1</f>
        <v>2</v>
      </c>
      <c r="AP42" s="3921">
        <f>OFFSET(AP42,0,-1)+1</f>
        <v>3</v>
      </c>
      <c r="AQ42" s="3921">
        <f>OFFSET(AQ42,0,-1)+1</f>
        <v>4</v>
      </c>
      <c r="AR42" s="3921"/>
      <c r="AS42" s="3921">
        <f>OFFSET(AS42,0,-2)+1</f>
        <v>5</v>
      </c>
      <c r="AT42" s="3921">
        <f>OFFSET(AT42,0,-1)+1</f>
        <v>6</v>
      </c>
      <c r="AU42" s="3921"/>
      <c r="AV42" s="3921">
        <f>OFFSET(AV42,0,-1)+1</f>
        <v>1</v>
      </c>
      <c r="AW42" s="3921">
        <f>OFFSET(AW42,0,-1)+1</f>
        <v>2</v>
      </c>
      <c r="AX42" s="3921">
        <f>OFFSET(AX42,0,-1)+1</f>
        <v>3</v>
      </c>
      <c r="AY42" s="3921">
        <f>OFFSET(AY42,0,-1)+1</f>
        <v>4</v>
      </c>
      <c r="AZ42" s="3921"/>
      <c r="BA42" s="3921">
        <f>OFFSET(BA42,0,-2)+1</f>
        <v>5</v>
      </c>
      <c r="BB42" s="3921">
        <f>OFFSET(BB42,0,-1)+1</f>
        <v>6</v>
      </c>
      <c r="BC42" s="3921"/>
      <c r="BD42" s="3921">
        <f>OFFSET(BD42,0,-1)+1</f>
        <v>1</v>
      </c>
      <c r="BE42" s="3921">
        <f>OFFSET(BE42,0,-1)+1</f>
        <v>2</v>
      </c>
      <c r="BF42" s="3921">
        <f>OFFSET(BF42,0,-1)+1</f>
        <v>3</v>
      </c>
      <c r="BG42" s="3921">
        <f>OFFSET(BG42,0,-1)+1</f>
        <v>4</v>
      </c>
      <c r="BH42" s="3921"/>
      <c r="BI42" s="3921">
        <f>OFFSET(BI42,0,-2)+1</f>
        <v>5</v>
      </c>
      <c r="BJ42" s="3921">
        <f>OFFSET(BJ42,0,-1)+1</f>
        <v>6</v>
      </c>
      <c r="BK42" s="3921"/>
      <c r="BL42" s="3921">
        <f>OFFSET(BL42,0,-1)+1</f>
        <v>1</v>
      </c>
      <c r="BM42" s="3921">
        <f>OFFSET(BM42,0,-1)+1</f>
        <v>2</v>
      </c>
      <c r="BN42" s="3921">
        <f>OFFSET(BN42,0,-1)+1</f>
        <v>3</v>
      </c>
      <c r="BO42" s="3921">
        <f>OFFSET(BO42,0,-1)+1</f>
        <v>4</v>
      </c>
      <c r="BP42" s="3921"/>
      <c r="BQ42" s="3921">
        <f>OFFSET(BQ42,0,-2)+1</f>
        <v>5</v>
      </c>
      <c r="BR42" s="1415">
        <f>OFFSET(BR42,0,-1)</f>
        <v>5</v>
      </c>
      <c r="BS42" s="1426">
        <f>OFFSET(BS42,0,-1)+1</f>
        <v>6</v>
      </c>
      <c r="BT42" s="681"/>
      <c r="BU42" s="681"/>
      <c r="BV42" s="681"/>
      <c r="BW42" s="681"/>
      <c r="BX42" s="681"/>
      <c r="BY42" s="666">
        <v>0</v>
      </c>
    </row>
    <row r="43" ht="24" customHeight="1">
      <c r="A43" s="1533" t="s">
        <v>159</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1</v>
      </c>
      <c r="T43" s="468" t="s">
        <v>123</v>
      </c>
      <c r="U43" s="470"/>
      <c r="V43" s="2412"/>
      <c r="W43" s="2413"/>
      <c r="X43" s="2413"/>
      <c r="Y43" s="2413"/>
      <c r="Z43" s="2413"/>
      <c r="AA43" s="2413"/>
      <c r="AB43" s="2413"/>
      <c r="AC43" s="2414"/>
      <c r="AD43" s="2412" t="str">
        <f>INDEX(PT_DIFFERENTIATION_NTAR,MATCH(A43,PT_DIFFERENTIATION_NTAR_ID,0))</f>
        <v xml:space="preserve">Тариф на тепловую энергию</v>
      </c>
      <c r="AE43" s="2413"/>
      <c r="AF43" s="2413"/>
      <c r="AG43" s="2413"/>
      <c r="AH43" s="2413"/>
      <c r="AI43" s="2413"/>
      <c r="AJ43" s="2413"/>
      <c r="AK43" s="2413"/>
      <c r="AL43" s="3663"/>
      <c r="AM43" s="3664"/>
      <c r="AN43" s="3664"/>
      <c r="AO43" s="3664"/>
      <c r="AP43" s="3664"/>
      <c r="AQ43" s="3664"/>
      <c r="AR43" s="3664"/>
      <c r="AS43" s="3665"/>
      <c r="AT43" s="3663"/>
      <c r="AU43" s="3664"/>
      <c r="AV43" s="3664"/>
      <c r="AW43" s="3664"/>
      <c r="AX43" s="3664"/>
      <c r="AY43" s="3664"/>
      <c r="AZ43" s="3664"/>
      <c r="BA43" s="3665"/>
      <c r="BB43" s="3663"/>
      <c r="BC43" s="3664"/>
      <c r="BD43" s="3664"/>
      <c r="BE43" s="3664"/>
      <c r="BF43" s="3664"/>
      <c r="BG43" s="3664"/>
      <c r="BH43" s="3664"/>
      <c r="BI43" s="3665"/>
      <c r="BJ43" s="3663"/>
      <c r="BK43" s="3664"/>
      <c r="BL43" s="3664"/>
      <c r="BM43" s="3664"/>
      <c r="BN43" s="3664"/>
      <c r="BO43" s="3664"/>
      <c r="BP43" s="3664"/>
      <c r="BQ43" s="3665"/>
      <c r="BR43" s="2414"/>
      <c r="BS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670"/>
      <c r="BV43" s="670" t="str">
        <f>IF(T43="","",T43)</f>
        <v xml:space="preserve">Наименование тарифа</v>
      </c>
      <c r="BW43" s="670"/>
      <c r="BX43" s="670"/>
      <c r="BY43" s="1325">
        <v>23</v>
      </c>
    </row>
    <row r="44" ht="24" customHeight="1">
      <c r="A44" s="1533" t="s">
        <v>159</v>
      </c>
      <c r="B44" s="1533" t="s">
        <v>160</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1.1</v>
      </c>
      <c r="T44" s="478" t="s">
        <v>404</v>
      </c>
      <c r="U44" s="470"/>
      <c r="V44" s="2412"/>
      <c r="W44" s="2413"/>
      <c r="X44" s="2413"/>
      <c r="Y44" s="2413"/>
      <c r="Z44" s="2413"/>
      <c r="AA44" s="2413"/>
      <c r="AB44" s="2413"/>
      <c r="AC44" s="2414"/>
      <c r="AD44" s="2412" t="str">
        <f>INDEX(PT_DIFFERENTIATION_TER,MATCH(B44,PT_DIFFERENTIATION_TER_ID,0))</f>
        <v xml:space="preserve">Территория 1</v>
      </c>
      <c r="AE44" s="2413"/>
      <c r="AF44" s="2413"/>
      <c r="AG44" s="2413"/>
      <c r="AH44" s="2413"/>
      <c r="AI44" s="2413"/>
      <c r="AJ44" s="2413"/>
      <c r="AK44" s="2413"/>
      <c r="AL44" s="3663"/>
      <c r="AM44" s="3664"/>
      <c r="AN44" s="3664"/>
      <c r="AO44" s="3664"/>
      <c r="AP44" s="3664"/>
      <c r="AQ44" s="3664"/>
      <c r="AR44" s="3664"/>
      <c r="AS44" s="3665"/>
      <c r="AT44" s="3663"/>
      <c r="AU44" s="3664"/>
      <c r="AV44" s="3664"/>
      <c r="AW44" s="3664"/>
      <c r="AX44" s="3664"/>
      <c r="AY44" s="3664"/>
      <c r="AZ44" s="3664"/>
      <c r="BA44" s="3665"/>
      <c r="BB44" s="3663"/>
      <c r="BC44" s="3664"/>
      <c r="BD44" s="3664"/>
      <c r="BE44" s="3664"/>
      <c r="BF44" s="3664"/>
      <c r="BG44" s="3664"/>
      <c r="BH44" s="3664"/>
      <c r="BI44" s="3665"/>
      <c r="BJ44" s="3663"/>
      <c r="BK44" s="3664"/>
      <c r="BL44" s="3664"/>
      <c r="BM44" s="3664"/>
      <c r="BN44" s="3664"/>
      <c r="BO44" s="3664"/>
      <c r="BP44" s="3664"/>
      <c r="BQ44" s="3665"/>
      <c r="BR44" s="2414"/>
      <c r="BS44" s="1428" t="s">
        <v>405</v>
      </c>
      <c r="BU44" s="670"/>
      <c r="BV44" s="670" t="str">
        <f>IF(T44="","",T44)</f>
        <v xml:space="preserve">Территория действия тарифа</v>
      </c>
      <c r="BW44" s="670"/>
      <c r="BX44" s="670"/>
      <c r="BY44" s="1325">
        <v>23</v>
      </c>
    </row>
    <row r="45" ht="24" customHeight="1">
      <c r="A45" s="1533" t="s">
        <v>159</v>
      </c>
      <c r="B45" s="1533" t="s">
        <v>160</v>
      </c>
      <c r="C45" s="1533" t="s">
        <v>161</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1.1.1</v>
      </c>
      <c r="T45" s="479" t="s">
        <v>406</v>
      </c>
      <c r="U45" s="470"/>
      <c r="V45" s="2412"/>
      <c r="W45" s="2413"/>
      <c r="X45" s="2413"/>
      <c r="Y45" s="2413"/>
      <c r="Z45" s="2413"/>
      <c r="AA45" s="2413"/>
      <c r="AB45" s="2413"/>
      <c r="AC45" s="2414"/>
      <c r="AD45" s="2412" t="str">
        <f>INDEX(PT_DIFFERENTIATION_CS,MATCH(C45,PT_DIFFERENTIATION_CS_ID,0))</f>
        <v xml:space="preserve">без дифференциации</v>
      </c>
      <c r="AE45" s="2413"/>
      <c r="AF45" s="2413"/>
      <c r="AG45" s="2413"/>
      <c r="AH45" s="2413"/>
      <c r="AI45" s="2413"/>
      <c r="AJ45" s="2413"/>
      <c r="AK45" s="2413"/>
      <c r="AL45" s="3663"/>
      <c r="AM45" s="3664"/>
      <c r="AN45" s="3664"/>
      <c r="AO45" s="3664"/>
      <c r="AP45" s="3664"/>
      <c r="AQ45" s="3664"/>
      <c r="AR45" s="3664"/>
      <c r="AS45" s="3665"/>
      <c r="AT45" s="3663"/>
      <c r="AU45" s="3664"/>
      <c r="AV45" s="3664"/>
      <c r="AW45" s="3664"/>
      <c r="AX45" s="3664"/>
      <c r="AY45" s="3664"/>
      <c r="AZ45" s="3664"/>
      <c r="BA45" s="3665"/>
      <c r="BB45" s="3663"/>
      <c r="BC45" s="3664"/>
      <c r="BD45" s="3664"/>
      <c r="BE45" s="3664"/>
      <c r="BF45" s="3664"/>
      <c r="BG45" s="3664"/>
      <c r="BH45" s="3664"/>
      <c r="BI45" s="3665"/>
      <c r="BJ45" s="3663"/>
      <c r="BK45" s="3664"/>
      <c r="BL45" s="3664"/>
      <c r="BM45" s="3664"/>
      <c r="BN45" s="3664"/>
      <c r="BO45" s="3664"/>
      <c r="BP45" s="3664"/>
      <c r="BQ45" s="3665"/>
      <c r="BR45" s="2414"/>
      <c r="BS45" s="1428" t="s">
        <v>407</v>
      </c>
      <c r="BU45" s="670"/>
      <c r="BV45" s="670" t="str">
        <f>IF(T45="","",T45)</f>
        <v xml:space="preserve">Наименование системы теплоснабжения</v>
      </c>
      <c r="BW45" s="670"/>
      <c r="BX45" s="670"/>
      <c r="BY45" s="1325">
        <v>23</v>
      </c>
    </row>
    <row r="46" ht="24" customHeight="1">
      <c r="A46" s="1533" t="s">
        <v>159</v>
      </c>
      <c r="B46" s="1533" t="s">
        <v>160</v>
      </c>
      <c r="C46" s="1533" t="s">
        <v>161</v>
      </c>
      <c r="D46" s="1533" t="s">
        <v>162</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1.1.1.1</v>
      </c>
      <c r="T46" s="480" t="s">
        <v>408</v>
      </c>
      <c r="U46" s="470"/>
      <c r="V46" s="2412"/>
      <c r="W46" s="2413"/>
      <c r="X46" s="2413"/>
      <c r="Y46" s="2413"/>
      <c r="Z46" s="2413"/>
      <c r="AA46" s="2413"/>
      <c r="AB46" s="2413"/>
      <c r="AC46" s="2414"/>
      <c r="AD46" s="2412" t="str">
        <f>INDEX(PT_DIFFERENTIATION_IST_TE,MATCH(D46,PT_DIFFERENTIATION_IST_TE_ID,0))</f>
        <v xml:space="preserve">Биробиджанская ТЭЦ</v>
      </c>
      <c r="AE46" s="2413"/>
      <c r="AF46" s="2413"/>
      <c r="AG46" s="2413"/>
      <c r="AH46" s="2413"/>
      <c r="AI46" s="2413"/>
      <c r="AJ46" s="2413"/>
      <c r="AK46" s="2413"/>
      <c r="AL46" s="3663"/>
      <c r="AM46" s="3664"/>
      <c r="AN46" s="3664"/>
      <c r="AO46" s="3664"/>
      <c r="AP46" s="3664"/>
      <c r="AQ46" s="3664"/>
      <c r="AR46" s="3664"/>
      <c r="AS46" s="3665"/>
      <c r="AT46" s="3663"/>
      <c r="AU46" s="3664"/>
      <c r="AV46" s="3664"/>
      <c r="AW46" s="3664"/>
      <c r="AX46" s="3664"/>
      <c r="AY46" s="3664"/>
      <c r="AZ46" s="3664"/>
      <c r="BA46" s="3665"/>
      <c r="BB46" s="3663"/>
      <c r="BC46" s="3664"/>
      <c r="BD46" s="3664"/>
      <c r="BE46" s="3664"/>
      <c r="BF46" s="3664"/>
      <c r="BG46" s="3664"/>
      <c r="BH46" s="3664"/>
      <c r="BI46" s="3665"/>
      <c r="BJ46" s="3663"/>
      <c r="BK46" s="3664"/>
      <c r="BL46" s="3664"/>
      <c r="BM46" s="3664"/>
      <c r="BN46" s="3664"/>
      <c r="BO46" s="3664"/>
      <c r="BP46" s="3664"/>
      <c r="BQ46" s="3665"/>
      <c r="BR46" s="2414"/>
      <c r="BS46" s="1428" t="s">
        <v>409</v>
      </c>
      <c r="BU46" s="670"/>
      <c r="BV46" s="670" t="str">
        <f>IF(T46="","",T46)</f>
        <v xml:space="preserve">Источник тепловой энергии</v>
      </c>
      <c r="BW46" s="670"/>
      <c r="BX46" s="670"/>
      <c r="BY46" s="1325">
        <v>23</v>
      </c>
    </row>
    <row r="47" ht="49.5" customHeight="1">
      <c r="A47" s="1533" t="s">
        <v>159</v>
      </c>
      <c r="B47" s="1533" t="s">
        <v>160</v>
      </c>
      <c r="C47" s="1533" t="s">
        <v>161</v>
      </c>
      <c r="D47" s="1533" t="s">
        <v>162</v>
      </c>
      <c r="E47" s="2429"/>
      <c r="F47" s="2429"/>
      <c r="G47" s="2429"/>
      <c r="H47" s="2429"/>
      <c r="I47" s="2426" t="str">
        <f>S46&amp;".1"</f>
        <v>1.1.1.1.1</v>
      </c>
      <c r="J47" s="1533"/>
      <c r="K47" s="1533"/>
      <c r="L47" s="1534" t="s">
        <v>410</v>
      </c>
      <c r="P47" s="2427">
        <v>1</v>
      </c>
      <c r="Q47" s="1390"/>
      <c r="R47" s="526"/>
      <c r="S47" s="1394" t="str">
        <f>$I47</f>
        <v>1.1.1.1.1</v>
      </c>
      <c r="T47" s="455" t="s">
        <v>411</v>
      </c>
      <c r="U47" s="470"/>
      <c r="V47" s="2415"/>
      <c r="W47" s="2416"/>
      <c r="X47" s="2416"/>
      <c r="Y47" s="2416"/>
      <c r="Z47" s="2416"/>
      <c r="AA47" s="2416"/>
      <c r="AB47" s="2416"/>
      <c r="AC47" s="2417"/>
      <c r="AD47" s="2415" t="s">
        <v>453</v>
      </c>
      <c r="AE47" s="2416"/>
      <c r="AF47" s="2416"/>
      <c r="AG47" s="2416"/>
      <c r="AH47" s="2416"/>
      <c r="AI47" s="2416"/>
      <c r="AJ47" s="2416"/>
      <c r="AK47" s="2416"/>
      <c r="AL47" s="3684"/>
      <c r="AM47" s="3685"/>
      <c r="AN47" s="3685"/>
      <c r="AO47" s="3685"/>
      <c r="AP47" s="3685"/>
      <c r="AQ47" s="3685"/>
      <c r="AR47" s="3685"/>
      <c r="AS47" s="3686"/>
      <c r="AT47" s="3684"/>
      <c r="AU47" s="3685"/>
      <c r="AV47" s="3685"/>
      <c r="AW47" s="3685"/>
      <c r="AX47" s="3685"/>
      <c r="AY47" s="3685"/>
      <c r="AZ47" s="3685"/>
      <c r="BA47" s="3686"/>
      <c r="BB47" s="3684"/>
      <c r="BC47" s="3685"/>
      <c r="BD47" s="3685"/>
      <c r="BE47" s="3685"/>
      <c r="BF47" s="3685"/>
      <c r="BG47" s="3685"/>
      <c r="BH47" s="3685"/>
      <c r="BI47" s="3686"/>
      <c r="BJ47" s="3684"/>
      <c r="BK47" s="3685"/>
      <c r="BL47" s="3685"/>
      <c r="BM47" s="3685"/>
      <c r="BN47" s="3685"/>
      <c r="BO47" s="3685"/>
      <c r="BP47" s="3685"/>
      <c r="BQ47" s="3686"/>
      <c r="BR47" s="2417"/>
      <c r="BS47" s="1428" t="s">
        <v>412</v>
      </c>
      <c r="BU47" s="670"/>
      <c r="BV47" s="670" t="str">
        <f>IF(T47="","",T47)</f>
        <v xml:space="preserve">Схема подключения теплопотребляющей установки к коллектору источника тепловой энергии</v>
      </c>
      <c r="BW47" s="670"/>
      <c r="BX47" s="670"/>
      <c r="BY47" s="1325">
        <v>47</v>
      </c>
    </row>
    <row r="48" ht="24" customHeight="1">
      <c r="A48" s="1533" t="s">
        <v>159</v>
      </c>
      <c r="B48" s="1533" t="s">
        <v>160</v>
      </c>
      <c r="C48" s="1533" t="s">
        <v>161</v>
      </c>
      <c r="D48" s="1533" t="s">
        <v>162</v>
      </c>
      <c r="E48" s="2429"/>
      <c r="F48" s="2429"/>
      <c r="G48" s="2429"/>
      <c r="H48" s="2429"/>
      <c r="I48" s="2456"/>
      <c r="J48" s="2426" t="str">
        <f>I47&amp;".1"</f>
        <v>1.1.1.1.1.1</v>
      </c>
      <c r="K48" s="1533"/>
      <c r="L48" s="1534" t="s">
        <v>413</v>
      </c>
      <c r="P48" s="2427"/>
      <c r="Q48" s="2427">
        <v>1</v>
      </c>
      <c r="R48" s="527"/>
      <c r="S48" s="1394" t="str">
        <f>$J48</f>
        <v>1.1.1.1.1.1</v>
      </c>
      <c r="T48" s="456" t="s">
        <v>414</v>
      </c>
      <c r="U48" s="470"/>
      <c r="V48" s="2415"/>
      <c r="W48" s="2416"/>
      <c r="X48" s="2416"/>
      <c r="Y48" s="2416"/>
      <c r="Z48" s="2416"/>
      <c r="AA48" s="2416"/>
      <c r="AB48" s="2416"/>
      <c r="AC48" s="2417"/>
      <c r="AD48" s="2415" t="s">
        <v>453</v>
      </c>
      <c r="AE48" s="2416"/>
      <c r="AF48" s="2416"/>
      <c r="AG48" s="2416"/>
      <c r="AH48" s="2416"/>
      <c r="AI48" s="2416"/>
      <c r="AJ48" s="2416"/>
      <c r="AK48" s="2416"/>
      <c r="AL48" s="3684"/>
      <c r="AM48" s="3685"/>
      <c r="AN48" s="3685"/>
      <c r="AO48" s="3685"/>
      <c r="AP48" s="3685"/>
      <c r="AQ48" s="3685"/>
      <c r="AR48" s="3685"/>
      <c r="AS48" s="3686"/>
      <c r="AT48" s="3684"/>
      <c r="AU48" s="3685"/>
      <c r="AV48" s="3685"/>
      <c r="AW48" s="3685"/>
      <c r="AX48" s="3685"/>
      <c r="AY48" s="3685"/>
      <c r="AZ48" s="3685"/>
      <c r="BA48" s="3686"/>
      <c r="BB48" s="3684"/>
      <c r="BC48" s="3685"/>
      <c r="BD48" s="3685"/>
      <c r="BE48" s="3685"/>
      <c r="BF48" s="3685"/>
      <c r="BG48" s="3685"/>
      <c r="BH48" s="3685"/>
      <c r="BI48" s="3686"/>
      <c r="BJ48" s="3684"/>
      <c r="BK48" s="3685"/>
      <c r="BL48" s="3685"/>
      <c r="BM48" s="3685"/>
      <c r="BN48" s="3685"/>
      <c r="BO48" s="3685"/>
      <c r="BP48" s="3685"/>
      <c r="BQ48" s="3686"/>
      <c r="BR48" s="2417"/>
      <c r="BS48" s="1428" t="s">
        <v>415</v>
      </c>
      <c r="BU48" s="670"/>
      <c r="BV48" s="670" t="str">
        <f>IF(T48="","",T48)</f>
        <v xml:space="preserve">Группа потребителей</v>
      </c>
      <c r="BW48" s="670"/>
      <c r="BX48" s="670"/>
      <c r="BY48" s="1325">
        <v>23</v>
      </c>
    </row>
    <row r="49" ht="24" customHeight="1">
      <c r="A49" s="1533" t="s">
        <v>159</v>
      </c>
      <c r="B49" s="1533" t="s">
        <v>160</v>
      </c>
      <c r="C49" s="1533" t="s">
        <v>161</v>
      </c>
      <c r="D49" s="1533" t="s">
        <v>162</v>
      </c>
      <c r="E49" s="2429"/>
      <c r="F49" s="2429"/>
      <c r="G49" s="2429"/>
      <c r="H49" s="2429"/>
      <c r="I49" s="2456"/>
      <c r="J49" s="2456"/>
      <c r="K49" s="2426" t="str">
        <f>J48&amp;".1"</f>
        <v>1.1.1.1.1.1.1</v>
      </c>
      <c r="L49" s="1534" t="s">
        <v>416</v>
      </c>
      <c r="P49" s="2427"/>
      <c r="Q49" s="2427"/>
      <c r="R49" s="527">
        <v>1</v>
      </c>
      <c r="S49" s="1394" t="str">
        <f>$K49</f>
        <v>1.1.1.1.1.1.1</v>
      </c>
      <c r="T49" s="1517" t="s">
        <v>454</v>
      </c>
      <c r="U49" s="470"/>
      <c r="V49" s="921"/>
      <c r="W49" s="495"/>
      <c r="X49" s="921"/>
      <c r="Y49" s="1427"/>
      <c r="Z49" s="2435"/>
      <c r="AA49" s="2277" t="s">
        <v>67</v>
      </c>
      <c r="AB49" s="2435"/>
      <c r="AC49" s="2277" t="s">
        <v>67</v>
      </c>
      <c r="AD49" s="921">
        <v>5993.8000000000002</v>
      </c>
      <c r="AE49" s="495"/>
      <c r="AF49" s="921">
        <v>1241.99</v>
      </c>
      <c r="AG49" s="1427">
        <v>904.23599999999999</v>
      </c>
      <c r="AH49" s="3698">
        <v>45292</v>
      </c>
      <c r="AI49" s="2277" t="s">
        <v>67</v>
      </c>
      <c r="AJ49" s="3925">
        <v>45657</v>
      </c>
      <c r="AK49" s="2277" t="s">
        <v>67</v>
      </c>
      <c r="AL49" s="3695">
        <v>7231.6800000000003</v>
      </c>
      <c r="AM49" s="3696"/>
      <c r="AN49" s="3695">
        <v>1616.49</v>
      </c>
      <c r="AO49" s="3697">
        <v>1043.88321</v>
      </c>
      <c r="AP49" s="3698">
        <v>45658</v>
      </c>
      <c r="AQ49" s="3191" t="s">
        <v>67</v>
      </c>
      <c r="AR49" s="3698">
        <v>46022</v>
      </c>
      <c r="AS49" s="3191" t="s">
        <v>67</v>
      </c>
      <c r="AT49" s="3695">
        <v>4765.0699999999997</v>
      </c>
      <c r="AU49" s="3696"/>
      <c r="AV49" s="3695">
        <v>1322.3099999999999</v>
      </c>
      <c r="AW49" s="3697">
        <v>612.32399999999996</v>
      </c>
      <c r="AX49" s="3698">
        <v>46023</v>
      </c>
      <c r="AY49" s="3191" t="s">
        <v>67</v>
      </c>
      <c r="AZ49" s="3698">
        <v>46387</v>
      </c>
      <c r="BA49" s="3191" t="s">
        <v>67</v>
      </c>
      <c r="BB49" s="3695">
        <v>4917.6899999999996</v>
      </c>
      <c r="BC49" s="3696"/>
      <c r="BD49" s="3695">
        <v>1364.26</v>
      </c>
      <c r="BE49" s="3697">
        <v>631.16800000000001</v>
      </c>
      <c r="BF49" s="3698">
        <v>46388</v>
      </c>
      <c r="BG49" s="3191" t="s">
        <v>67</v>
      </c>
      <c r="BH49" s="3698">
        <v>46752</v>
      </c>
      <c r="BI49" s="3191" t="s">
        <v>67</v>
      </c>
      <c r="BJ49" s="3695">
        <v>5075.8000000000002</v>
      </c>
      <c r="BK49" s="3696"/>
      <c r="BL49" s="3695">
        <v>1407.54</v>
      </c>
      <c r="BM49" s="3697">
        <v>650.71199999999999</v>
      </c>
      <c r="BN49" s="3698">
        <v>46753</v>
      </c>
      <c r="BO49" s="3191" t="s">
        <v>67</v>
      </c>
      <c r="BP49" s="3698">
        <v>47118</v>
      </c>
      <c r="BQ49" s="3191" t="s">
        <v>67</v>
      </c>
      <c r="BR49" s="1518"/>
      <c r="BS49" s="2423" t="s">
        <v>417</v>
      </c>
      <c r="BT49" s="681">
        <f>STRCHECKDATE(V50:BR50)</f>
      </c>
      <c r="BU49" s="670"/>
      <c r="BV49" s="670" t="str">
        <f>IF(T49="","",T49)</f>
        <v>вода</v>
      </c>
      <c r="BW49" s="670"/>
      <c r="BX49" s="670"/>
      <c r="BY49" s="1325">
        <v>23</v>
      </c>
    </row>
    <row r="50" ht="1.05" customHeight="1">
      <c r="A50" s="1533" t="s">
        <v>159</v>
      </c>
      <c r="B50" s="1533" t="s">
        <v>160</v>
      </c>
      <c r="C50" s="1533" t="s">
        <v>161</v>
      </c>
      <c r="D50" s="1533" t="s">
        <v>162</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45292-45657</v>
      </c>
      <c r="AH50" s="2436"/>
      <c r="AI50" s="2277"/>
      <c r="AJ50" s="2458"/>
      <c r="AK50" s="2277"/>
      <c r="AL50" s="3696"/>
      <c r="AM50" s="3696"/>
      <c r="AN50" s="3696"/>
      <c r="AO50" s="3703" t="str">
        <f>AP49&amp;"-"&amp;AR49</f>
        <v>45658-46022</v>
      </c>
      <c r="AP50" s="3704"/>
      <c r="AQ50" s="3191"/>
      <c r="AR50" s="3704"/>
      <c r="AS50" s="3191"/>
      <c r="AT50" s="3696"/>
      <c r="AU50" s="3696"/>
      <c r="AV50" s="3696"/>
      <c r="AW50" s="3703" t="str">
        <f>AX49&amp;"-"&amp;AZ49</f>
        <v>46023-46387</v>
      </c>
      <c r="AX50" s="3704"/>
      <c r="AY50" s="3191"/>
      <c r="AZ50" s="3704"/>
      <c r="BA50" s="3191"/>
      <c r="BB50" s="3696"/>
      <c r="BC50" s="3696"/>
      <c r="BD50" s="3696"/>
      <c r="BE50" s="3703" t="str">
        <f>BF49&amp;"-"&amp;BH49</f>
        <v>46388-46752</v>
      </c>
      <c r="BF50" s="3704"/>
      <c r="BG50" s="3191"/>
      <c r="BH50" s="3704"/>
      <c r="BI50" s="3191"/>
      <c r="BJ50" s="3696"/>
      <c r="BK50" s="3696"/>
      <c r="BL50" s="3696"/>
      <c r="BM50" s="3703" t="str">
        <f>BN49&amp;"-"&amp;BP49</f>
        <v>46753-47118</v>
      </c>
      <c r="BN50" s="3704"/>
      <c r="BO50" s="3191"/>
      <c r="BP50" s="3704"/>
      <c r="BQ50" s="3191"/>
      <c r="BR50" s="1519"/>
      <c r="BS50" s="2424"/>
      <c r="BU50" s="670"/>
      <c r="BV50" s="670" t="str">
        <f>IF(T50="","",T50)</f>
        <v/>
      </c>
      <c r="BW50" s="670"/>
      <c r="BX50" s="670"/>
      <c r="BY50" s="1325">
        <v>1</v>
      </c>
    </row>
    <row r="51" ht="11.5" customHeight="1">
      <c r="A51" s="1533" t="s">
        <v>159</v>
      </c>
      <c r="B51" s="1533" t="s">
        <v>160</v>
      </c>
      <c r="C51" s="1533" t="s">
        <v>161</v>
      </c>
      <c r="D51" s="1533" t="s">
        <v>162</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3930"/>
      <c r="AM51" s="3931"/>
      <c r="AN51" s="3932"/>
      <c r="AO51" s="3933"/>
      <c r="AP51" s="3934"/>
      <c r="AQ51" s="3935"/>
      <c r="AR51" s="3936"/>
      <c r="AS51" s="3937"/>
      <c r="AT51" s="3938"/>
      <c r="AU51" s="3939"/>
      <c r="AV51" s="3940"/>
      <c r="AW51" s="3941"/>
      <c r="AX51" s="3942"/>
      <c r="AY51" s="3943"/>
      <c r="AZ51" s="3944"/>
      <c r="BA51" s="3945"/>
      <c r="BB51" s="3946"/>
      <c r="BC51" s="3947"/>
      <c r="BD51" s="3948"/>
      <c r="BE51" s="3949"/>
      <c r="BF51" s="3950"/>
      <c r="BG51" s="3951"/>
      <c r="BH51" s="3952"/>
      <c r="BI51" s="3953"/>
      <c r="BJ51" s="3954"/>
      <c r="BK51" s="3955"/>
      <c r="BL51" s="3956"/>
      <c r="BM51" s="3957"/>
      <c r="BN51" s="3958"/>
      <c r="BO51" s="3959"/>
      <c r="BP51" s="3960"/>
      <c r="BQ51" s="3961"/>
      <c r="BR51" s="494"/>
      <c r="BS51" s="2425"/>
      <c r="BU51" s="670"/>
      <c r="BV51" s="670" t="str">
        <f>IF(T51="","",T51)</f>
        <v xml:space="preserve">Добавить вид теплоносителя (параметры теплоносителя)</v>
      </c>
      <c r="BW51" s="670"/>
      <c r="BX51" s="670"/>
      <c r="BY51" s="1325">
        <v>11</v>
      </c>
    </row>
    <row r="52" ht="11.5" customHeight="1">
      <c r="A52" s="1533" t="s">
        <v>159</v>
      </c>
      <c r="B52" s="1533" t="s">
        <v>160</v>
      </c>
      <c r="C52" s="1533" t="s">
        <v>161</v>
      </c>
      <c r="D52" s="1533" t="s">
        <v>162</v>
      </c>
      <c r="E52" s="2429"/>
      <c r="F52" s="2429"/>
      <c r="G52" s="2429"/>
      <c r="H52" s="2429"/>
      <c r="I52" s="2426"/>
      <c r="J52" s="1533"/>
      <c r="K52" s="1533"/>
      <c r="L52" s="1534"/>
      <c r="P52" s="2427"/>
      <c r="Q52" s="1390"/>
      <c r="R52" s="526"/>
      <c r="S52" s="1448"/>
      <c r="T52" s="457" t="s">
        <v>419</v>
      </c>
      <c r="U52" s="537"/>
      <c r="V52" s="537"/>
      <c r="W52" s="537"/>
      <c r="X52" s="537"/>
      <c r="Y52" s="537"/>
      <c r="Z52" s="537"/>
      <c r="AA52" s="537"/>
      <c r="AB52" s="537"/>
      <c r="AC52" s="536"/>
      <c r="AD52" s="537"/>
      <c r="AE52" s="537"/>
      <c r="AF52" s="537"/>
      <c r="AG52" s="537"/>
      <c r="AH52" s="537"/>
      <c r="AI52" s="537"/>
      <c r="AJ52" s="537"/>
      <c r="AK52" s="536"/>
      <c r="AL52" s="3962"/>
      <c r="AM52" s="3963"/>
      <c r="AN52" s="3964"/>
      <c r="AO52" s="3965"/>
      <c r="AP52" s="3966"/>
      <c r="AQ52" s="3967"/>
      <c r="AR52" s="3968"/>
      <c r="AS52" s="3969"/>
      <c r="AT52" s="3970"/>
      <c r="AU52" s="3971"/>
      <c r="AV52" s="3972"/>
      <c r="AW52" s="3973"/>
      <c r="AX52" s="3974"/>
      <c r="AY52" s="3975"/>
      <c r="AZ52" s="3976"/>
      <c r="BA52" s="3977"/>
      <c r="BB52" s="3978"/>
      <c r="BC52" s="3979"/>
      <c r="BD52" s="3980"/>
      <c r="BE52" s="3981"/>
      <c r="BF52" s="3982"/>
      <c r="BG52" s="3983"/>
      <c r="BH52" s="3984"/>
      <c r="BI52" s="3985"/>
      <c r="BJ52" s="3986"/>
      <c r="BK52" s="3987"/>
      <c r="BL52" s="3988"/>
      <c r="BM52" s="3989"/>
      <c r="BN52" s="3990"/>
      <c r="BO52" s="3991"/>
      <c r="BP52" s="3992"/>
      <c r="BQ52" s="3993"/>
      <c r="BR52" s="537"/>
      <c r="BS52" s="473"/>
      <c r="BU52" s="670"/>
      <c r="BV52" s="670" t="str">
        <f>IF(T52="","",T52)</f>
        <v xml:space="preserve">Добавить группу потребителей</v>
      </c>
      <c r="BW52" s="670"/>
      <c r="BX52" s="670"/>
      <c r="BY52" s="1325">
        <v>11</v>
      </c>
    </row>
    <row r="53" ht="14.65" customHeight="1">
      <c r="A53" s="1533" t="s">
        <v>159</v>
      </c>
      <c r="B53" s="1533" t="s">
        <v>160</v>
      </c>
      <c r="C53" s="1533" t="s">
        <v>161</v>
      </c>
      <c r="D53" s="1533" t="s">
        <v>162</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3994"/>
      <c r="AM53" s="3995"/>
      <c r="AN53" s="3996"/>
      <c r="AO53" s="3997"/>
      <c r="AP53" s="3998"/>
      <c r="AQ53" s="3999"/>
      <c r="AR53" s="4000"/>
      <c r="AS53" s="4001"/>
      <c r="AT53" s="4002"/>
      <c r="AU53" s="4003"/>
      <c r="AV53" s="4004"/>
      <c r="AW53" s="4005"/>
      <c r="AX53" s="4006"/>
      <c r="AY53" s="4007"/>
      <c r="AZ53" s="4008"/>
      <c r="BA53" s="4009"/>
      <c r="BB53" s="4010"/>
      <c r="BC53" s="4011"/>
      <c r="BD53" s="4012"/>
      <c r="BE53" s="4013"/>
      <c r="BF53" s="4014"/>
      <c r="BG53" s="4015"/>
      <c r="BH53" s="4016"/>
      <c r="BI53" s="4017"/>
      <c r="BJ53" s="4018"/>
      <c r="BK53" s="4019"/>
      <c r="BL53" s="4020"/>
      <c r="BM53" s="4021"/>
      <c r="BN53" s="4022"/>
      <c r="BO53" s="4023"/>
      <c r="BP53" s="4024"/>
      <c r="BQ53" s="4025"/>
      <c r="BR53" s="537"/>
      <c r="BS53" s="473"/>
      <c r="BU53" s="670"/>
      <c r="BV53" s="670" t="str">
        <f>IF(T53="","",T53)</f>
        <v xml:space="preserve">Добавить схему подключения</v>
      </c>
      <c r="BW53" s="670"/>
      <c r="BX53" s="670"/>
      <c r="BY53" s="1325">
        <v>14</v>
      </c>
    </row>
    <row r="54" s="9218" customFormat="1" ht="1.05" customHeight="1">
      <c r="A54" s="1513" t="s">
        <v>159</v>
      </c>
      <c r="B54" s="1513" t="s">
        <v>160</v>
      </c>
      <c r="C54" s="1513" t="s">
        <v>161</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3824"/>
      <c r="AM54" s="3824"/>
      <c r="AN54" s="3824"/>
      <c r="AO54" s="3824"/>
      <c r="AP54" s="3824"/>
      <c r="AQ54" s="3824"/>
      <c r="AR54" s="3824"/>
      <c r="AS54" s="3824"/>
      <c r="AT54" s="3824"/>
      <c r="AU54" s="3824"/>
      <c r="AV54" s="3824"/>
      <c r="AW54" s="3824"/>
      <c r="AX54" s="3824"/>
      <c r="AY54" s="3824"/>
      <c r="AZ54" s="3824"/>
      <c r="BA54" s="3824"/>
      <c r="BB54" s="3824"/>
      <c r="BC54" s="3824"/>
      <c r="BD54" s="3824"/>
      <c r="BE54" s="3824"/>
      <c r="BF54" s="3824"/>
      <c r="BG54" s="3824"/>
      <c r="BH54" s="3824"/>
      <c r="BI54" s="3824"/>
      <c r="BJ54" s="3824"/>
      <c r="BK54" s="3824"/>
      <c r="BL54" s="3824"/>
      <c r="BM54" s="3824"/>
      <c r="BN54" s="3824"/>
      <c r="BO54" s="3824"/>
      <c r="BP54" s="3824"/>
      <c r="BQ54" s="3824"/>
      <c r="BR54" s="1494"/>
      <c r="BS54" s="1494"/>
      <c r="BU54" s="959"/>
      <c r="BV54" s="959" t="str">
        <f>IF(T54="","",T54)</f>
        <v xml:space="preserve">Добавить источник для дифференциации</v>
      </c>
      <c r="BW54" s="959"/>
      <c r="BX54" s="959"/>
      <c r="BY54" s="688">
        <v>1</v>
      </c>
    </row>
    <row r="55" s="9218" customFormat="1" ht="1.05" customHeight="1">
      <c r="A55" s="1513" t="s">
        <v>159</v>
      </c>
      <c r="B55" s="1513" t="s">
        <v>160</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3824"/>
      <c r="AM55" s="3824"/>
      <c r="AN55" s="3824"/>
      <c r="AO55" s="3824"/>
      <c r="AP55" s="3824"/>
      <c r="AQ55" s="3824"/>
      <c r="AR55" s="3824"/>
      <c r="AS55" s="3824"/>
      <c r="AT55" s="3824"/>
      <c r="AU55" s="3824"/>
      <c r="AV55" s="3824"/>
      <c r="AW55" s="3824"/>
      <c r="AX55" s="3824"/>
      <c r="AY55" s="3824"/>
      <c r="AZ55" s="3824"/>
      <c r="BA55" s="3824"/>
      <c r="BB55" s="3824"/>
      <c r="BC55" s="3824"/>
      <c r="BD55" s="3824"/>
      <c r="BE55" s="3824"/>
      <c r="BF55" s="3824"/>
      <c r="BG55" s="3824"/>
      <c r="BH55" s="3824"/>
      <c r="BI55" s="3824"/>
      <c r="BJ55" s="3824"/>
      <c r="BK55" s="3824"/>
      <c r="BL55" s="3824"/>
      <c r="BM55" s="3824"/>
      <c r="BN55" s="3824"/>
      <c r="BO55" s="3824"/>
      <c r="BP55" s="3824"/>
      <c r="BQ55" s="3824"/>
      <c r="BR55" s="1494"/>
      <c r="BS55" s="1494"/>
      <c r="BU55" s="959"/>
      <c r="BV55" s="959" t="str">
        <f>IF(T55="","",T55)</f>
        <v xml:space="preserve">Добавить централизованную систему для дифференциации</v>
      </c>
      <c r="BW55" s="959"/>
      <c r="BX55" s="959"/>
      <c r="BY55" s="688">
        <v>1</v>
      </c>
    </row>
    <row r="56" s="9218" customFormat="1" ht="1.05" customHeight="1">
      <c r="A56" s="1513" t="s">
        <v>159</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3824"/>
      <c r="AM56" s="3824"/>
      <c r="AN56" s="3824"/>
      <c r="AO56" s="3824"/>
      <c r="AP56" s="3824"/>
      <c r="AQ56" s="3824"/>
      <c r="AR56" s="3824"/>
      <c r="AS56" s="3824"/>
      <c r="AT56" s="3824"/>
      <c r="AU56" s="3824"/>
      <c r="AV56" s="3824"/>
      <c r="AW56" s="3824"/>
      <c r="AX56" s="3824"/>
      <c r="AY56" s="3824"/>
      <c r="AZ56" s="3824"/>
      <c r="BA56" s="3824"/>
      <c r="BB56" s="3824"/>
      <c r="BC56" s="3824"/>
      <c r="BD56" s="3824"/>
      <c r="BE56" s="3824"/>
      <c r="BF56" s="3824"/>
      <c r="BG56" s="3824"/>
      <c r="BH56" s="3824"/>
      <c r="BI56" s="3824"/>
      <c r="BJ56" s="3824"/>
      <c r="BK56" s="3824"/>
      <c r="BL56" s="3824"/>
      <c r="BM56" s="3824"/>
      <c r="BN56" s="3824"/>
      <c r="BO56" s="3824"/>
      <c r="BP56" s="3824"/>
      <c r="BQ56" s="3824"/>
      <c r="BR56" s="1494"/>
      <c r="BS56" s="1494"/>
      <c r="BU56" s="670"/>
      <c r="BV56" s="670" t="str">
        <f>IF(T56="","",T56)</f>
        <v xml:space="preserve">Добавить территорию для дифференциации</v>
      </c>
      <c r="BW56" s="670"/>
      <c r="BX56" s="670"/>
      <c r="BY56" s="681">
        <v>1</v>
      </c>
    </row>
    <row r="57" s="9218"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3824"/>
      <c r="AM57" s="3824"/>
      <c r="AN57" s="3824"/>
      <c r="AO57" s="3824"/>
      <c r="AP57" s="3824"/>
      <c r="AQ57" s="3824"/>
      <c r="AR57" s="3824"/>
      <c r="AS57" s="3824"/>
      <c r="AT57" s="3824"/>
      <c r="AU57" s="3824"/>
      <c r="AV57" s="3824"/>
      <c r="AW57" s="3824"/>
      <c r="AX57" s="3824"/>
      <c r="AY57" s="3824"/>
      <c r="AZ57" s="3824"/>
      <c r="BA57" s="3824"/>
      <c r="BB57" s="3824"/>
      <c r="BC57" s="3824"/>
      <c r="BD57" s="3824"/>
      <c r="BE57" s="3824"/>
      <c r="BF57" s="3824"/>
      <c r="BG57" s="3824"/>
      <c r="BH57" s="3824"/>
      <c r="BI57" s="3824"/>
      <c r="BJ57" s="3824"/>
      <c r="BK57" s="3824"/>
      <c r="BL57" s="3824"/>
      <c r="BM57" s="3824"/>
      <c r="BN57" s="3824"/>
      <c r="BO57" s="3824"/>
      <c r="BP57" s="3824"/>
      <c r="BQ57" s="3824"/>
      <c r="BR57" s="1494"/>
      <c r="BS57" s="1494"/>
      <c r="BU57" s="959"/>
      <c r="BV57" s="959" t="str">
        <f>IF(T57="","",T57)</f>
        <v xml:space="preserve">Добавить наименование тарифа</v>
      </c>
      <c r="BW57" s="959"/>
      <c r="BX57" s="959"/>
      <c r="BY57" s="688">
        <v>1</v>
      </c>
    </row>
    <row r="58" ht="11.5" customHeight="1">
      <c r="M58" s="1330"/>
      <c r="N58" s="1330"/>
      <c r="O58" s="707"/>
      <c r="P58" s="1325"/>
      <c r="Q58" s="1325"/>
      <c r="R58" s="1325"/>
      <c r="S58" s="1325"/>
      <c r="AL58" s="3649"/>
      <c r="AM58" s="3649"/>
      <c r="AN58" s="3649"/>
      <c r="AO58" s="3649"/>
      <c r="AP58" s="3649"/>
      <c r="AQ58" s="3649"/>
      <c r="AR58" s="3649"/>
      <c r="AS58" s="3649"/>
      <c r="AT58" s="3649"/>
      <c r="AU58" s="3649"/>
      <c r="AV58" s="3649"/>
      <c r="AW58" s="3649"/>
      <c r="AX58" s="3649"/>
      <c r="AY58" s="3649"/>
      <c r="AZ58" s="3649"/>
      <c r="BA58" s="3649"/>
      <c r="BB58" s="3649"/>
      <c r="BC58" s="3649"/>
      <c r="BD58" s="3649"/>
      <c r="BE58" s="3649"/>
      <c r="BF58" s="3649"/>
      <c r="BG58" s="3649"/>
      <c r="BH58" s="3649"/>
      <c r="BI58" s="3649"/>
      <c r="BJ58" s="3649"/>
      <c r="BK58" s="3649"/>
      <c r="BL58" s="3649"/>
      <c r="BM58" s="3649"/>
      <c r="BN58" s="3649"/>
      <c r="BO58" s="3649"/>
      <c r="BP58" s="3649"/>
      <c r="BQ58" s="3649"/>
      <c r="BT58" s="1325"/>
      <c r="BU58" s="1325"/>
      <c r="BV58" s="1325"/>
      <c r="BW58" s="1325"/>
      <c r="BX58" s="1325"/>
      <c r="BY58" s="1325">
        <v>11</v>
      </c>
    </row>
    <row r="59" ht="28.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4032"/>
      <c r="AM59" s="4032"/>
      <c r="AN59" s="4032"/>
      <c r="AO59" s="4032"/>
      <c r="AP59" s="4032"/>
      <c r="AQ59" s="4032"/>
      <c r="AR59" s="4032"/>
      <c r="AS59" s="4032"/>
      <c r="AT59" s="4032"/>
      <c r="AU59" s="4032"/>
      <c r="AV59" s="4032"/>
      <c r="AW59" s="4032"/>
      <c r="AX59" s="4032"/>
      <c r="AY59" s="4032"/>
      <c r="AZ59" s="4032"/>
      <c r="BA59" s="4032"/>
      <c r="BB59" s="4032"/>
      <c r="BC59" s="4032"/>
      <c r="BD59" s="4032"/>
      <c r="BE59" s="4032"/>
      <c r="BF59" s="4032"/>
      <c r="BG59" s="4032"/>
      <c r="BH59" s="4032"/>
      <c r="BI59" s="4032"/>
      <c r="BJ59" s="4032"/>
      <c r="BK59" s="4032"/>
      <c r="BL59" s="4032"/>
      <c r="BM59" s="4032"/>
      <c r="BN59" s="4032"/>
      <c r="BO59" s="4032"/>
      <c r="BP59" s="4032"/>
      <c r="BQ59" s="4032"/>
      <c r="BR59" s="2455"/>
      <c r="BS59" s="2455"/>
      <c r="BY59" s="1325">
        <v>27</v>
      </c>
    </row>
    <row r="60" ht="67.200000000000003" customHeight="1">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4032"/>
      <c r="AM60" s="4032"/>
      <c r="AN60" s="4032"/>
      <c r="AO60" s="4032"/>
      <c r="AP60" s="4032"/>
      <c r="AQ60" s="4032"/>
      <c r="AR60" s="4032"/>
      <c r="AS60" s="4032"/>
      <c r="AT60" s="4032"/>
      <c r="AU60" s="4032"/>
      <c r="AV60" s="4032"/>
      <c r="AW60" s="4032"/>
      <c r="AX60" s="4032"/>
      <c r="AY60" s="4032"/>
      <c r="AZ60" s="4032"/>
      <c r="BA60" s="4032"/>
      <c r="BB60" s="4032"/>
      <c r="BC60" s="4032"/>
      <c r="BD60" s="4032"/>
      <c r="BE60" s="4032"/>
      <c r="BF60" s="4032"/>
      <c r="BG60" s="4032"/>
      <c r="BH60" s="4032"/>
      <c r="BI60" s="4032"/>
      <c r="BJ60" s="4032"/>
      <c r="BK60" s="4032"/>
      <c r="BL60" s="4032"/>
      <c r="BM60" s="4032"/>
      <c r="BN60" s="4032"/>
      <c r="BO60" s="4032"/>
      <c r="BP60" s="4032"/>
      <c r="BQ60" s="4032"/>
      <c r="BR60" s="2455"/>
      <c r="BS60" s="2455"/>
      <c r="BY60" s="1325">
        <v>64</v>
      </c>
    </row>
    <row r="61" ht="14.65" customHeight="1">
      <c r="O61" s="707"/>
      <c r="AL61" s="3649"/>
      <c r="AM61" s="3649"/>
      <c r="AN61" s="3649"/>
      <c r="AO61" s="3649"/>
      <c r="AP61" s="3649"/>
      <c r="AQ61" s="3649"/>
      <c r="AR61" s="3649"/>
      <c r="AS61" s="3649"/>
      <c r="AT61" s="3649"/>
      <c r="AU61" s="3649"/>
      <c r="AV61" s="3649"/>
      <c r="AW61" s="3649"/>
      <c r="AX61" s="3649"/>
      <c r="AY61" s="3649"/>
      <c r="AZ61" s="3649"/>
      <c r="BA61" s="3649"/>
      <c r="BB61" s="3649"/>
      <c r="BC61" s="3649"/>
      <c r="BD61" s="3649"/>
      <c r="BE61" s="3649"/>
      <c r="BF61" s="3649"/>
      <c r="BG61" s="3649"/>
      <c r="BH61" s="3649"/>
      <c r="BI61" s="3649"/>
      <c r="BJ61" s="3649"/>
      <c r="BK61" s="3649"/>
      <c r="BL61" s="3649"/>
      <c r="BM61" s="3649"/>
      <c r="BN61" s="3649"/>
      <c r="BO61" s="3649"/>
      <c r="BP61" s="3649"/>
      <c r="BQ61" s="3649"/>
      <c r="BY61" s="1325">
        <v>14</v>
      </c>
    </row>
    <row r="62" ht="18.75" customHeight="1">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4032"/>
      <c r="AM62" s="4032"/>
      <c r="AN62" s="4032"/>
      <c r="AO62" s="4032"/>
      <c r="AP62" s="4032"/>
      <c r="AQ62" s="4032"/>
      <c r="AR62" s="4032"/>
      <c r="AS62" s="4032"/>
      <c r="AT62" s="4032"/>
      <c r="AU62" s="4032"/>
      <c r="AV62" s="4032"/>
      <c r="AW62" s="4032"/>
      <c r="AX62" s="4032"/>
      <c r="AY62" s="4032"/>
      <c r="AZ62" s="4032"/>
      <c r="BA62" s="4032"/>
      <c r="BB62" s="4032"/>
      <c r="BC62" s="4032"/>
      <c r="BD62" s="4032"/>
      <c r="BE62" s="4032"/>
      <c r="BF62" s="4032"/>
      <c r="BG62" s="4032"/>
      <c r="BH62" s="4032"/>
      <c r="BI62" s="4032"/>
      <c r="BJ62" s="4032"/>
      <c r="BK62" s="4032"/>
      <c r="BL62" s="4032"/>
      <c r="BM62" s="4032"/>
      <c r="BN62" s="4032"/>
      <c r="BO62" s="4032"/>
      <c r="BP62" s="4032"/>
      <c r="BQ62" s="4032"/>
      <c r="BR62" s="2455"/>
      <c r="BS62" s="2455"/>
      <c r="BY62" s="1325">
        <v>18</v>
      </c>
    </row>
    <row r="63" ht="18.75" customHeight="1">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4032"/>
      <c r="AM63" s="4032"/>
      <c r="AN63" s="4032"/>
      <c r="AO63" s="4032"/>
      <c r="AP63" s="4032"/>
      <c r="AQ63" s="4032"/>
      <c r="AR63" s="4032"/>
      <c r="AS63" s="4032"/>
      <c r="AT63" s="4032"/>
      <c r="AU63" s="4032"/>
      <c r="AV63" s="4032"/>
      <c r="AW63" s="4032"/>
      <c r="AX63" s="4032"/>
      <c r="AY63" s="4032"/>
      <c r="AZ63" s="4032"/>
      <c r="BA63" s="4032"/>
      <c r="BB63" s="4032"/>
      <c r="BC63" s="4032"/>
      <c r="BD63" s="4032"/>
      <c r="BE63" s="4032"/>
      <c r="BF63" s="4032"/>
      <c r="BG63" s="4032"/>
      <c r="BH63" s="4032"/>
      <c r="BI63" s="4032"/>
      <c r="BJ63" s="4032"/>
      <c r="BK63" s="4032"/>
      <c r="BL63" s="4032"/>
      <c r="BM63" s="4032"/>
      <c r="BN63" s="4032"/>
      <c r="BO63" s="4032"/>
      <c r="BP63" s="4032"/>
      <c r="BQ63" s="4032"/>
      <c r="BR63" s="2455"/>
      <c r="BS63" s="2455"/>
      <c r="BY63" s="1325">
        <v>18</v>
      </c>
    </row>
    <row r="64" ht="29.25" customHeight="1">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4032"/>
      <c r="AM64" s="4032"/>
      <c r="AN64" s="4032"/>
      <c r="AO64" s="4032"/>
      <c r="AP64" s="4032"/>
      <c r="AQ64" s="4032"/>
      <c r="AR64" s="4032"/>
      <c r="AS64" s="4032"/>
      <c r="AT64" s="4032"/>
      <c r="AU64" s="4032"/>
      <c r="AV64" s="4032"/>
      <c r="AW64" s="4032"/>
      <c r="AX64" s="4032"/>
      <c r="AY64" s="4032"/>
      <c r="AZ64" s="4032"/>
      <c r="BA64" s="4032"/>
      <c r="BB64" s="4032"/>
      <c r="BC64" s="4032"/>
      <c r="BD64" s="4032"/>
      <c r="BE64" s="4032"/>
      <c r="BF64" s="4032"/>
      <c r="BG64" s="4032"/>
      <c r="BH64" s="4032"/>
      <c r="BI64" s="4032"/>
      <c r="BJ64" s="4032"/>
      <c r="BK64" s="4032"/>
      <c r="BL64" s="4032"/>
      <c r="BM64" s="4032"/>
      <c r="BN64" s="4032"/>
      <c r="BO64" s="4032"/>
      <c r="BP64" s="4032"/>
      <c r="BQ64" s="4032"/>
      <c r="BR64" s="2455"/>
      <c r="BS64" s="2455"/>
      <c r="BY64" s="1325">
        <v>28</v>
      </c>
    </row>
    <row r="65" ht="22.5" hidden="1" customHeight="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3649">
        <v>0</v>
      </c>
      <c r="AM65" s="3649">
        <v>0</v>
      </c>
      <c r="AN65" s="3649">
        <v>0</v>
      </c>
      <c r="AO65" s="3649">
        <v>0</v>
      </c>
      <c r="AP65" s="3649">
        <v>0</v>
      </c>
      <c r="AQ65" s="3649">
        <v>0</v>
      </c>
      <c r="AR65" s="3649">
        <v>0</v>
      </c>
      <c r="AS65" s="3649">
        <v>0</v>
      </c>
      <c r="AT65" s="3649">
        <v>0</v>
      </c>
      <c r="AU65" s="3649">
        <v>0</v>
      </c>
      <c r="AV65" s="3649">
        <v>0</v>
      </c>
      <c r="AW65" s="3649">
        <v>0</v>
      </c>
      <c r="AX65" s="3649">
        <v>0</v>
      </c>
      <c r="AY65" s="3649">
        <v>0</v>
      </c>
      <c r="AZ65" s="3649">
        <v>0</v>
      </c>
      <c r="BA65" s="3649">
        <v>0</v>
      </c>
      <c r="BB65" s="3649">
        <v>0</v>
      </c>
      <c r="BC65" s="3649">
        <v>0</v>
      </c>
      <c r="BD65" s="3649">
        <v>0</v>
      </c>
      <c r="BE65" s="3649">
        <v>0</v>
      </c>
      <c r="BF65" s="3649">
        <v>0</v>
      </c>
      <c r="BG65" s="3649">
        <v>0</v>
      </c>
      <c r="BH65" s="3649">
        <v>0</v>
      </c>
      <c r="BI65" s="3649">
        <v>0</v>
      </c>
      <c r="BJ65" s="3649">
        <v>0</v>
      </c>
      <c r="BK65" s="3649">
        <v>0</v>
      </c>
      <c r="BL65" s="3649">
        <v>0</v>
      </c>
      <c r="BM65" s="3649">
        <v>0</v>
      </c>
      <c r="BN65" s="3649">
        <v>0</v>
      </c>
      <c r="BO65" s="3649">
        <v>0</v>
      </c>
      <c r="BP65" s="3649">
        <v>0</v>
      </c>
      <c r="BQ65" s="3649">
        <v>0</v>
      </c>
      <c r="BR65" s="1325">
        <v>4</v>
      </c>
      <c r="BS65" s="1325">
        <v>115</v>
      </c>
      <c r="BT65" s="681">
        <v>10</v>
      </c>
      <c r="BU65" s="681">
        <v>10</v>
      </c>
      <c r="BV65" s="681">
        <v>10</v>
      </c>
      <c r="BW65" s="681">
        <v>10</v>
      </c>
      <c r="BX65" s="681">
        <v>10</v>
      </c>
      <c r="BY65" s="1325">
        <v>23</v>
      </c>
    </row>
  </sheetData>
  <sheetProtection autoFilter="0" deleteColumns="1" deleteRows="1" formatColumns="0" formatRows="0" insertColumns="1" insertRows="1" sheet="1" sort="1"/>
  <mergeCells count="204">
    <mergeCell ref="V7:AC7"/>
    <mergeCell ref="AD7:BR7"/>
    <mergeCell ref="S34:T34"/>
    <mergeCell ref="V34:AB34"/>
    <mergeCell ref="AD34:AJ34"/>
    <mergeCell ref="S35:T35"/>
    <mergeCell ref="V35:AB35"/>
    <mergeCell ref="AD35:AJ35"/>
    <mergeCell ref="V2:AC2"/>
    <mergeCell ref="AD2:BR2"/>
    <mergeCell ref="V3:AC3"/>
    <mergeCell ref="AD3:BR3"/>
    <mergeCell ref="V4:AC4"/>
    <mergeCell ref="AD4:BR4"/>
    <mergeCell ref="V5:AC5"/>
    <mergeCell ref="AD5:BR5"/>
    <mergeCell ref="V6:AC6"/>
    <mergeCell ref="AD6:BR6"/>
    <mergeCell ref="AI17:AI18"/>
    <mergeCell ref="AJ17:AJ18"/>
    <mergeCell ref="AK17:AK18"/>
    <mergeCell ref="AK8:AK9"/>
    <mergeCell ref="AD29:AJ29"/>
    <mergeCell ref="AD30:AJ30"/>
    <mergeCell ref="T62:BS62"/>
    <mergeCell ref="T63:BS63"/>
    <mergeCell ref="T64:BS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S59"/>
    <mergeCell ref="W40:W41"/>
    <mergeCell ref="T60:BS60"/>
    <mergeCell ref="Z49:Z50"/>
    <mergeCell ref="AA49:AA50"/>
    <mergeCell ref="AB49:AB50"/>
    <mergeCell ref="Z40:AB40"/>
    <mergeCell ref="AA41:AB41"/>
    <mergeCell ref="AA42:AB42"/>
    <mergeCell ref="V37:AC37"/>
    <mergeCell ref="S38:BR38"/>
    <mergeCell ref="BS38:BS41"/>
    <mergeCell ref="S39:S41"/>
    <mergeCell ref="T39:T41"/>
    <mergeCell ref="V39:AB39"/>
    <mergeCell ref="AC39:AC41"/>
    <mergeCell ref="BR39:BR41"/>
    <mergeCell ref="AI42:AJ42"/>
    <mergeCell ref="AD39:AJ39"/>
    <mergeCell ref="AK39:AK41"/>
    <mergeCell ref="AD40:AD41"/>
    <mergeCell ref="AE40:AE41"/>
    <mergeCell ref="AF40:AG40"/>
    <mergeCell ref="AH40:AJ40"/>
    <mergeCell ref="AI41:AJ41"/>
    <mergeCell ref="AC49:AC50"/>
    <mergeCell ref="BS49:BS51"/>
    <mergeCell ref="BS8:BS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R43"/>
    <mergeCell ref="AD44:BR44"/>
    <mergeCell ref="AD45:BR45"/>
    <mergeCell ref="AD46:BR46"/>
    <mergeCell ref="AD47:BR47"/>
    <mergeCell ref="AD48:BR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4">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BM9 BM50" allowBlank="1" promptTitle="checkPeriodRange"/>
    <dataValidation sqref="S131123:BS131129 S196659:BS196665 S262195:BS262201 S327731:BS327737 S393267:BS393273 S458803:BS458809 S524339:BS524345 S589875:BS589881 S655411:BS655417 S720947:BS720953 S786483:BS786489 S852019:BS852025 S917555:BS917561 S983091:BS983097 S65587:BS6559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0C001E-0029-4ABC-931E-009D007D0075}"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9D0022-0033-4E6E-94A1-004F00160069}" type="textLength" allowBlank="1" error="Допускается ввод не более 900 символов!" errorTitle="Ошибка" operator="lessThanOrEqual" showErrorMessage="1" showInputMessage="1">
          <x14:formula1>
            <xm:f>900</xm:f>
          </x14:formula1>
          <xm:sqref>BS65579:BS65586 BS131115:BS131122 BS196651:BS196658 BS262187:BS262194 BS327723:BS327730 BS393259:BS393266 BS458795:BS458802 BS524331:BS524338 BS589867:BS589874 BS655403:BS655410 BS720939:BS720946 BS786475:BS786482 BS852011:BS852018 BS917547:BS917554 BS983083:BS983090</xm:sqref>
        </x14:dataValidation>
        <x14:dataValidation xr:uid="{00B90046-001A-4D78-8A92-00F600CB0001}"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A2003D-00C7-442D-95B7-00F7000B00DE}" type="list" allowBlank="1" error="Выберите значение из списка" errorTitle="Ошибка" prompt="Выберите значение из списка" showInputMessage="1">
          <x14:formula1>
            <xm:f>kind_of_cons</xm:f>
          </x14:formula1>
          <xm:sqref>V983088:BR983088 V65584:BR65584 V131120:BR131120 V196656:BR196656 V262192:BR262192 V327728:BR327728 V393264:BR393264 V458800:BR458800 V524336:BR524336 V589872:BR589872 V655408:BR655408 V720944:BR720944 V786480:BR786480 V852016:BR852016 V917552:BR917552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H43" activePane="bottomRight" state="frozen"/>
      <selection pane="bottomLeft" activeCell="A43" sqref="A43"/>
      <selection pane="topRight" activeCell="AD1" sqref="AD1"/>
      <selection pane="bottomRight" activeCell="AO50" sqref="AO50"/>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1.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min="37" max="37" style="9138" width="8.57421875"/>
    <col customWidth="1" min="39" max="39" style="10316" width="0"/>
    <col customWidth="1" min="47" max="47" style="10316" width="0.140625"/>
    <col customWidth="1" min="55" max="55" style="10316" width="0"/>
    <col customWidth="1" min="63" max="63" style="10316" width="1.00390625"/>
    <col hidden="1" min="69" max="69" style="10316" width="10.57421875"/>
    <col customWidth="1" min="70" max="70" style="9138" width="4.00390625"/>
    <col customWidth="1" min="71" max="71" style="9138" width="115.00390625"/>
    <col customWidth="1" min="72" max="76" style="9218" width="10.00390625"/>
    <col hidden="1" min="77" max="77" style="9138" width="10.57421875"/>
  </cols>
  <sheetData>
    <row r="1" ht="22.5" hidden="1" customHeight="1">
      <c r="Y1" s="497"/>
      <c r="Z1" s="497"/>
      <c r="AG1" s="497"/>
      <c r="AH1" s="497"/>
      <c r="AL1" s="3649"/>
      <c r="AM1" s="3649"/>
      <c r="AN1" s="3649"/>
      <c r="AO1" s="3649"/>
      <c r="AP1" s="3649"/>
      <c r="AQ1" s="3649"/>
      <c r="AR1" s="3649"/>
      <c r="AS1" s="3649"/>
      <c r="AT1" s="3649"/>
      <c r="AU1" s="3649"/>
      <c r="AV1" s="3649"/>
      <c r="AW1" s="3649"/>
      <c r="AX1" s="3649"/>
      <c r="AY1" s="3649"/>
      <c r="AZ1" s="3649"/>
      <c r="BA1" s="3649"/>
      <c r="BB1" s="3649"/>
      <c r="BC1" s="3649"/>
      <c r="BD1" s="3649"/>
      <c r="BE1" s="3649"/>
      <c r="BF1" s="3649"/>
      <c r="BG1" s="3649"/>
      <c r="BH1" s="3649"/>
      <c r="BI1" s="3649"/>
      <c r="BJ1" s="3649"/>
      <c r="BK1" s="3649"/>
      <c r="BL1" s="3649"/>
      <c r="BM1" s="3649"/>
      <c r="BN1" s="3649"/>
      <c r="BO1" s="3649"/>
      <c r="BP1" s="3649"/>
      <c r="BQ1" s="3649"/>
      <c r="BY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3663"/>
      <c r="AM2" s="3664"/>
      <c r="AN2" s="3664"/>
      <c r="AO2" s="3664"/>
      <c r="AP2" s="3664"/>
      <c r="AQ2" s="3664"/>
      <c r="AR2" s="3664"/>
      <c r="AS2" s="3665"/>
      <c r="AT2" s="3663"/>
      <c r="AU2" s="3664"/>
      <c r="AV2" s="3664"/>
      <c r="AW2" s="3664"/>
      <c r="AX2" s="3664"/>
      <c r="AY2" s="3664"/>
      <c r="AZ2" s="3664"/>
      <c r="BA2" s="3665"/>
      <c r="BB2" s="3663"/>
      <c r="BC2" s="3664"/>
      <c r="BD2" s="3664"/>
      <c r="BE2" s="3664"/>
      <c r="BF2" s="3664"/>
      <c r="BG2" s="3664"/>
      <c r="BH2" s="3664"/>
      <c r="BI2" s="3665"/>
      <c r="BJ2" s="3663"/>
      <c r="BK2" s="3664"/>
      <c r="BL2" s="3664"/>
      <c r="BM2" s="3664"/>
      <c r="BN2" s="3664"/>
      <c r="BO2" s="3664"/>
      <c r="BP2" s="3664"/>
      <c r="BQ2" s="3665"/>
      <c r="BR2" s="2414"/>
      <c r="BS2" s="1428" t="s">
        <v>403</v>
      </c>
      <c r="BU2" s="670"/>
      <c r="BV2" s="670" t="str">
        <f>IF(T2="","",T2)</f>
        <v xml:space="preserve">Наименование тарифа</v>
      </c>
      <c r="BW2" s="670"/>
      <c r="BX2" s="670"/>
      <c r="BY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3663"/>
      <c r="AM3" s="3664"/>
      <c r="AN3" s="3664"/>
      <c r="AO3" s="3664"/>
      <c r="AP3" s="3664"/>
      <c r="AQ3" s="3664"/>
      <c r="AR3" s="3664"/>
      <c r="AS3" s="3665"/>
      <c r="AT3" s="3663"/>
      <c r="AU3" s="3664"/>
      <c r="AV3" s="3664"/>
      <c r="AW3" s="3664"/>
      <c r="AX3" s="3664"/>
      <c r="AY3" s="3664"/>
      <c r="AZ3" s="3664"/>
      <c r="BA3" s="3665"/>
      <c r="BB3" s="3663"/>
      <c r="BC3" s="3664"/>
      <c r="BD3" s="3664"/>
      <c r="BE3" s="3664"/>
      <c r="BF3" s="3664"/>
      <c r="BG3" s="3664"/>
      <c r="BH3" s="3664"/>
      <c r="BI3" s="3665"/>
      <c r="BJ3" s="3663"/>
      <c r="BK3" s="3664"/>
      <c r="BL3" s="3664"/>
      <c r="BM3" s="3664"/>
      <c r="BN3" s="3664"/>
      <c r="BO3" s="3664"/>
      <c r="BP3" s="3664"/>
      <c r="BQ3" s="3665"/>
      <c r="BR3" s="2414"/>
      <c r="BS3" s="1428" t="s">
        <v>405</v>
      </c>
      <c r="BU3" s="670"/>
      <c r="BV3" s="670" t="str">
        <f>IF(T3="","",T3)</f>
        <v xml:space="preserve">Территория действия тарифа</v>
      </c>
      <c r="BW3" s="670"/>
      <c r="BX3" s="670"/>
      <c r="BY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3663"/>
      <c r="AM4" s="3664"/>
      <c r="AN4" s="3664"/>
      <c r="AO4" s="3664"/>
      <c r="AP4" s="3664"/>
      <c r="AQ4" s="3664"/>
      <c r="AR4" s="3664"/>
      <c r="AS4" s="3665"/>
      <c r="AT4" s="3663"/>
      <c r="AU4" s="3664"/>
      <c r="AV4" s="3664"/>
      <c r="AW4" s="3664"/>
      <c r="AX4" s="3664"/>
      <c r="AY4" s="3664"/>
      <c r="AZ4" s="3664"/>
      <c r="BA4" s="3665"/>
      <c r="BB4" s="3663"/>
      <c r="BC4" s="3664"/>
      <c r="BD4" s="3664"/>
      <c r="BE4" s="3664"/>
      <c r="BF4" s="3664"/>
      <c r="BG4" s="3664"/>
      <c r="BH4" s="3664"/>
      <c r="BI4" s="3665"/>
      <c r="BJ4" s="3663"/>
      <c r="BK4" s="3664"/>
      <c r="BL4" s="3664"/>
      <c r="BM4" s="3664"/>
      <c r="BN4" s="3664"/>
      <c r="BO4" s="3664"/>
      <c r="BP4" s="3664"/>
      <c r="BQ4" s="3665"/>
      <c r="BR4" s="2414"/>
      <c r="BS4" s="1428" t="s">
        <v>407</v>
      </c>
      <c r="BU4" s="670"/>
      <c r="BV4" s="670" t="str">
        <f>IF(T4="","",T4)</f>
        <v xml:space="preserve">Наименование системы теплоснабжения</v>
      </c>
      <c r="BW4" s="670"/>
      <c r="BX4" s="670"/>
      <c r="BY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3663"/>
      <c r="AM5" s="3664"/>
      <c r="AN5" s="3664"/>
      <c r="AO5" s="3664"/>
      <c r="AP5" s="3664"/>
      <c r="AQ5" s="3664"/>
      <c r="AR5" s="3664"/>
      <c r="AS5" s="3665"/>
      <c r="AT5" s="3663"/>
      <c r="AU5" s="3664"/>
      <c r="AV5" s="3664"/>
      <c r="AW5" s="3664"/>
      <c r="AX5" s="3664"/>
      <c r="AY5" s="3664"/>
      <c r="AZ5" s="3664"/>
      <c r="BA5" s="3665"/>
      <c r="BB5" s="3663"/>
      <c r="BC5" s="3664"/>
      <c r="BD5" s="3664"/>
      <c r="BE5" s="3664"/>
      <c r="BF5" s="3664"/>
      <c r="BG5" s="3664"/>
      <c r="BH5" s="3664"/>
      <c r="BI5" s="3665"/>
      <c r="BJ5" s="3663"/>
      <c r="BK5" s="3664"/>
      <c r="BL5" s="3664"/>
      <c r="BM5" s="3664"/>
      <c r="BN5" s="3664"/>
      <c r="BO5" s="3664"/>
      <c r="BP5" s="3664"/>
      <c r="BQ5" s="3665"/>
      <c r="BR5" s="2414"/>
      <c r="BS5" s="1428" t="s">
        <v>409</v>
      </c>
      <c r="BU5" s="670"/>
      <c r="BV5" s="670" t="str">
        <f>IF(T5="","",T5)</f>
        <v xml:space="preserve">Источник тепловой энергии</v>
      </c>
      <c r="BW5" s="670"/>
      <c r="BX5" s="670"/>
      <c r="BY5" s="1325">
        <v>0</v>
      </c>
    </row>
    <row r="6" ht="47.25" hidden="1" customHeight="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3684"/>
      <c r="AM6" s="3685"/>
      <c r="AN6" s="3685"/>
      <c r="AO6" s="3685"/>
      <c r="AP6" s="3685"/>
      <c r="AQ6" s="3685"/>
      <c r="AR6" s="3685"/>
      <c r="AS6" s="3686"/>
      <c r="AT6" s="3684"/>
      <c r="AU6" s="3685"/>
      <c r="AV6" s="3685"/>
      <c r="AW6" s="3685"/>
      <c r="AX6" s="3685"/>
      <c r="AY6" s="3685"/>
      <c r="AZ6" s="3685"/>
      <c r="BA6" s="3686"/>
      <c r="BB6" s="3684"/>
      <c r="BC6" s="3685"/>
      <c r="BD6" s="3685"/>
      <c r="BE6" s="3685"/>
      <c r="BF6" s="3685"/>
      <c r="BG6" s="3685"/>
      <c r="BH6" s="3685"/>
      <c r="BI6" s="3686"/>
      <c r="BJ6" s="3684"/>
      <c r="BK6" s="3685"/>
      <c r="BL6" s="3685"/>
      <c r="BM6" s="3685"/>
      <c r="BN6" s="3685"/>
      <c r="BO6" s="3685"/>
      <c r="BP6" s="3685"/>
      <c r="BQ6" s="3686"/>
      <c r="BR6" s="2417"/>
      <c r="BS6" s="1428" t="s">
        <v>412</v>
      </c>
      <c r="BU6" s="670"/>
      <c r="BV6" s="670" t="str">
        <f>IF(T6="","",T6)</f>
        <v xml:space="preserve">Схема подключения теплопотребляющей установки к коллектору источника тепловой энергии</v>
      </c>
      <c r="BW6" s="670"/>
      <c r="BX6" s="670"/>
      <c r="BY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3684"/>
      <c r="AM7" s="3685"/>
      <c r="AN7" s="3685"/>
      <c r="AO7" s="3685"/>
      <c r="AP7" s="3685"/>
      <c r="AQ7" s="3685"/>
      <c r="AR7" s="3685"/>
      <c r="AS7" s="3686"/>
      <c r="AT7" s="3684"/>
      <c r="AU7" s="3685"/>
      <c r="AV7" s="3685"/>
      <c r="AW7" s="3685"/>
      <c r="AX7" s="3685"/>
      <c r="AY7" s="3685"/>
      <c r="AZ7" s="3685"/>
      <c r="BA7" s="3686"/>
      <c r="BB7" s="3684"/>
      <c r="BC7" s="3685"/>
      <c r="BD7" s="3685"/>
      <c r="BE7" s="3685"/>
      <c r="BF7" s="3685"/>
      <c r="BG7" s="3685"/>
      <c r="BH7" s="3685"/>
      <c r="BI7" s="3686"/>
      <c r="BJ7" s="3684"/>
      <c r="BK7" s="3685"/>
      <c r="BL7" s="3685"/>
      <c r="BM7" s="3685"/>
      <c r="BN7" s="3685"/>
      <c r="BO7" s="3685"/>
      <c r="BP7" s="3685"/>
      <c r="BQ7" s="3686"/>
      <c r="BR7" s="2417"/>
      <c r="BS7" s="1428" t="s">
        <v>415</v>
      </c>
      <c r="BU7" s="670"/>
      <c r="BV7" s="670" t="str">
        <f>IF(T7="","",T7)</f>
        <v xml:space="preserve">Группа потребителей</v>
      </c>
      <c r="BW7" s="670"/>
      <c r="BX7" s="670"/>
      <c r="BY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3695"/>
      <c r="AM8" s="3696"/>
      <c r="AN8" s="3695"/>
      <c r="AO8" s="3697"/>
      <c r="AP8" s="3698"/>
      <c r="AQ8" s="3191" t="s">
        <v>67</v>
      </c>
      <c r="AR8" s="3698"/>
      <c r="AS8" s="3191" t="s">
        <v>67</v>
      </c>
      <c r="AT8" s="3695"/>
      <c r="AU8" s="3696"/>
      <c r="AV8" s="3695"/>
      <c r="AW8" s="3697"/>
      <c r="AX8" s="3698"/>
      <c r="AY8" s="3191" t="s">
        <v>67</v>
      </c>
      <c r="AZ8" s="3698"/>
      <c r="BA8" s="3191" t="s">
        <v>67</v>
      </c>
      <c r="BB8" s="3695"/>
      <c r="BC8" s="3696"/>
      <c r="BD8" s="3695"/>
      <c r="BE8" s="3697"/>
      <c r="BF8" s="3698"/>
      <c r="BG8" s="3191" t="s">
        <v>67</v>
      </c>
      <c r="BH8" s="3698"/>
      <c r="BI8" s="3191" t="s">
        <v>67</v>
      </c>
      <c r="BJ8" s="3695"/>
      <c r="BK8" s="3696"/>
      <c r="BL8" s="3695"/>
      <c r="BM8" s="3697"/>
      <c r="BN8" s="3698"/>
      <c r="BO8" s="3191" t="s">
        <v>67</v>
      </c>
      <c r="BP8" s="3698"/>
      <c r="BQ8" s="3191" t="s">
        <v>67</v>
      </c>
      <c r="BR8" s="495"/>
      <c r="BS8" s="2423" t="s">
        <v>417</v>
      </c>
      <c r="BT8" s="681">
        <f>STRCHECKDATE(V9:BR9)</f>
      </c>
      <c r="BU8" s="670"/>
      <c r="BV8" s="670" t="str">
        <f>IF(T8="","",T8)</f>
        <v/>
      </c>
      <c r="BW8" s="670"/>
      <c r="BX8" s="670"/>
      <c r="BY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3696"/>
      <c r="AM9" s="3696"/>
      <c r="AN9" s="3696"/>
      <c r="AO9" s="3703" t="str">
        <f>AP8&amp;"-"&amp;AR8</f>
        <v>-</v>
      </c>
      <c r="AP9" s="3704"/>
      <c r="AQ9" s="3191"/>
      <c r="AR9" s="3704"/>
      <c r="AS9" s="3191"/>
      <c r="AT9" s="3696"/>
      <c r="AU9" s="3696"/>
      <c r="AV9" s="3696"/>
      <c r="AW9" s="3703" t="str">
        <f>AX8&amp;"-"&amp;AZ8</f>
        <v>-</v>
      </c>
      <c r="AX9" s="3704"/>
      <c r="AY9" s="3191"/>
      <c r="AZ9" s="3704"/>
      <c r="BA9" s="3191"/>
      <c r="BB9" s="3696"/>
      <c r="BC9" s="3696"/>
      <c r="BD9" s="3696"/>
      <c r="BE9" s="3703" t="str">
        <f>BF8&amp;"-"&amp;BH8</f>
        <v>-</v>
      </c>
      <c r="BF9" s="3704"/>
      <c r="BG9" s="3191"/>
      <c r="BH9" s="3704"/>
      <c r="BI9" s="3191"/>
      <c r="BJ9" s="3696"/>
      <c r="BK9" s="3696"/>
      <c r="BL9" s="3696"/>
      <c r="BM9" s="3703" t="str">
        <f>BN8&amp;"-"&amp;BP8</f>
        <v>-</v>
      </c>
      <c r="BN9" s="3704"/>
      <c r="BO9" s="3191"/>
      <c r="BP9" s="3704"/>
      <c r="BQ9" s="3191"/>
      <c r="BR9" s="495"/>
      <c r="BS9" s="2424"/>
      <c r="BU9" s="670"/>
      <c r="BV9" s="670" t="str">
        <f>IF(T9="","",T9)</f>
        <v/>
      </c>
      <c r="BW9" s="670"/>
      <c r="BX9" s="670"/>
      <c r="BY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044"/>
      <c r="AM10" s="4045"/>
      <c r="AN10" s="4046"/>
      <c r="AO10" s="4047"/>
      <c r="AP10" s="4048"/>
      <c r="AQ10" s="4049"/>
      <c r="AR10" s="4050"/>
      <c r="AS10" s="4051"/>
      <c r="AT10" s="4052"/>
      <c r="AU10" s="4053"/>
      <c r="AV10" s="4054"/>
      <c r="AW10" s="4055"/>
      <c r="AX10" s="4056"/>
      <c r="AY10" s="4057"/>
      <c r="AZ10" s="4058"/>
      <c r="BA10" s="4059"/>
      <c r="BB10" s="4060"/>
      <c r="BC10" s="4061"/>
      <c r="BD10" s="4062"/>
      <c r="BE10" s="4063"/>
      <c r="BF10" s="4064"/>
      <c r="BG10" s="4065"/>
      <c r="BH10" s="4066"/>
      <c r="BI10" s="4067"/>
      <c r="BJ10" s="4068"/>
      <c r="BK10" s="4069"/>
      <c r="BL10" s="4070"/>
      <c r="BM10" s="4071"/>
      <c r="BN10" s="4072"/>
      <c r="BO10" s="4073"/>
      <c r="BP10" s="4074"/>
      <c r="BQ10" s="4075"/>
      <c r="BR10" s="494"/>
      <c r="BS10" s="2425"/>
      <c r="BU10" s="670"/>
      <c r="BV10" s="670" t="str">
        <f>IF(T10="","",T10)</f>
        <v xml:space="preserve">Добавить вид теплоносителя (параметры теплоносителя)</v>
      </c>
      <c r="BW10" s="670"/>
      <c r="BX10" s="670"/>
      <c r="BY10" s="1325">
        <v>0</v>
      </c>
    </row>
    <row r="11" ht="15" hidden="1" customHeight="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4076"/>
      <c r="AM11" s="4077"/>
      <c r="AN11" s="4078"/>
      <c r="AO11" s="4079"/>
      <c r="AP11" s="4080"/>
      <c r="AQ11" s="4081"/>
      <c r="AR11" s="4082"/>
      <c r="AS11" s="4083"/>
      <c r="AT11" s="4084"/>
      <c r="AU11" s="4085"/>
      <c r="AV11" s="4086"/>
      <c r="AW11" s="4087"/>
      <c r="AX11" s="4088"/>
      <c r="AY11" s="4089"/>
      <c r="AZ11" s="4090"/>
      <c r="BA11" s="4091"/>
      <c r="BB11" s="4092"/>
      <c r="BC11" s="4093"/>
      <c r="BD11" s="4094"/>
      <c r="BE11" s="4095"/>
      <c r="BF11" s="4096"/>
      <c r="BG11" s="4097"/>
      <c r="BH11" s="4098"/>
      <c r="BI11" s="4099"/>
      <c r="BJ11" s="4100"/>
      <c r="BK11" s="4101"/>
      <c r="BL11" s="4102"/>
      <c r="BM11" s="4103"/>
      <c r="BN11" s="4104"/>
      <c r="BO11" s="4105"/>
      <c r="BP11" s="4106"/>
      <c r="BQ11" s="4107"/>
      <c r="BR11" s="537"/>
      <c r="BS11" s="473"/>
      <c r="BU11" s="670"/>
      <c r="BV11" s="670" t="str">
        <f>IF(T11="","",T11)</f>
        <v xml:space="preserve">Добавить группу потребителей</v>
      </c>
      <c r="BW11" s="670"/>
      <c r="BX11" s="670"/>
      <c r="BY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4108"/>
      <c r="AM12" s="4109"/>
      <c r="AN12" s="4110"/>
      <c r="AO12" s="4111"/>
      <c r="AP12" s="4112"/>
      <c r="AQ12" s="4113"/>
      <c r="AR12" s="4114"/>
      <c r="AS12" s="4115"/>
      <c r="AT12" s="4116"/>
      <c r="AU12" s="4117"/>
      <c r="AV12" s="4118"/>
      <c r="AW12" s="4119"/>
      <c r="AX12" s="4120"/>
      <c r="AY12" s="4121"/>
      <c r="AZ12" s="4122"/>
      <c r="BA12" s="4123"/>
      <c r="BB12" s="4124"/>
      <c r="BC12" s="4125"/>
      <c r="BD12" s="4126"/>
      <c r="BE12" s="4127"/>
      <c r="BF12" s="4128"/>
      <c r="BG12" s="4129"/>
      <c r="BH12" s="4130"/>
      <c r="BI12" s="4131"/>
      <c r="BJ12" s="4132"/>
      <c r="BK12" s="4133"/>
      <c r="BL12" s="4134"/>
      <c r="BM12" s="4135"/>
      <c r="BN12" s="4136"/>
      <c r="BO12" s="4137"/>
      <c r="BP12" s="4138"/>
      <c r="BQ12" s="4139"/>
      <c r="BR12" s="537"/>
      <c r="BS12" s="473"/>
      <c r="BU12" s="670"/>
      <c r="BV12" s="670" t="str">
        <f>IF(T12="","",T12)</f>
        <v xml:space="preserve">Добавить схему подключения</v>
      </c>
      <c r="BW12" s="670"/>
      <c r="BX12" s="670"/>
      <c r="BY12" s="1325">
        <v>0</v>
      </c>
    </row>
    <row r="13" s="9218"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3818"/>
      <c r="AM13" s="3818"/>
      <c r="AN13" s="3818"/>
      <c r="AO13" s="3818"/>
      <c r="AP13" s="3818"/>
      <c r="AQ13" s="3818"/>
      <c r="AR13" s="3818"/>
      <c r="AS13" s="3818"/>
      <c r="AT13" s="3818"/>
      <c r="AU13" s="3818"/>
      <c r="AV13" s="3818"/>
      <c r="AW13" s="3818"/>
      <c r="AX13" s="3818"/>
      <c r="AY13" s="3818"/>
      <c r="AZ13" s="3818"/>
      <c r="BA13" s="3818"/>
      <c r="BB13" s="3818"/>
      <c r="BC13" s="3818"/>
      <c r="BD13" s="3818"/>
      <c r="BE13" s="3818"/>
      <c r="BF13" s="3818"/>
      <c r="BG13" s="3818"/>
      <c r="BH13" s="3818"/>
      <c r="BI13" s="3818"/>
      <c r="BJ13" s="3818"/>
      <c r="BK13" s="3818"/>
      <c r="BL13" s="3818"/>
      <c r="BM13" s="3818"/>
      <c r="BN13" s="3818"/>
      <c r="BO13" s="3818"/>
      <c r="BP13" s="3818"/>
      <c r="BQ13" s="3818"/>
      <c r="BR13" s="1490"/>
      <c r="BS13" s="1490"/>
      <c r="BU13" s="959"/>
      <c r="BV13" s="959" t="str">
        <f>IF(T13="","",T13)</f>
        <v xml:space="preserve">Добавить источник для дифференциации</v>
      </c>
      <c r="BW13" s="959"/>
      <c r="BX13" s="959"/>
      <c r="BY13" s="688">
        <v>0</v>
      </c>
    </row>
    <row r="14" s="9218"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3824"/>
      <c r="AM14" s="3824"/>
      <c r="AN14" s="3824"/>
      <c r="AO14" s="3824"/>
      <c r="AP14" s="3824"/>
      <c r="AQ14" s="3824"/>
      <c r="AR14" s="3824"/>
      <c r="AS14" s="3824"/>
      <c r="AT14" s="3824"/>
      <c r="AU14" s="3824"/>
      <c r="AV14" s="3824"/>
      <c r="AW14" s="3824"/>
      <c r="AX14" s="3824"/>
      <c r="AY14" s="3824"/>
      <c r="AZ14" s="3824"/>
      <c r="BA14" s="3824"/>
      <c r="BB14" s="3824"/>
      <c r="BC14" s="3824"/>
      <c r="BD14" s="3824"/>
      <c r="BE14" s="3824"/>
      <c r="BF14" s="3824"/>
      <c r="BG14" s="3824"/>
      <c r="BH14" s="3824"/>
      <c r="BI14" s="3824"/>
      <c r="BJ14" s="3824"/>
      <c r="BK14" s="3824"/>
      <c r="BL14" s="3824"/>
      <c r="BM14" s="3824"/>
      <c r="BN14" s="3824"/>
      <c r="BO14" s="3824"/>
      <c r="BP14" s="3824"/>
      <c r="BQ14" s="3824"/>
      <c r="BR14" s="1494"/>
      <c r="BS14" s="1494"/>
      <c r="BU14" s="959"/>
      <c r="BV14" s="959" t="str">
        <f>IF(T14="","",T14)</f>
        <v xml:space="preserve">Добавить централизованную систему для дифференциации</v>
      </c>
      <c r="BW14" s="959"/>
      <c r="BX14" s="959"/>
      <c r="BY14" s="688">
        <v>0</v>
      </c>
    </row>
    <row r="15" s="9218"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3824"/>
      <c r="AM15" s="3824"/>
      <c r="AN15" s="3824"/>
      <c r="AO15" s="3824"/>
      <c r="AP15" s="3824"/>
      <c r="AQ15" s="3824"/>
      <c r="AR15" s="3824"/>
      <c r="AS15" s="3824"/>
      <c r="AT15" s="3824"/>
      <c r="AU15" s="3824"/>
      <c r="AV15" s="3824"/>
      <c r="AW15" s="3824"/>
      <c r="AX15" s="3824"/>
      <c r="AY15" s="3824"/>
      <c r="AZ15" s="3824"/>
      <c r="BA15" s="3824"/>
      <c r="BB15" s="3824"/>
      <c r="BC15" s="3824"/>
      <c r="BD15" s="3824"/>
      <c r="BE15" s="3824"/>
      <c r="BF15" s="3824"/>
      <c r="BG15" s="3824"/>
      <c r="BH15" s="3824"/>
      <c r="BI15" s="3824"/>
      <c r="BJ15" s="3824"/>
      <c r="BK15" s="3824"/>
      <c r="BL15" s="3824"/>
      <c r="BM15" s="3824"/>
      <c r="BN15" s="3824"/>
      <c r="BO15" s="3824"/>
      <c r="BP15" s="3824"/>
      <c r="BQ15" s="3824"/>
      <c r="BR15" s="1494"/>
      <c r="BS15" s="1494"/>
      <c r="BU15" s="959"/>
      <c r="BV15" s="959" t="str">
        <f>IF(T15="","",T15)</f>
        <v xml:space="preserve">Добавить территорию для дифференциации</v>
      </c>
      <c r="BW15" s="959"/>
      <c r="BX15" s="959"/>
      <c r="BY15" s="688">
        <v>0</v>
      </c>
    </row>
    <row r="16" ht="14.25" hidden="1" customHeight="1">
      <c r="AC16" s="497"/>
      <c r="AK16" s="497"/>
      <c r="AL16" s="3649"/>
      <c r="AM16" s="3649"/>
      <c r="AN16" s="3649"/>
      <c r="AO16" s="3649"/>
      <c r="AP16" s="3649"/>
      <c r="AQ16" s="3649"/>
      <c r="AR16" s="3649"/>
      <c r="AS16" s="3649"/>
      <c r="AT16" s="3649"/>
      <c r="AU16" s="3649"/>
      <c r="AV16" s="3649"/>
      <c r="AW16" s="3649"/>
      <c r="AX16" s="3649"/>
      <c r="AY16" s="3649"/>
      <c r="AZ16" s="3649"/>
      <c r="BA16" s="3649"/>
      <c r="BB16" s="3649"/>
      <c r="BC16" s="3649"/>
      <c r="BD16" s="3649"/>
      <c r="BE16" s="3649"/>
      <c r="BF16" s="3649"/>
      <c r="BG16" s="3649"/>
      <c r="BH16" s="3649"/>
      <c r="BI16" s="3649"/>
      <c r="BJ16" s="3649"/>
      <c r="BK16" s="3649"/>
      <c r="BL16" s="3649"/>
      <c r="BM16" s="3649"/>
      <c r="BN16" s="3649"/>
      <c r="BO16" s="3649"/>
      <c r="BP16" s="3649"/>
      <c r="BQ16" s="3649"/>
      <c r="BY16" s="1325">
        <v>0</v>
      </c>
    </row>
    <row r="17" ht="14.25" hidden="1" customHeight="1">
      <c r="AD17" s="1530"/>
      <c r="AE17" s="1530"/>
      <c r="AF17" s="1530"/>
      <c r="AG17" s="1531"/>
      <c r="AH17" s="2437"/>
      <c r="AI17" s="2438" t="s">
        <v>67</v>
      </c>
      <c r="AJ17" s="2437"/>
      <c r="AK17" s="2438" t="s">
        <v>67</v>
      </c>
      <c r="AL17" s="3649"/>
      <c r="AM17" s="3649"/>
      <c r="AN17" s="3649"/>
      <c r="AO17" s="3649"/>
      <c r="AP17" s="3649"/>
      <c r="AQ17" s="3649"/>
      <c r="AR17" s="3649"/>
      <c r="AS17" s="3649"/>
      <c r="AT17" s="3649"/>
      <c r="AU17" s="3649"/>
      <c r="AV17" s="3649"/>
      <c r="AW17" s="3649"/>
      <c r="AX17" s="3649"/>
      <c r="AY17" s="3649"/>
      <c r="AZ17" s="3649"/>
      <c r="BA17" s="3649"/>
      <c r="BB17" s="3649"/>
      <c r="BC17" s="3649"/>
      <c r="BD17" s="3649"/>
      <c r="BE17" s="3649"/>
      <c r="BF17" s="3649"/>
      <c r="BG17" s="3649"/>
      <c r="BH17" s="3649"/>
      <c r="BI17" s="3649"/>
      <c r="BJ17" s="3649"/>
      <c r="BK17" s="3649"/>
      <c r="BL17" s="3649"/>
      <c r="BM17" s="3649"/>
      <c r="BN17" s="3649"/>
      <c r="BO17" s="3649"/>
      <c r="BP17" s="3649"/>
      <c r="BQ17" s="3649"/>
      <c r="BY17" s="1325">
        <v>0</v>
      </c>
    </row>
    <row r="18" ht="14.25" hidden="1" customHeight="1">
      <c r="AD18" s="1530"/>
      <c r="AE18" s="1530"/>
      <c r="AF18" s="1530"/>
      <c r="AG18" s="498" t="str">
        <f>AH17&amp;"-"&amp;AJ17</f>
        <v>-</v>
      </c>
      <c r="AH18" s="2438"/>
      <c r="AI18" s="2438"/>
      <c r="AJ18" s="2438"/>
      <c r="AK18" s="2438"/>
      <c r="AL18" s="3649"/>
      <c r="AM18" s="3649"/>
      <c r="AN18" s="3649"/>
      <c r="AO18" s="3649"/>
      <c r="AP18" s="3649"/>
      <c r="AQ18" s="3649"/>
      <c r="AR18" s="3649"/>
      <c r="AS18" s="3649"/>
      <c r="AT18" s="3649"/>
      <c r="AU18" s="3649"/>
      <c r="AV18" s="3649"/>
      <c r="AW18" s="3649"/>
      <c r="AX18" s="3649"/>
      <c r="AY18" s="3649"/>
      <c r="AZ18" s="3649"/>
      <c r="BA18" s="3649"/>
      <c r="BB18" s="3649"/>
      <c r="BC18" s="3649"/>
      <c r="BD18" s="3649"/>
      <c r="BE18" s="3649"/>
      <c r="BF18" s="3649"/>
      <c r="BG18" s="3649"/>
      <c r="BH18" s="3649"/>
      <c r="BI18" s="3649"/>
      <c r="BJ18" s="3649"/>
      <c r="BK18" s="3649"/>
      <c r="BL18" s="3649"/>
      <c r="BM18" s="3649"/>
      <c r="BN18" s="3649"/>
      <c r="BO18" s="3649"/>
      <c r="BP18" s="3649"/>
      <c r="BQ18" s="3649"/>
      <c r="BY18" s="1325">
        <v>0</v>
      </c>
    </row>
    <row r="19" ht="14.25" hidden="1" customHeight="1">
      <c r="AK19" s="497"/>
      <c r="AL19" s="3649"/>
      <c r="AM19" s="3649"/>
      <c r="AN19" s="3649"/>
      <c r="AO19" s="3649"/>
      <c r="AP19" s="3649"/>
      <c r="AQ19" s="3649"/>
      <c r="AR19" s="3649"/>
      <c r="AS19" s="3649"/>
      <c r="AT19" s="3649"/>
      <c r="AU19" s="3649"/>
      <c r="AV19" s="3649"/>
      <c r="AW19" s="3649"/>
      <c r="AX19" s="3649"/>
      <c r="AY19" s="3649"/>
      <c r="AZ19" s="3649"/>
      <c r="BA19" s="3649"/>
      <c r="BB19" s="3649"/>
      <c r="BC19" s="3649"/>
      <c r="BD19" s="3649"/>
      <c r="BE19" s="3649"/>
      <c r="BF19" s="3649"/>
      <c r="BG19" s="3649"/>
      <c r="BH19" s="3649"/>
      <c r="BI19" s="3649"/>
      <c r="BJ19" s="3649"/>
      <c r="BK19" s="3649"/>
      <c r="BL19" s="3649"/>
      <c r="BM19" s="3649"/>
      <c r="BN19" s="3649"/>
      <c r="BO19" s="3649"/>
      <c r="BP19" s="3649"/>
      <c r="BQ19" s="3649"/>
      <c r="BY19" s="1325">
        <v>0</v>
      </c>
    </row>
    <row r="20" s="9217" customFormat="1" ht="22.5" hidden="1" customHeight="1">
      <c r="L20" s="1499"/>
      <c r="M20" s="1532"/>
      <c r="N20" s="1532"/>
      <c r="O20" s="1537" t="s">
        <v>421</v>
      </c>
      <c r="P20" s="1532"/>
      <c r="Q20" s="1541"/>
      <c r="R20" s="1541"/>
      <c r="S20" s="899"/>
      <c r="Z20" s="1537"/>
      <c r="AB20" s="1537"/>
      <c r="AC20" s="1536"/>
      <c r="AH20" s="1537"/>
      <c r="AJ20" s="1537"/>
      <c r="AK20" s="1536"/>
      <c r="AL20" s="3836"/>
      <c r="AM20" s="3836"/>
      <c r="AN20" s="3836"/>
      <c r="AO20" s="3836"/>
      <c r="AP20" s="3837"/>
      <c r="AQ20" s="3836"/>
      <c r="AR20" s="3837"/>
      <c r="AS20" s="3836"/>
      <c r="AT20" s="3836"/>
      <c r="AU20" s="3836"/>
      <c r="AV20" s="3836"/>
      <c r="AW20" s="3836"/>
      <c r="AX20" s="3837"/>
      <c r="AY20" s="3836"/>
      <c r="AZ20" s="3837"/>
      <c r="BA20" s="3836"/>
      <c r="BB20" s="3836"/>
      <c r="BC20" s="3836"/>
      <c r="BD20" s="3836"/>
      <c r="BE20" s="3836"/>
      <c r="BF20" s="3837"/>
      <c r="BG20" s="3836"/>
      <c r="BH20" s="3837"/>
      <c r="BI20" s="3836"/>
      <c r="BJ20" s="3836"/>
      <c r="BK20" s="3836"/>
      <c r="BL20" s="3836"/>
      <c r="BM20" s="3836"/>
      <c r="BN20" s="3837"/>
      <c r="BO20" s="3836"/>
      <c r="BP20" s="3837"/>
      <c r="BQ20" s="3836"/>
      <c r="BT20" s="681"/>
      <c r="BU20" s="681"/>
      <c r="BV20" s="681"/>
      <c r="BW20" s="681"/>
      <c r="BX20" s="681"/>
      <c r="BY20" s="1330">
        <v>0</v>
      </c>
    </row>
    <row r="21" s="9217" customFormat="1" ht="14.25" hidden="1" customHeight="1">
      <c r="L21" s="1499"/>
      <c r="M21" s="1532"/>
      <c r="N21" s="1532"/>
      <c r="O21" s="1532"/>
      <c r="P21" s="1532"/>
      <c r="Q21" s="1541"/>
      <c r="R21" s="1541"/>
      <c r="S21" s="899"/>
      <c r="AC21" s="1536"/>
      <c r="AK21" s="1536"/>
      <c r="AL21" s="3836"/>
      <c r="AM21" s="3836"/>
      <c r="AN21" s="3836"/>
      <c r="AO21" s="3836"/>
      <c r="AP21" s="3836"/>
      <c r="AQ21" s="3836"/>
      <c r="AR21" s="3836"/>
      <c r="AS21" s="3836"/>
      <c r="AT21" s="3836"/>
      <c r="AU21" s="3836"/>
      <c r="AV21" s="3836"/>
      <c r="AW21" s="3836"/>
      <c r="AX21" s="3836"/>
      <c r="AY21" s="3836"/>
      <c r="AZ21" s="3836"/>
      <c r="BA21" s="3836"/>
      <c r="BB21" s="3836"/>
      <c r="BC21" s="3836"/>
      <c r="BD21" s="3836"/>
      <c r="BE21" s="3836"/>
      <c r="BF21" s="3836"/>
      <c r="BG21" s="3836"/>
      <c r="BH21" s="3836"/>
      <c r="BI21" s="3836"/>
      <c r="BJ21" s="3836"/>
      <c r="BK21" s="3836"/>
      <c r="BL21" s="3836"/>
      <c r="BM21" s="3836"/>
      <c r="BN21" s="3836"/>
      <c r="BO21" s="3836"/>
      <c r="BP21" s="3836"/>
      <c r="BQ21" s="3836"/>
      <c r="BT21" s="681"/>
      <c r="BU21" s="681"/>
      <c r="BV21" s="681"/>
      <c r="BW21" s="681"/>
      <c r="BX21" s="681"/>
      <c r="BY21" s="1330">
        <v>0</v>
      </c>
    </row>
    <row r="22" s="9217"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L22" s="3836"/>
      <c r="AM22" s="3836"/>
      <c r="AN22" s="3836"/>
      <c r="AO22" s="3836"/>
      <c r="AP22" s="3836"/>
      <c r="AQ22" s="3839" t="s">
        <v>424</v>
      </c>
      <c r="AR22" s="3836"/>
      <c r="AS22" s="3839" t="s">
        <v>425</v>
      </c>
      <c r="AT22" s="3836"/>
      <c r="AU22" s="3836"/>
      <c r="AV22" s="3836"/>
      <c r="AW22" s="3836"/>
      <c r="AX22" s="3836"/>
      <c r="AY22" s="3839" t="s">
        <v>424</v>
      </c>
      <c r="AZ22" s="3836"/>
      <c r="BA22" s="3839" t="s">
        <v>425</v>
      </c>
      <c r="BB22" s="3836"/>
      <c r="BC22" s="3836"/>
      <c r="BD22" s="3836"/>
      <c r="BE22" s="3836"/>
      <c r="BF22" s="3836"/>
      <c r="BG22" s="3839" t="s">
        <v>424</v>
      </c>
      <c r="BH22" s="3836"/>
      <c r="BI22" s="3839" t="s">
        <v>425</v>
      </c>
      <c r="BJ22" s="3836"/>
      <c r="BK22" s="3836"/>
      <c r="BL22" s="3836"/>
      <c r="BM22" s="3836"/>
      <c r="BN22" s="3836"/>
      <c r="BO22" s="3839" t="s">
        <v>424</v>
      </c>
      <c r="BP22" s="3836"/>
      <c r="BQ22" s="3839" t="s">
        <v>425</v>
      </c>
      <c r="BT22" s="681"/>
      <c r="BU22" s="681"/>
      <c r="BV22" s="681"/>
      <c r="BW22" s="681"/>
      <c r="BX22" s="681"/>
      <c r="BY22" s="1330">
        <v>0</v>
      </c>
    </row>
    <row r="23" ht="14.25" hidden="1" customHeight="1">
      <c r="O23" s="1534"/>
      <c r="AL23" s="3649"/>
      <c r="AM23" s="3649"/>
      <c r="AN23" s="3649"/>
      <c r="AO23" s="3649"/>
      <c r="AP23" s="3649"/>
      <c r="AQ23" s="3649"/>
      <c r="AR23" s="3649"/>
      <c r="AS23" s="3649"/>
      <c r="AT23" s="3649"/>
      <c r="AU23" s="3649"/>
      <c r="AV23" s="3649"/>
      <c r="AW23" s="3649"/>
      <c r="AX23" s="3649"/>
      <c r="AY23" s="3649"/>
      <c r="AZ23" s="3649"/>
      <c r="BA23" s="3649"/>
      <c r="BB23" s="3649"/>
      <c r="BC23" s="3649"/>
      <c r="BD23" s="3649"/>
      <c r="BE23" s="3649"/>
      <c r="BF23" s="3649"/>
      <c r="BG23" s="3649"/>
      <c r="BH23" s="3649"/>
      <c r="BI23" s="3649"/>
      <c r="BJ23" s="3649"/>
      <c r="BK23" s="3649"/>
      <c r="BL23" s="3649"/>
      <c r="BM23" s="3649"/>
      <c r="BN23" s="3649"/>
      <c r="BO23" s="3649"/>
      <c r="BP23" s="3649"/>
      <c r="BQ23" s="3649"/>
      <c r="BY23" s="1325">
        <v>0</v>
      </c>
    </row>
    <row r="24" ht="14.25" hidden="1" customHeight="1">
      <c r="O24" s="1534"/>
      <c r="AL24" s="3649"/>
      <c r="AM24" s="3649"/>
      <c r="AN24" s="3649"/>
      <c r="AO24" s="3649"/>
      <c r="AP24" s="3649"/>
      <c r="AQ24" s="3649"/>
      <c r="AR24" s="3649"/>
      <c r="AS24" s="3649"/>
      <c r="AT24" s="3649"/>
      <c r="AU24" s="3649"/>
      <c r="AV24" s="3649"/>
      <c r="AW24" s="3649"/>
      <c r="AX24" s="3649"/>
      <c r="AY24" s="3649"/>
      <c r="AZ24" s="3649"/>
      <c r="BA24" s="3649"/>
      <c r="BB24" s="3649"/>
      <c r="BC24" s="3649"/>
      <c r="BD24" s="3649"/>
      <c r="BE24" s="3649"/>
      <c r="BF24" s="3649"/>
      <c r="BG24" s="3649"/>
      <c r="BH24" s="3649"/>
      <c r="BI24" s="3649"/>
      <c r="BJ24" s="3649"/>
      <c r="BK24" s="3649"/>
      <c r="BL24" s="3649"/>
      <c r="BM24" s="3649"/>
      <c r="BN24" s="3649"/>
      <c r="BO24" s="3649"/>
      <c r="BP24" s="3649"/>
      <c r="BQ24" s="3649"/>
      <c r="BY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L25" s="3649"/>
      <c r="AM25" s="3649"/>
      <c r="AN25" s="3649"/>
      <c r="AO25" s="3649"/>
      <c r="AP25" s="3649"/>
      <c r="AQ25" s="3649"/>
      <c r="AR25" s="3649"/>
      <c r="AS25" s="3649"/>
      <c r="AT25" s="3649"/>
      <c r="AU25" s="3649"/>
      <c r="AV25" s="3649"/>
      <c r="AW25" s="3649"/>
      <c r="AX25" s="3649"/>
      <c r="AY25" s="3649"/>
      <c r="AZ25" s="3649"/>
      <c r="BA25" s="3649"/>
      <c r="BB25" s="3649"/>
      <c r="BC25" s="3649"/>
      <c r="BD25" s="3649"/>
      <c r="BE25" s="3649"/>
      <c r="BF25" s="3649"/>
      <c r="BG25" s="3649"/>
      <c r="BH25" s="3649"/>
      <c r="BI25" s="3649"/>
      <c r="BJ25" s="3649"/>
      <c r="BK25" s="3649"/>
      <c r="BL25" s="3649"/>
      <c r="BM25" s="3649"/>
      <c r="BN25" s="3649"/>
      <c r="BO25" s="3649"/>
      <c r="BP25" s="3649"/>
      <c r="BQ25" s="3649"/>
      <c r="BY25" s="1325">
        <v>14</v>
      </c>
    </row>
    <row r="26" ht="14.65" customHeight="1">
      <c r="Q26" s="546"/>
      <c r="R26" s="546"/>
      <c r="S26" s="2418"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L26" s="3845"/>
      <c r="AM26" s="3845"/>
      <c r="AN26" s="3845"/>
      <c r="AO26" s="3845"/>
      <c r="AP26" s="3845"/>
      <c r="AQ26" s="3845"/>
      <c r="AR26" s="3845"/>
      <c r="AS26" s="3845"/>
      <c r="AT26" s="3845"/>
      <c r="AU26" s="3845"/>
      <c r="AV26" s="3845"/>
      <c r="AW26" s="3845"/>
      <c r="AX26" s="3845"/>
      <c r="AY26" s="3845"/>
      <c r="AZ26" s="3845"/>
      <c r="BA26" s="3845"/>
      <c r="BB26" s="3845"/>
      <c r="BC26" s="3845"/>
      <c r="BD26" s="3845"/>
      <c r="BE26" s="3845"/>
      <c r="BF26" s="3845"/>
      <c r="BG26" s="3845"/>
      <c r="BH26" s="3845"/>
      <c r="BI26" s="3845"/>
      <c r="BJ26" s="3845"/>
      <c r="BK26" s="3845"/>
      <c r="BL26" s="3845"/>
      <c r="BM26" s="3845"/>
      <c r="BN26" s="3845"/>
      <c r="BO26" s="3845"/>
      <c r="BP26" s="3845"/>
      <c r="BQ26" s="3845"/>
      <c r="BY26" s="1325">
        <v>14</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L27" s="3847"/>
      <c r="AM27" s="3847"/>
      <c r="AN27" s="3847"/>
      <c r="AO27" s="3847"/>
      <c r="AP27" s="3847"/>
      <c r="AQ27" s="3847"/>
      <c r="AR27" s="3847"/>
      <c r="AS27" s="3847"/>
      <c r="AT27" s="3847"/>
      <c r="AU27" s="3847"/>
      <c r="AV27" s="3847"/>
      <c r="AW27" s="3847"/>
      <c r="AX27" s="3847"/>
      <c r="AY27" s="3847"/>
      <c r="AZ27" s="3847"/>
      <c r="BA27" s="3847"/>
      <c r="BB27" s="3847"/>
      <c r="BC27" s="3847"/>
      <c r="BD27" s="3847"/>
      <c r="BE27" s="3847"/>
      <c r="BF27" s="3847"/>
      <c r="BG27" s="3847"/>
      <c r="BH27" s="3847"/>
      <c r="BI27" s="3847"/>
      <c r="BJ27" s="3847"/>
      <c r="BK27" s="3847"/>
      <c r="BL27" s="3847"/>
      <c r="BM27" s="3847"/>
      <c r="BN27" s="3847"/>
      <c r="BO27" s="3847"/>
      <c r="BP27" s="3847"/>
      <c r="BQ27" s="3847"/>
      <c r="BY27" s="1325">
        <v>14</v>
      </c>
    </row>
    <row r="28" ht="14.25" hidden="1"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3849"/>
      <c r="AM28" s="3849"/>
      <c r="AN28" s="3849"/>
      <c r="AO28" s="3849"/>
      <c r="AP28" s="3849"/>
      <c r="AQ28" s="3849"/>
      <c r="AR28" s="3849"/>
      <c r="AS28" s="3849"/>
      <c r="AT28" s="3849"/>
      <c r="AU28" s="3849"/>
      <c r="AV28" s="3849"/>
      <c r="AW28" s="3849"/>
      <c r="AX28" s="3849"/>
      <c r="AY28" s="3849"/>
      <c r="AZ28" s="3849"/>
      <c r="BA28" s="3849"/>
      <c r="BB28" s="3849"/>
      <c r="BC28" s="3849"/>
      <c r="BD28" s="3849"/>
      <c r="BE28" s="3849"/>
      <c r="BF28" s="3849"/>
      <c r="BG28" s="3849"/>
      <c r="BH28" s="3849"/>
      <c r="BI28" s="3849"/>
      <c r="BJ28" s="3849"/>
      <c r="BK28" s="3849"/>
      <c r="BL28" s="3849"/>
      <c r="BM28" s="3849"/>
      <c r="BN28" s="3849"/>
      <c r="BO28" s="3849"/>
      <c r="BP28" s="3849"/>
      <c r="BQ28" s="3849"/>
      <c r="BR28" s="679"/>
      <c r="BY28" s="1325">
        <v>0</v>
      </c>
    </row>
    <row r="29" s="9344" customFormat="1" ht="25.5" hidden="1"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3856" t="str">
        <f>IF(TITLE_NAME_OR_PR_CHANGE="",IF(TITLE_NAME_OR_PR="","",TITLE_NAME_OR_PR),TITLE_NAME_OR_PR_CHANGE)</f>
        <v/>
      </c>
      <c r="AM29" s="3856"/>
      <c r="AN29" s="3856"/>
      <c r="AO29" s="3856"/>
      <c r="AP29" s="3856"/>
      <c r="AQ29" s="3856"/>
      <c r="AR29" s="3856"/>
      <c r="AS29" s="3649"/>
      <c r="AT29" s="3856" t="str">
        <f>IF(TITLE_NAME_OR_PR_CHANGE="",IF(TITLE_NAME_OR_PR="","",TITLE_NAME_OR_PR),TITLE_NAME_OR_PR_CHANGE)</f>
        <v/>
      </c>
      <c r="AU29" s="3856"/>
      <c r="AV29" s="3856"/>
      <c r="AW29" s="3856"/>
      <c r="AX29" s="3856"/>
      <c r="AY29" s="3856"/>
      <c r="AZ29" s="3856"/>
      <c r="BA29" s="3649"/>
      <c r="BB29" s="3856" t="str">
        <f>IF(TITLE_NAME_OR_PR_CHANGE="",IF(TITLE_NAME_OR_PR="","",TITLE_NAME_OR_PR),TITLE_NAME_OR_PR_CHANGE)</f>
        <v/>
      </c>
      <c r="BC29" s="3856"/>
      <c r="BD29" s="3856"/>
      <c r="BE29" s="3856"/>
      <c r="BF29" s="3856"/>
      <c r="BG29" s="3856"/>
      <c r="BH29" s="3856"/>
      <c r="BI29" s="3649"/>
      <c r="BJ29" s="3856" t="str">
        <f>IF(TITLE_NAME_OR_PR_CHANGE="",IF(TITLE_NAME_OR_PR="","",TITLE_NAME_OR_PR),TITLE_NAME_OR_PR_CHANGE)</f>
        <v/>
      </c>
      <c r="BK29" s="3856"/>
      <c r="BL29" s="3856"/>
      <c r="BM29" s="3856"/>
      <c r="BN29" s="3856"/>
      <c r="BO29" s="3856"/>
      <c r="BP29" s="3856"/>
      <c r="BQ29" s="3649"/>
      <c r="BR29" s="496"/>
      <c r="BS29" s="450"/>
      <c r="BT29" s="538"/>
      <c r="BU29" s="538"/>
      <c r="BV29" s="538"/>
      <c r="BW29" s="538"/>
      <c r="BX29" s="538"/>
      <c r="BY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45646</v>
      </c>
      <c r="W30" s="2434"/>
      <c r="X30" s="2434"/>
      <c r="Y30" s="2434"/>
      <c r="Z30" s="2434"/>
      <c r="AA30" s="2434"/>
      <c r="AB30" s="2434"/>
      <c r="AC30" s="496"/>
      <c r="AD30" s="2434" t="str">
        <f>IF(TITLE_DATE_PR_CHANGE="",IF(TITLE_DATE_PR="","",TITLE_DATE_PR),TITLE_DATE_PR_CHANGE)</f>
        <v>45646</v>
      </c>
      <c r="AE30" s="2434"/>
      <c r="AF30" s="2434"/>
      <c r="AG30" s="2434"/>
      <c r="AH30" s="2434"/>
      <c r="AI30" s="2434"/>
      <c r="AJ30" s="2434"/>
      <c r="AK30" s="496"/>
      <c r="AL30" s="3861" t="str">
        <f>IF(TITLE_DATE_PR_CHANGE="",IF(TITLE_DATE_PR="","",TITLE_DATE_PR),TITLE_DATE_PR_CHANGE)</f>
        <v>45646</v>
      </c>
      <c r="AM30" s="3861"/>
      <c r="AN30" s="3861"/>
      <c r="AO30" s="3861"/>
      <c r="AP30" s="3861"/>
      <c r="AQ30" s="3861"/>
      <c r="AR30" s="3861"/>
      <c r="AS30" s="3649"/>
      <c r="AT30" s="3861" t="str">
        <f>IF(TITLE_DATE_PR_CHANGE="",IF(TITLE_DATE_PR="","",TITLE_DATE_PR),TITLE_DATE_PR_CHANGE)</f>
        <v>45646</v>
      </c>
      <c r="AU30" s="3861"/>
      <c r="AV30" s="3861"/>
      <c r="AW30" s="3861"/>
      <c r="AX30" s="3861"/>
      <c r="AY30" s="3861"/>
      <c r="AZ30" s="3861"/>
      <c r="BA30" s="3649"/>
      <c r="BB30" s="3861" t="str">
        <f>IF(TITLE_DATE_PR_CHANGE="",IF(TITLE_DATE_PR="","",TITLE_DATE_PR),TITLE_DATE_PR_CHANGE)</f>
        <v>45646</v>
      </c>
      <c r="BC30" s="3861"/>
      <c r="BD30" s="3861"/>
      <c r="BE30" s="3861"/>
      <c r="BF30" s="3861"/>
      <c r="BG30" s="3861"/>
      <c r="BH30" s="3861"/>
      <c r="BI30" s="3649"/>
      <c r="BJ30" s="3861" t="str">
        <f>IF(TITLE_DATE_PR_CHANGE="",IF(TITLE_DATE_PR="","",TITLE_DATE_PR),TITLE_DATE_PR_CHANGE)</f>
        <v>45646</v>
      </c>
      <c r="BK30" s="3861"/>
      <c r="BL30" s="3861"/>
      <c r="BM30" s="3861"/>
      <c r="BN30" s="3861"/>
      <c r="BO30" s="3861"/>
      <c r="BP30" s="3861"/>
      <c r="BQ30" s="3649"/>
      <c r="BR30" s="496"/>
      <c r="BS30" s="450"/>
      <c r="BT30" s="538"/>
      <c r="BU30" s="538"/>
      <c r="BV30" s="538"/>
      <c r="BW30" s="538"/>
      <c r="BX30" s="538"/>
      <c r="BY30" s="588">
        <v>0</v>
      </c>
    </row>
    <row r="31" s="9344" customFormat="1" ht="18.75" hidden="1"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ДГК-01.1/22560</v>
      </c>
      <c r="W31" s="2421"/>
      <c r="X31" s="2421"/>
      <c r="Y31" s="2421"/>
      <c r="Z31" s="2421"/>
      <c r="AA31" s="2421"/>
      <c r="AB31" s="2421"/>
      <c r="AC31" s="496"/>
      <c r="AD31" s="2421" t="str">
        <f>IF(TITLE_NUMBER_PR_CHANGE="",IF(TITLE_NUMBER_PR="","",TITLE_NUMBER_PR),TITLE_NUMBER_PR_CHANGE)</f>
        <v>ДГК-01.1/22560</v>
      </c>
      <c r="AE31" s="2421"/>
      <c r="AF31" s="2421"/>
      <c r="AG31" s="2421"/>
      <c r="AH31" s="2421"/>
      <c r="AI31" s="2421"/>
      <c r="AJ31" s="2421"/>
      <c r="AK31" s="496"/>
      <c r="AL31" s="3856" t="str">
        <f>IF(TITLE_NUMBER_PR_CHANGE="",IF(TITLE_NUMBER_PR="","",TITLE_NUMBER_PR),TITLE_NUMBER_PR_CHANGE)</f>
        <v>ДГК-01.1/22560</v>
      </c>
      <c r="AM31" s="3856"/>
      <c r="AN31" s="3856"/>
      <c r="AO31" s="3856"/>
      <c r="AP31" s="3856"/>
      <c r="AQ31" s="3856"/>
      <c r="AR31" s="3856"/>
      <c r="AS31" s="3649"/>
      <c r="AT31" s="3856" t="str">
        <f>IF(TITLE_NUMBER_PR_CHANGE="",IF(TITLE_NUMBER_PR="","",TITLE_NUMBER_PR),TITLE_NUMBER_PR_CHANGE)</f>
        <v>ДГК-01.1/22560</v>
      </c>
      <c r="AU31" s="3856"/>
      <c r="AV31" s="3856"/>
      <c r="AW31" s="3856"/>
      <c r="AX31" s="3856"/>
      <c r="AY31" s="3856"/>
      <c r="AZ31" s="3856"/>
      <c r="BA31" s="3649"/>
      <c r="BB31" s="3856" t="str">
        <f>IF(TITLE_NUMBER_PR_CHANGE="",IF(TITLE_NUMBER_PR="","",TITLE_NUMBER_PR),TITLE_NUMBER_PR_CHANGE)</f>
        <v>ДГК-01.1/22560</v>
      </c>
      <c r="BC31" s="3856"/>
      <c r="BD31" s="3856"/>
      <c r="BE31" s="3856"/>
      <c r="BF31" s="3856"/>
      <c r="BG31" s="3856"/>
      <c r="BH31" s="3856"/>
      <c r="BI31" s="3649"/>
      <c r="BJ31" s="3856" t="str">
        <f>IF(TITLE_NUMBER_PR_CHANGE="",IF(TITLE_NUMBER_PR="","",TITLE_NUMBER_PR),TITLE_NUMBER_PR_CHANGE)</f>
        <v>ДГК-01.1/22560</v>
      </c>
      <c r="BK31" s="3856"/>
      <c r="BL31" s="3856"/>
      <c r="BM31" s="3856"/>
      <c r="BN31" s="3856"/>
      <c r="BO31" s="3856"/>
      <c r="BP31" s="3856"/>
      <c r="BQ31" s="3649"/>
      <c r="BR31" s="496"/>
      <c r="BS31" s="450"/>
      <c r="BT31" s="538"/>
      <c r="BU31" s="538"/>
      <c r="BV31" s="538"/>
      <c r="BW31" s="538"/>
      <c r="BX31" s="538"/>
      <c r="BY31" s="588">
        <v>0</v>
      </c>
    </row>
    <row r="32" s="9344" customFormat="1" ht="18.75" hidden="1" customHeight="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3856" t="str">
        <f>IF(TITLE_IST_PUB_CHANGE="",IF(TITLE_IST_PUB="","",TITLE_IST_PUB),TITLE_IST_PUB_CHANGE)</f>
        <v/>
      </c>
      <c r="AM32" s="3856"/>
      <c r="AN32" s="3856"/>
      <c r="AO32" s="3856"/>
      <c r="AP32" s="3856"/>
      <c r="AQ32" s="3856"/>
      <c r="AR32" s="3856"/>
      <c r="AS32" s="3649"/>
      <c r="AT32" s="3856" t="str">
        <f>IF(TITLE_IST_PUB_CHANGE="",IF(TITLE_IST_PUB="","",TITLE_IST_PUB),TITLE_IST_PUB_CHANGE)</f>
        <v/>
      </c>
      <c r="AU32" s="3856"/>
      <c r="AV32" s="3856"/>
      <c r="AW32" s="3856"/>
      <c r="AX32" s="3856"/>
      <c r="AY32" s="3856"/>
      <c r="AZ32" s="3856"/>
      <c r="BA32" s="3649"/>
      <c r="BB32" s="3856" t="str">
        <f>IF(TITLE_IST_PUB_CHANGE="",IF(TITLE_IST_PUB="","",TITLE_IST_PUB),TITLE_IST_PUB_CHANGE)</f>
        <v/>
      </c>
      <c r="BC32" s="3856"/>
      <c r="BD32" s="3856"/>
      <c r="BE32" s="3856"/>
      <c r="BF32" s="3856"/>
      <c r="BG32" s="3856"/>
      <c r="BH32" s="3856"/>
      <c r="BI32" s="3649"/>
      <c r="BJ32" s="3856" t="str">
        <f>IF(TITLE_IST_PUB_CHANGE="",IF(TITLE_IST_PUB="","",TITLE_IST_PUB),TITLE_IST_PUB_CHANGE)</f>
        <v/>
      </c>
      <c r="BK32" s="3856"/>
      <c r="BL32" s="3856"/>
      <c r="BM32" s="3856"/>
      <c r="BN32" s="3856"/>
      <c r="BO32" s="3856"/>
      <c r="BP32" s="3856"/>
      <c r="BQ32" s="3649"/>
      <c r="BR32" s="496"/>
      <c r="BS32" s="450"/>
      <c r="BT32" s="538"/>
      <c r="BU32" s="538"/>
      <c r="BV32" s="538"/>
      <c r="BW32" s="538"/>
      <c r="BX32" s="538"/>
      <c r="BY32" s="588">
        <v>0</v>
      </c>
    </row>
    <row r="33" ht="14.25"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3849"/>
      <c r="AM33" s="3849"/>
      <c r="AN33" s="3849"/>
      <c r="AO33" s="3849"/>
      <c r="AP33" s="3849"/>
      <c r="AQ33" s="3849"/>
      <c r="AR33" s="3849"/>
      <c r="AS33" s="3849"/>
      <c r="AT33" s="3849"/>
      <c r="AU33" s="3849"/>
      <c r="AV33" s="3849"/>
      <c r="AW33" s="3849"/>
      <c r="AX33" s="3849"/>
      <c r="AY33" s="3849"/>
      <c r="AZ33" s="3849"/>
      <c r="BA33" s="3849"/>
      <c r="BB33" s="3849"/>
      <c r="BC33" s="3849"/>
      <c r="BD33" s="3849"/>
      <c r="BE33" s="3849"/>
      <c r="BF33" s="3849"/>
      <c r="BG33" s="3849"/>
      <c r="BH33" s="3849"/>
      <c r="BI33" s="3849"/>
      <c r="BJ33" s="3849"/>
      <c r="BK33" s="3849"/>
      <c r="BL33" s="3849"/>
      <c r="BM33" s="3849"/>
      <c r="BN33" s="3849"/>
      <c r="BO33" s="3849"/>
      <c r="BP33" s="3849"/>
      <c r="BQ33" s="3849"/>
      <c r="BR33" s="679"/>
      <c r="BY33" s="1325">
        <v>0</v>
      </c>
    </row>
    <row r="34" s="9344" customFormat="1" ht="18.75"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45646</v>
      </c>
      <c r="W34" s="2434"/>
      <c r="X34" s="2434"/>
      <c r="Y34" s="2434"/>
      <c r="Z34" s="2434"/>
      <c r="AA34" s="2434"/>
      <c r="AB34" s="2434"/>
      <c r="AC34" s="496"/>
      <c r="AD34" s="2434" t="str">
        <f>IF(TITLE_DATE_PR_CHANGE="",IF(TITLE_DATE_PR="","",TITLE_DATE_PR),TITLE_DATE_PR_CHANGE)</f>
        <v>45646</v>
      </c>
      <c r="AE34" s="2434"/>
      <c r="AF34" s="2434"/>
      <c r="AG34" s="2434"/>
      <c r="AH34" s="2434"/>
      <c r="AI34" s="2434"/>
      <c r="AJ34" s="2434"/>
      <c r="AK34" s="496"/>
      <c r="AL34" s="3861" t="str">
        <f>IF(TITLE_DATE_PR_CHANGE="",IF(TITLE_DATE_PR="","",TITLE_DATE_PR),TITLE_DATE_PR_CHANGE)</f>
        <v>45646</v>
      </c>
      <c r="AM34" s="3861"/>
      <c r="AN34" s="3861"/>
      <c r="AO34" s="3861"/>
      <c r="AP34" s="3861"/>
      <c r="AQ34" s="3861"/>
      <c r="AR34" s="3861"/>
      <c r="AS34" s="3649"/>
      <c r="AT34" s="3861" t="str">
        <f>IF(TITLE_DATE_PR_CHANGE="",IF(TITLE_DATE_PR="","",TITLE_DATE_PR),TITLE_DATE_PR_CHANGE)</f>
        <v>45646</v>
      </c>
      <c r="AU34" s="3861"/>
      <c r="AV34" s="3861"/>
      <c r="AW34" s="3861"/>
      <c r="AX34" s="3861"/>
      <c r="AY34" s="3861"/>
      <c r="AZ34" s="3861"/>
      <c r="BA34" s="3649"/>
      <c r="BB34" s="3861" t="str">
        <f>IF(TITLE_DATE_PR_CHANGE="",IF(TITLE_DATE_PR="","",TITLE_DATE_PR),TITLE_DATE_PR_CHANGE)</f>
        <v>45646</v>
      </c>
      <c r="BC34" s="3861"/>
      <c r="BD34" s="3861"/>
      <c r="BE34" s="3861"/>
      <c r="BF34" s="3861"/>
      <c r="BG34" s="3861"/>
      <c r="BH34" s="3861"/>
      <c r="BI34" s="3649"/>
      <c r="BJ34" s="3861" t="str">
        <f>IF(TITLE_DATE_PR_CHANGE="",IF(TITLE_DATE_PR="","",TITLE_DATE_PR),TITLE_DATE_PR_CHANGE)</f>
        <v>45646</v>
      </c>
      <c r="BK34" s="3861"/>
      <c r="BL34" s="3861"/>
      <c r="BM34" s="3861"/>
      <c r="BN34" s="3861"/>
      <c r="BO34" s="3861"/>
      <c r="BP34" s="3861"/>
      <c r="BQ34" s="3649"/>
      <c r="BR34" s="496"/>
      <c r="BS34" s="450"/>
      <c r="BT34" s="538"/>
      <c r="BU34" s="538"/>
      <c r="BV34" s="538"/>
      <c r="BW34" s="538"/>
      <c r="BX34" s="538"/>
      <c r="BY34" s="588">
        <v>0</v>
      </c>
    </row>
    <row r="35" s="9344" customFormat="1" ht="18.75"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ДГК-01.1/22560</v>
      </c>
      <c r="W35" s="2421"/>
      <c r="X35" s="2421"/>
      <c r="Y35" s="2421"/>
      <c r="Z35" s="2421"/>
      <c r="AA35" s="2421"/>
      <c r="AB35" s="2421"/>
      <c r="AC35" s="496"/>
      <c r="AD35" s="2421" t="str">
        <f>IF(TITLE_NUMBER_PR_CHANGE="",IF(TITLE_NUMBER_PR="","",TITLE_NUMBER_PR),TITLE_NUMBER_PR_CHANGE)</f>
        <v>ДГК-01.1/22560</v>
      </c>
      <c r="AE35" s="2421"/>
      <c r="AF35" s="2421"/>
      <c r="AG35" s="2421"/>
      <c r="AH35" s="2421"/>
      <c r="AI35" s="2421"/>
      <c r="AJ35" s="2421"/>
      <c r="AK35" s="496"/>
      <c r="AL35" s="3856" t="str">
        <f>IF(TITLE_NUMBER_PR_CHANGE="",IF(TITLE_NUMBER_PR="","",TITLE_NUMBER_PR),TITLE_NUMBER_PR_CHANGE)</f>
        <v>ДГК-01.1/22560</v>
      </c>
      <c r="AM35" s="3856"/>
      <c r="AN35" s="3856"/>
      <c r="AO35" s="3856"/>
      <c r="AP35" s="3856"/>
      <c r="AQ35" s="3856"/>
      <c r="AR35" s="3856"/>
      <c r="AS35" s="3649"/>
      <c r="AT35" s="3856" t="str">
        <f>IF(TITLE_NUMBER_PR_CHANGE="",IF(TITLE_NUMBER_PR="","",TITLE_NUMBER_PR),TITLE_NUMBER_PR_CHANGE)</f>
        <v>ДГК-01.1/22560</v>
      </c>
      <c r="AU35" s="3856"/>
      <c r="AV35" s="3856"/>
      <c r="AW35" s="3856"/>
      <c r="AX35" s="3856"/>
      <c r="AY35" s="3856"/>
      <c r="AZ35" s="3856"/>
      <c r="BA35" s="3649"/>
      <c r="BB35" s="3856" t="str">
        <f>IF(TITLE_NUMBER_PR_CHANGE="",IF(TITLE_NUMBER_PR="","",TITLE_NUMBER_PR),TITLE_NUMBER_PR_CHANGE)</f>
        <v>ДГК-01.1/22560</v>
      </c>
      <c r="BC35" s="3856"/>
      <c r="BD35" s="3856"/>
      <c r="BE35" s="3856"/>
      <c r="BF35" s="3856"/>
      <c r="BG35" s="3856"/>
      <c r="BH35" s="3856"/>
      <c r="BI35" s="3649"/>
      <c r="BJ35" s="3856" t="str">
        <f>IF(TITLE_NUMBER_PR_CHANGE="",IF(TITLE_NUMBER_PR="","",TITLE_NUMBER_PR),TITLE_NUMBER_PR_CHANGE)</f>
        <v>ДГК-01.1/22560</v>
      </c>
      <c r="BK35" s="3856"/>
      <c r="BL35" s="3856"/>
      <c r="BM35" s="3856"/>
      <c r="BN35" s="3856"/>
      <c r="BO35" s="3856"/>
      <c r="BP35" s="3856"/>
      <c r="BQ35" s="3649"/>
      <c r="BR35" s="496"/>
      <c r="BS35" s="450"/>
      <c r="BT35" s="538"/>
      <c r="BU35" s="538"/>
      <c r="BV35" s="538"/>
      <c r="BW35" s="538"/>
      <c r="BX35" s="538"/>
      <c r="BY35" s="588">
        <v>0</v>
      </c>
    </row>
    <row r="36" s="9344"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L36" s="3649"/>
      <c r="AM36" s="3649"/>
      <c r="AN36" s="3649"/>
      <c r="AO36" s="3649"/>
      <c r="AP36" s="3649"/>
      <c r="AQ36" s="3649"/>
      <c r="AR36" s="3649"/>
      <c r="AS36" s="3865" t="s">
        <v>431</v>
      </c>
      <c r="AT36" s="3649"/>
      <c r="AU36" s="3649"/>
      <c r="AV36" s="3649"/>
      <c r="AW36" s="3649"/>
      <c r="AX36" s="3649"/>
      <c r="AY36" s="3649"/>
      <c r="AZ36" s="3649"/>
      <c r="BA36" s="3865" t="s">
        <v>431</v>
      </c>
      <c r="BB36" s="3649"/>
      <c r="BC36" s="3649"/>
      <c r="BD36" s="3649"/>
      <c r="BE36" s="3649"/>
      <c r="BF36" s="3649"/>
      <c r="BG36" s="3649"/>
      <c r="BH36" s="3649"/>
      <c r="BI36" s="3865" t="s">
        <v>431</v>
      </c>
      <c r="BJ36" s="3649"/>
      <c r="BK36" s="3649"/>
      <c r="BL36" s="3649"/>
      <c r="BM36" s="3649"/>
      <c r="BN36" s="3649"/>
      <c r="BO36" s="3649"/>
      <c r="BP36" s="3649"/>
      <c r="BQ36" s="3865" t="s">
        <v>431</v>
      </c>
      <c r="BT36" s="538"/>
      <c r="BU36" s="538"/>
      <c r="BV36" s="538"/>
      <c r="BW36" s="538"/>
      <c r="BX36" s="538"/>
      <c r="BY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L37" s="3868" t="s">
        <v>432</v>
      </c>
      <c r="AM37" s="3868"/>
      <c r="AN37" s="3868"/>
      <c r="AO37" s="3868"/>
      <c r="AP37" s="3868"/>
      <c r="AQ37" s="3868"/>
      <c r="AR37" s="3868"/>
      <c r="AS37" s="3868"/>
      <c r="AT37" s="3868" t="s">
        <v>432</v>
      </c>
      <c r="AU37" s="3868"/>
      <c r="AV37" s="3868"/>
      <c r="AW37" s="3868"/>
      <c r="AX37" s="3868"/>
      <c r="AY37" s="3868"/>
      <c r="AZ37" s="3868"/>
      <c r="BA37" s="3868"/>
      <c r="BB37" s="3868" t="s">
        <v>432</v>
      </c>
      <c r="BC37" s="3868"/>
      <c r="BD37" s="3868"/>
      <c r="BE37" s="3868"/>
      <c r="BF37" s="3868"/>
      <c r="BG37" s="3868"/>
      <c r="BH37" s="3868"/>
      <c r="BI37" s="3868"/>
      <c r="BJ37" s="3868" t="s">
        <v>432</v>
      </c>
      <c r="BK37" s="3868"/>
      <c r="BL37" s="3868"/>
      <c r="BM37" s="3868"/>
      <c r="BN37" s="3868"/>
      <c r="BO37" s="3868"/>
      <c r="BP37" s="3868"/>
      <c r="BQ37" s="3868"/>
      <c r="BY37" s="1325">
        <v>14</v>
      </c>
    </row>
    <row r="38" ht="1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3869" t="s">
        <v>307</v>
      </c>
      <c r="AM38" s="3869"/>
      <c r="AN38" s="3869"/>
      <c r="AO38" s="3869"/>
      <c r="AP38" s="3869"/>
      <c r="AQ38" s="3869"/>
      <c r="AR38" s="3869"/>
      <c r="AS38" s="3869"/>
      <c r="AT38" s="3869" t="s">
        <v>307</v>
      </c>
      <c r="AU38" s="3869"/>
      <c r="AV38" s="3869"/>
      <c r="AW38" s="3869"/>
      <c r="AX38" s="3869"/>
      <c r="AY38" s="3869"/>
      <c r="AZ38" s="3869"/>
      <c r="BA38" s="3869"/>
      <c r="BB38" s="3869" t="s">
        <v>307</v>
      </c>
      <c r="BC38" s="3869"/>
      <c r="BD38" s="3869"/>
      <c r="BE38" s="3869"/>
      <c r="BF38" s="3869"/>
      <c r="BG38" s="3869"/>
      <c r="BH38" s="3869"/>
      <c r="BI38" s="3869"/>
      <c r="BJ38" s="3869" t="s">
        <v>307</v>
      </c>
      <c r="BK38" s="3869"/>
      <c r="BL38" s="3869"/>
      <c r="BM38" s="3869"/>
      <c r="BN38" s="3869"/>
      <c r="BO38" s="3869"/>
      <c r="BP38" s="3869"/>
      <c r="BQ38" s="3869"/>
      <c r="BR38" s="2297"/>
      <c r="BS38" s="2297"/>
      <c r="BY38" s="1325"/>
    </row>
    <row r="39" ht="14.65" customHeight="1">
      <c r="Q39" s="546"/>
      <c r="R39" s="546"/>
      <c r="S39" s="2443" t="s">
        <v>89</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3876" t="s">
        <v>434</v>
      </c>
      <c r="AM39" s="3877"/>
      <c r="AN39" s="3877"/>
      <c r="AO39" s="3877"/>
      <c r="AP39" s="3877"/>
      <c r="AQ39" s="3877"/>
      <c r="AR39" s="3878"/>
      <c r="AS39" s="3879" t="s">
        <v>435</v>
      </c>
      <c r="AT39" s="3876" t="s">
        <v>434</v>
      </c>
      <c r="AU39" s="3877"/>
      <c r="AV39" s="3877"/>
      <c r="AW39" s="3877"/>
      <c r="AX39" s="3877"/>
      <c r="AY39" s="3877"/>
      <c r="AZ39" s="3878"/>
      <c r="BA39" s="3879" t="s">
        <v>435</v>
      </c>
      <c r="BB39" s="3876" t="s">
        <v>434</v>
      </c>
      <c r="BC39" s="3877"/>
      <c r="BD39" s="3877"/>
      <c r="BE39" s="3877"/>
      <c r="BF39" s="3877"/>
      <c r="BG39" s="3877"/>
      <c r="BH39" s="3878"/>
      <c r="BI39" s="3879" t="s">
        <v>435</v>
      </c>
      <c r="BJ39" s="3876" t="s">
        <v>434</v>
      </c>
      <c r="BK39" s="3877"/>
      <c r="BL39" s="3877"/>
      <c r="BM39" s="3877"/>
      <c r="BN39" s="3877"/>
      <c r="BO39" s="3877"/>
      <c r="BP39" s="3878"/>
      <c r="BQ39" s="3879" t="s">
        <v>435</v>
      </c>
      <c r="BR39" s="2450" t="s">
        <v>437</v>
      </c>
      <c r="BS39" s="2297"/>
      <c r="BY39" s="1325">
        <v>14</v>
      </c>
    </row>
    <row r="40" ht="35.649999999999999" customHeight="1">
      <c r="Q40" s="546"/>
      <c r="R40" s="546"/>
      <c r="S40" s="2443"/>
      <c r="T40" s="2379"/>
      <c r="U40" s="1201"/>
      <c r="V40" s="2430" t="s">
        <v>438</v>
      </c>
      <c r="W40" s="2453" t="s">
        <v>439</v>
      </c>
      <c r="X40" s="2432" t="s">
        <v>440</v>
      </c>
      <c r="Y40" s="2433"/>
      <c r="Z40" s="2432" t="s">
        <v>455</v>
      </c>
      <c r="AA40" s="2439"/>
      <c r="AB40" s="2433"/>
      <c r="AC40" s="2448"/>
      <c r="AD40" s="2430" t="s">
        <v>438</v>
      </c>
      <c r="AE40" s="2453" t="s">
        <v>439</v>
      </c>
      <c r="AF40" s="2432" t="s">
        <v>440</v>
      </c>
      <c r="AG40" s="2433"/>
      <c r="AH40" s="2432" t="s">
        <v>441</v>
      </c>
      <c r="AI40" s="2439"/>
      <c r="AJ40" s="2433"/>
      <c r="AK40" s="2448"/>
      <c r="AL40" s="3889" t="s">
        <v>438</v>
      </c>
      <c r="AM40" s="3890" t="s">
        <v>439</v>
      </c>
      <c r="AN40" s="3891" t="s">
        <v>440</v>
      </c>
      <c r="AO40" s="3892"/>
      <c r="AP40" s="3891" t="s">
        <v>455</v>
      </c>
      <c r="AQ40" s="3893"/>
      <c r="AR40" s="3892"/>
      <c r="AS40" s="3894"/>
      <c r="AT40" s="3889" t="s">
        <v>438</v>
      </c>
      <c r="AU40" s="3890" t="s">
        <v>439</v>
      </c>
      <c r="AV40" s="3891" t="s">
        <v>440</v>
      </c>
      <c r="AW40" s="3892"/>
      <c r="AX40" s="3891" t="s">
        <v>455</v>
      </c>
      <c r="AY40" s="3893"/>
      <c r="AZ40" s="3892"/>
      <c r="BA40" s="3894"/>
      <c r="BB40" s="3889" t="s">
        <v>438</v>
      </c>
      <c r="BC40" s="3890" t="s">
        <v>439</v>
      </c>
      <c r="BD40" s="3891" t="s">
        <v>440</v>
      </c>
      <c r="BE40" s="3892"/>
      <c r="BF40" s="3891" t="s">
        <v>455</v>
      </c>
      <c r="BG40" s="3893"/>
      <c r="BH40" s="3892"/>
      <c r="BI40" s="3894"/>
      <c r="BJ40" s="3889" t="s">
        <v>438</v>
      </c>
      <c r="BK40" s="3890" t="s">
        <v>439</v>
      </c>
      <c r="BL40" s="3891" t="s">
        <v>440</v>
      </c>
      <c r="BM40" s="3892"/>
      <c r="BN40" s="3891" t="s">
        <v>455</v>
      </c>
      <c r="BO40" s="3893"/>
      <c r="BP40" s="3892"/>
      <c r="BQ40" s="3894"/>
      <c r="BR40" s="2451"/>
      <c r="BS40" s="2297"/>
      <c r="BY40" s="1325">
        <v>34</v>
      </c>
    </row>
    <row r="41" ht="35.649999999999999" customHeight="1">
      <c r="A41" s="1540"/>
      <c r="B41" s="1540" t="s">
        <v>135</v>
      </c>
      <c r="C41" s="1540" t="s">
        <v>136</v>
      </c>
      <c r="D41" s="1540" t="s">
        <v>137</v>
      </c>
      <c r="E41" s="1534" t="s">
        <v>442</v>
      </c>
      <c r="F41" s="1534" t="s">
        <v>443</v>
      </c>
      <c r="G41" s="1534" t="s">
        <v>444</v>
      </c>
      <c r="H41" s="1534" t="s">
        <v>445</v>
      </c>
      <c r="I41" s="1534" t="s">
        <v>446</v>
      </c>
      <c r="J41" s="1534" t="s">
        <v>447</v>
      </c>
      <c r="K41" s="1534" t="s">
        <v>448</v>
      </c>
      <c r="L41" s="1534" t="s">
        <v>422</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3905"/>
      <c r="AM41" s="3906"/>
      <c r="AN41" s="3907" t="s">
        <v>449</v>
      </c>
      <c r="AO41" s="3907" t="s">
        <v>450</v>
      </c>
      <c r="AP41" s="3907" t="s">
        <v>451</v>
      </c>
      <c r="AQ41" s="3908" t="s">
        <v>452</v>
      </c>
      <c r="AR41" s="3909"/>
      <c r="AS41" s="3910"/>
      <c r="AT41" s="3905"/>
      <c r="AU41" s="3906"/>
      <c r="AV41" s="3907" t="s">
        <v>449</v>
      </c>
      <c r="AW41" s="3907" t="s">
        <v>450</v>
      </c>
      <c r="AX41" s="3907" t="s">
        <v>451</v>
      </c>
      <c r="AY41" s="3908" t="s">
        <v>452</v>
      </c>
      <c r="AZ41" s="3909"/>
      <c r="BA41" s="3910"/>
      <c r="BB41" s="3905"/>
      <c r="BC41" s="3906"/>
      <c r="BD41" s="3907" t="s">
        <v>449</v>
      </c>
      <c r="BE41" s="3907" t="s">
        <v>450</v>
      </c>
      <c r="BF41" s="3907" t="s">
        <v>451</v>
      </c>
      <c r="BG41" s="3908" t="s">
        <v>452</v>
      </c>
      <c r="BH41" s="3909"/>
      <c r="BI41" s="3910"/>
      <c r="BJ41" s="3905"/>
      <c r="BK41" s="3906"/>
      <c r="BL41" s="3907" t="s">
        <v>449</v>
      </c>
      <c r="BM41" s="3907" t="s">
        <v>450</v>
      </c>
      <c r="BN41" s="3907" t="s">
        <v>451</v>
      </c>
      <c r="BO41" s="3908" t="s">
        <v>452</v>
      </c>
      <c r="BP41" s="3909"/>
      <c r="BQ41" s="3910"/>
      <c r="BR41" s="2452"/>
      <c r="BS41" s="2297"/>
      <c r="BY41" s="1325">
        <v>34</v>
      </c>
    </row>
    <row r="42" s="9831"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3921">
        <f>OFFSET(AL42,0,-1)+1</f>
        <v>6</v>
      </c>
      <c r="AM42" s="3921"/>
      <c r="AN42" s="3921">
        <f>OFFSET(AN42,0,-1)+1</f>
        <v>1</v>
      </c>
      <c r="AO42" s="3921">
        <f>OFFSET(AO42,0,-1)+1</f>
        <v>2</v>
      </c>
      <c r="AP42" s="3921">
        <f>OFFSET(AP42,0,-1)+1</f>
        <v>3</v>
      </c>
      <c r="AQ42" s="3921">
        <f>OFFSET(AQ42,0,-1)+1</f>
        <v>4</v>
      </c>
      <c r="AR42" s="3921"/>
      <c r="AS42" s="3921">
        <f>OFFSET(AS42,0,-2)+1</f>
        <v>5</v>
      </c>
      <c r="AT42" s="3921">
        <f>OFFSET(AT42,0,-1)+1</f>
        <v>6</v>
      </c>
      <c r="AU42" s="3921"/>
      <c r="AV42" s="3921">
        <f>OFFSET(AV42,0,-1)+1</f>
        <v>1</v>
      </c>
      <c r="AW42" s="3921">
        <f>OFFSET(AW42,0,-1)+1</f>
        <v>2</v>
      </c>
      <c r="AX42" s="3921">
        <f>OFFSET(AX42,0,-1)+1</f>
        <v>3</v>
      </c>
      <c r="AY42" s="3921">
        <f>OFFSET(AY42,0,-1)+1</f>
        <v>4</v>
      </c>
      <c r="AZ42" s="3921"/>
      <c r="BA42" s="3921">
        <f>OFFSET(BA42,0,-2)+1</f>
        <v>5</v>
      </c>
      <c r="BB42" s="3921">
        <f>OFFSET(BB42,0,-1)+1</f>
        <v>6</v>
      </c>
      <c r="BC42" s="3921"/>
      <c r="BD42" s="3921">
        <f>OFFSET(BD42,0,-1)+1</f>
        <v>1</v>
      </c>
      <c r="BE42" s="3921">
        <f>OFFSET(BE42,0,-1)+1</f>
        <v>2</v>
      </c>
      <c r="BF42" s="3921">
        <f>OFFSET(BF42,0,-1)+1</f>
        <v>3</v>
      </c>
      <c r="BG42" s="3921">
        <f>OFFSET(BG42,0,-1)+1</f>
        <v>4</v>
      </c>
      <c r="BH42" s="3921"/>
      <c r="BI42" s="3921">
        <f>OFFSET(BI42,0,-2)+1</f>
        <v>5</v>
      </c>
      <c r="BJ42" s="3921">
        <f>OFFSET(BJ42,0,-1)+1</f>
        <v>6</v>
      </c>
      <c r="BK42" s="3921"/>
      <c r="BL42" s="3921">
        <f>OFFSET(BL42,0,-1)+1</f>
        <v>1</v>
      </c>
      <c r="BM42" s="3921">
        <f>OFFSET(BM42,0,-1)+1</f>
        <v>2</v>
      </c>
      <c r="BN42" s="3921">
        <f>OFFSET(BN42,0,-1)+1</f>
        <v>3</v>
      </c>
      <c r="BO42" s="3921">
        <f>OFFSET(BO42,0,-1)+1</f>
        <v>4</v>
      </c>
      <c r="BP42" s="3921"/>
      <c r="BQ42" s="3921">
        <f>OFFSET(BQ42,0,-2)+1</f>
        <v>5</v>
      </c>
      <c r="BR42" s="1415">
        <f>OFFSET(BR42,0,-1)</f>
        <v>5</v>
      </c>
      <c r="BS42" s="1505">
        <f>OFFSET(BS42,0,-1)+1</f>
        <v>6</v>
      </c>
      <c r="BT42" s="681"/>
      <c r="BU42" s="681"/>
      <c r="BV42" s="681"/>
      <c r="BW42" s="681"/>
      <c r="BX42" s="681"/>
      <c r="BY42" s="666">
        <v>0</v>
      </c>
    </row>
    <row r="43" ht="22" customHeight="1">
      <c r="A43" s="1533" t="s">
        <v>171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1</v>
      </c>
      <c r="T43" s="468" t="s">
        <v>123</v>
      </c>
      <c r="U43" s="470"/>
      <c r="V43" s="2412"/>
      <c r="W43" s="2413"/>
      <c r="X43" s="2413"/>
      <c r="Y43" s="2413"/>
      <c r="Z43" s="2413"/>
      <c r="AA43" s="2413"/>
      <c r="AB43" s="2413"/>
      <c r="AC43" s="2414"/>
      <c r="AD43" s="2412" t="str">
        <f>INDEX(PT_DIFFERENTIATION_NTAR,MATCH(A43,PT_DIFFERENTIATION_NTAR_ID,0))</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AE43" s="2413"/>
      <c r="AF43" s="2413"/>
      <c r="AG43" s="2413"/>
      <c r="AH43" s="2413"/>
      <c r="AI43" s="2413"/>
      <c r="AJ43" s="2413"/>
      <c r="AK43" s="2413"/>
      <c r="AL43" s="3663"/>
      <c r="AM43" s="3664"/>
      <c r="AN43" s="3664"/>
      <c r="AO43" s="3664"/>
      <c r="AP43" s="3664"/>
      <c r="AQ43" s="3664"/>
      <c r="AR43" s="3664"/>
      <c r="AS43" s="3665"/>
      <c r="AT43" s="3663"/>
      <c r="AU43" s="3664"/>
      <c r="AV43" s="3664"/>
      <c r="AW43" s="3664"/>
      <c r="AX43" s="3664"/>
      <c r="AY43" s="3664"/>
      <c r="AZ43" s="3664"/>
      <c r="BA43" s="3665"/>
      <c r="BB43" s="3663"/>
      <c r="BC43" s="3664"/>
      <c r="BD43" s="3664"/>
      <c r="BE43" s="3664"/>
      <c r="BF43" s="3664"/>
      <c r="BG43" s="3664"/>
      <c r="BH43" s="3664"/>
      <c r="BI43" s="3665"/>
      <c r="BJ43" s="3663"/>
      <c r="BK43" s="3664"/>
      <c r="BL43" s="3664"/>
      <c r="BM43" s="3664"/>
      <c r="BN43" s="3664"/>
      <c r="BO43" s="3664"/>
      <c r="BP43" s="3664"/>
      <c r="BQ43" s="3665"/>
      <c r="BR43" s="2414"/>
      <c r="BS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U43" s="670"/>
      <c r="BV43" s="670" t="str">
        <f>IF(T43="","",T43)</f>
        <v xml:space="preserve">Наименование тарифа</v>
      </c>
      <c r="BW43" s="670"/>
      <c r="BX43" s="670"/>
      <c r="BY43" s="1325">
        <v>21</v>
      </c>
    </row>
    <row r="44" ht="22" customHeight="1">
      <c r="A44" s="1533" t="s">
        <v>171</v>
      </c>
      <c r="B44" s="1533" t="s">
        <v>172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1.1</v>
      </c>
      <c r="T44" s="478" t="s">
        <v>404</v>
      </c>
      <c r="U44" s="470"/>
      <c r="V44" s="2412"/>
      <c r="W44" s="2413"/>
      <c r="X44" s="2413"/>
      <c r="Y44" s="2413"/>
      <c r="Z44" s="2413"/>
      <c r="AA44" s="2413"/>
      <c r="AB44" s="2413"/>
      <c r="AC44" s="2414"/>
      <c r="AD44" s="2412" t="str">
        <f>INDEX(PT_DIFFERENTIATION_TER,MATCH(B44,PT_DIFFERENTIATION_TER_ID,0))</f>
        <v xml:space="preserve">Территория 1</v>
      </c>
      <c r="AE44" s="2413"/>
      <c r="AF44" s="2413"/>
      <c r="AG44" s="2413"/>
      <c r="AH44" s="2413"/>
      <c r="AI44" s="2413"/>
      <c r="AJ44" s="2413"/>
      <c r="AK44" s="2413"/>
      <c r="AL44" s="3663"/>
      <c r="AM44" s="3664"/>
      <c r="AN44" s="3664"/>
      <c r="AO44" s="3664"/>
      <c r="AP44" s="3664"/>
      <c r="AQ44" s="3664"/>
      <c r="AR44" s="3664"/>
      <c r="AS44" s="3665"/>
      <c r="AT44" s="3663"/>
      <c r="AU44" s="3664"/>
      <c r="AV44" s="3664"/>
      <c r="AW44" s="3664"/>
      <c r="AX44" s="3664"/>
      <c r="AY44" s="3664"/>
      <c r="AZ44" s="3664"/>
      <c r="BA44" s="3665"/>
      <c r="BB44" s="3663"/>
      <c r="BC44" s="3664"/>
      <c r="BD44" s="3664"/>
      <c r="BE44" s="3664"/>
      <c r="BF44" s="3664"/>
      <c r="BG44" s="3664"/>
      <c r="BH44" s="3664"/>
      <c r="BI44" s="3665"/>
      <c r="BJ44" s="3663"/>
      <c r="BK44" s="3664"/>
      <c r="BL44" s="3664"/>
      <c r="BM44" s="3664"/>
      <c r="BN44" s="3664"/>
      <c r="BO44" s="3664"/>
      <c r="BP44" s="3664"/>
      <c r="BQ44" s="3665"/>
      <c r="BR44" s="2414"/>
      <c r="BS44" s="1428" t="s">
        <v>405</v>
      </c>
      <c r="BU44" s="670"/>
      <c r="BV44" s="670" t="str">
        <f>IF(T44="","",T44)</f>
        <v xml:space="preserve">Территория действия тарифа</v>
      </c>
      <c r="BW44" s="670"/>
      <c r="BX44" s="670"/>
      <c r="BY44" s="1325">
        <v>21</v>
      </c>
    </row>
    <row r="45" ht="24" customHeight="1">
      <c r="A45" s="1533" t="s">
        <v>171</v>
      </c>
      <c r="B45" s="1533" t="s">
        <v>172</v>
      </c>
      <c r="C45" s="1533" t="s">
        <v>173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1.1.1</v>
      </c>
      <c r="T45" s="479" t="s">
        <v>406</v>
      </c>
      <c r="U45" s="470"/>
      <c r="V45" s="2412"/>
      <c r="W45" s="2413"/>
      <c r="X45" s="2413"/>
      <c r="Y45" s="2413"/>
      <c r="Z45" s="2413"/>
      <c r="AA45" s="2413"/>
      <c r="AB45" s="2413"/>
      <c r="AC45" s="2414"/>
      <c r="AD45" s="2412" t="str">
        <f>INDEX(PT_DIFFERENTIATION_CS,MATCH(C45,PT_DIFFERENTIATION_CS_ID,0))</f>
        <v xml:space="preserve">без дифференциации</v>
      </c>
      <c r="AE45" s="2413"/>
      <c r="AF45" s="2413"/>
      <c r="AG45" s="2413"/>
      <c r="AH45" s="2413"/>
      <c r="AI45" s="2413"/>
      <c r="AJ45" s="2413"/>
      <c r="AK45" s="2413"/>
      <c r="AL45" s="3663"/>
      <c r="AM45" s="3664"/>
      <c r="AN45" s="3664"/>
      <c r="AO45" s="3664"/>
      <c r="AP45" s="3664"/>
      <c r="AQ45" s="3664"/>
      <c r="AR45" s="3664"/>
      <c r="AS45" s="3665"/>
      <c r="AT45" s="3663"/>
      <c r="AU45" s="3664"/>
      <c r="AV45" s="3664"/>
      <c r="AW45" s="3664"/>
      <c r="AX45" s="3664"/>
      <c r="AY45" s="3664"/>
      <c r="AZ45" s="3664"/>
      <c r="BA45" s="3665"/>
      <c r="BB45" s="3663"/>
      <c r="BC45" s="3664"/>
      <c r="BD45" s="3664"/>
      <c r="BE45" s="3664"/>
      <c r="BF45" s="3664"/>
      <c r="BG45" s="3664"/>
      <c r="BH45" s="3664"/>
      <c r="BI45" s="3665"/>
      <c r="BJ45" s="3663"/>
      <c r="BK45" s="3664"/>
      <c r="BL45" s="3664"/>
      <c r="BM45" s="3664"/>
      <c r="BN45" s="3664"/>
      <c r="BO45" s="3664"/>
      <c r="BP45" s="3664"/>
      <c r="BQ45" s="3665"/>
      <c r="BR45" s="2414"/>
      <c r="BS45" s="1428" t="s">
        <v>407</v>
      </c>
      <c r="BU45" s="670"/>
      <c r="BV45" s="670" t="str">
        <f>IF(T45="","",T45)</f>
        <v xml:space="preserve">Наименование системы теплоснабжения</v>
      </c>
      <c r="BW45" s="670"/>
      <c r="BX45" s="670"/>
      <c r="BY45" s="1325">
        <v>23</v>
      </c>
    </row>
    <row r="46" ht="22" customHeight="1">
      <c r="A46" s="1533" t="s">
        <v>171</v>
      </c>
      <c r="B46" s="1533" t="s">
        <v>172</v>
      </c>
      <c r="C46" s="1533" t="s">
        <v>173</v>
      </c>
      <c r="D46" s="1533" t="s">
        <v>174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1.1.1.1</v>
      </c>
      <c r="T46" s="480" t="s">
        <v>408</v>
      </c>
      <c r="U46" s="470"/>
      <c r="V46" s="2412"/>
      <c r="W46" s="2413"/>
      <c r="X46" s="2413"/>
      <c r="Y46" s="2413"/>
      <c r="Z46" s="2413"/>
      <c r="AA46" s="2413"/>
      <c r="AB46" s="2413"/>
      <c r="AC46" s="2414"/>
      <c r="AD46" s="2412" t="str">
        <f>INDEX(PT_DIFFERENTIATION_IST_TE,MATCH(D46,PT_DIFFERENTIATION_IST_TE_ID,0))</f>
        <v xml:space="preserve">Биробиджанская ТЭЦ</v>
      </c>
      <c r="AE46" s="2413"/>
      <c r="AF46" s="2413"/>
      <c r="AG46" s="2413"/>
      <c r="AH46" s="2413"/>
      <c r="AI46" s="2413"/>
      <c r="AJ46" s="2413"/>
      <c r="AK46" s="2413"/>
      <c r="AL46" s="3663"/>
      <c r="AM46" s="3664"/>
      <c r="AN46" s="3664"/>
      <c r="AO46" s="3664"/>
      <c r="AP46" s="3664"/>
      <c r="AQ46" s="3664"/>
      <c r="AR46" s="3664"/>
      <c r="AS46" s="3665"/>
      <c r="AT46" s="3663"/>
      <c r="AU46" s="3664"/>
      <c r="AV46" s="3664"/>
      <c r="AW46" s="3664"/>
      <c r="AX46" s="3664"/>
      <c r="AY46" s="3664"/>
      <c r="AZ46" s="3664"/>
      <c r="BA46" s="3665"/>
      <c r="BB46" s="3663"/>
      <c r="BC46" s="3664"/>
      <c r="BD46" s="3664"/>
      <c r="BE46" s="3664"/>
      <c r="BF46" s="3664"/>
      <c r="BG46" s="3664"/>
      <c r="BH46" s="3664"/>
      <c r="BI46" s="3665"/>
      <c r="BJ46" s="3663"/>
      <c r="BK46" s="3664"/>
      <c r="BL46" s="3664"/>
      <c r="BM46" s="3664"/>
      <c r="BN46" s="3664"/>
      <c r="BO46" s="3664"/>
      <c r="BP46" s="3664"/>
      <c r="BQ46" s="3665"/>
      <c r="BR46" s="2414"/>
      <c r="BS46" s="1428" t="s">
        <v>409</v>
      </c>
      <c r="BU46" s="670"/>
      <c r="BV46" s="670" t="str">
        <f>IF(T46="","",T46)</f>
        <v xml:space="preserve">Источник тепловой энергии</v>
      </c>
      <c r="BW46" s="670"/>
      <c r="BX46" s="670"/>
      <c r="BY46" s="1325">
        <v>21</v>
      </c>
    </row>
    <row r="47" ht="49.5" customHeight="1">
      <c r="A47" s="1533" t="s">
        <v>171</v>
      </c>
      <c r="B47" s="1533" t="s">
        <v>172</v>
      </c>
      <c r="C47" s="1533" t="s">
        <v>173</v>
      </c>
      <c r="D47" s="1533" t="s">
        <v>174</v>
      </c>
      <c r="E47" s="2429"/>
      <c r="F47" s="2429"/>
      <c r="G47" s="2429"/>
      <c r="H47" s="2429"/>
      <c r="I47" s="2426" t="str">
        <f>S46&amp;".1"</f>
        <v>1.1.1.1.1</v>
      </c>
      <c r="J47" s="1533"/>
      <c r="K47" s="1533"/>
      <c r="L47" s="1534" t="s">
        <v>410</v>
      </c>
      <c r="P47" s="2427">
        <v>1</v>
      </c>
      <c r="Q47" s="1501"/>
      <c r="R47" s="526"/>
      <c r="S47" s="1506" t="str">
        <f>$I47</f>
        <v>1.1.1.1.1</v>
      </c>
      <c r="T47" s="455" t="s">
        <v>411</v>
      </c>
      <c r="U47" s="470"/>
      <c r="V47" s="2415"/>
      <c r="W47" s="2416"/>
      <c r="X47" s="2416"/>
      <c r="Y47" s="2416"/>
      <c r="Z47" s="2416"/>
      <c r="AA47" s="2416"/>
      <c r="AB47" s="2416"/>
      <c r="AC47" s="2417"/>
      <c r="AD47" s="2415" t="s">
        <v>453</v>
      </c>
      <c r="AE47" s="2416"/>
      <c r="AF47" s="2416"/>
      <c r="AG47" s="2416"/>
      <c r="AH47" s="2416"/>
      <c r="AI47" s="2416"/>
      <c r="AJ47" s="2416"/>
      <c r="AK47" s="2416"/>
      <c r="AL47" s="3684"/>
      <c r="AM47" s="3685"/>
      <c r="AN47" s="3685"/>
      <c r="AO47" s="3685"/>
      <c r="AP47" s="3685"/>
      <c r="AQ47" s="3685"/>
      <c r="AR47" s="3685"/>
      <c r="AS47" s="3686"/>
      <c r="AT47" s="3684"/>
      <c r="AU47" s="3685"/>
      <c r="AV47" s="3685"/>
      <c r="AW47" s="3685"/>
      <c r="AX47" s="3685"/>
      <c r="AY47" s="3685"/>
      <c r="AZ47" s="3685"/>
      <c r="BA47" s="3686"/>
      <c r="BB47" s="3684"/>
      <c r="BC47" s="3685"/>
      <c r="BD47" s="3685"/>
      <c r="BE47" s="3685"/>
      <c r="BF47" s="3685"/>
      <c r="BG47" s="3685"/>
      <c r="BH47" s="3685"/>
      <c r="BI47" s="3686"/>
      <c r="BJ47" s="3684"/>
      <c r="BK47" s="3685"/>
      <c r="BL47" s="3685"/>
      <c r="BM47" s="3685"/>
      <c r="BN47" s="3685"/>
      <c r="BO47" s="3685"/>
      <c r="BP47" s="3685"/>
      <c r="BQ47" s="3686"/>
      <c r="BR47" s="2417"/>
      <c r="BS47" s="1428" t="s">
        <v>412</v>
      </c>
      <c r="BU47" s="670"/>
      <c r="BV47" s="670" t="str">
        <f>IF(T47="","",T47)</f>
        <v xml:space="preserve">Схема подключения теплопотребляющей установки к коллектору источника тепловой энергии</v>
      </c>
      <c r="BW47" s="670"/>
      <c r="BX47" s="670"/>
      <c r="BY47" s="1325">
        <v>47</v>
      </c>
    </row>
    <row r="48" ht="22" customHeight="1">
      <c r="A48" s="1533" t="s">
        <v>171</v>
      </c>
      <c r="B48" s="1533" t="s">
        <v>172</v>
      </c>
      <c r="C48" s="1533" t="s">
        <v>173</v>
      </c>
      <c r="D48" s="1533" t="s">
        <v>174</v>
      </c>
      <c r="E48" s="2429"/>
      <c r="F48" s="2429"/>
      <c r="G48" s="2429"/>
      <c r="H48" s="2429"/>
      <c r="I48" s="2456"/>
      <c r="J48" s="2426" t="str">
        <f>I47&amp;".1"</f>
        <v>1.1.1.1.1.1</v>
      </c>
      <c r="K48" s="1533"/>
      <c r="L48" s="1534" t="s">
        <v>413</v>
      </c>
      <c r="P48" s="2427"/>
      <c r="Q48" s="2427">
        <v>1</v>
      </c>
      <c r="R48" s="527"/>
      <c r="S48" s="1506" t="str">
        <f>$J48</f>
        <v>1.1.1.1.1.1</v>
      </c>
      <c r="T48" s="456" t="s">
        <v>414</v>
      </c>
      <c r="U48" s="470"/>
      <c r="V48" s="2415"/>
      <c r="W48" s="2416"/>
      <c r="X48" s="2416"/>
      <c r="Y48" s="2416"/>
      <c r="Z48" s="2416"/>
      <c r="AA48" s="2416"/>
      <c r="AB48" s="2416"/>
      <c r="AC48" s="2417"/>
      <c r="AD48" s="2415" t="s">
        <v>453</v>
      </c>
      <c r="AE48" s="2416"/>
      <c r="AF48" s="2416"/>
      <c r="AG48" s="2416"/>
      <c r="AH48" s="2416"/>
      <c r="AI48" s="2416"/>
      <c r="AJ48" s="2416"/>
      <c r="AK48" s="2416"/>
      <c r="AL48" s="3684"/>
      <c r="AM48" s="3685"/>
      <c r="AN48" s="3685"/>
      <c r="AO48" s="3685"/>
      <c r="AP48" s="3685"/>
      <c r="AQ48" s="3685"/>
      <c r="AR48" s="3685"/>
      <c r="AS48" s="3686"/>
      <c r="AT48" s="3684"/>
      <c r="AU48" s="3685"/>
      <c r="AV48" s="3685"/>
      <c r="AW48" s="3685"/>
      <c r="AX48" s="3685"/>
      <c r="AY48" s="3685"/>
      <c r="AZ48" s="3685"/>
      <c r="BA48" s="3686"/>
      <c r="BB48" s="3684"/>
      <c r="BC48" s="3685"/>
      <c r="BD48" s="3685"/>
      <c r="BE48" s="3685"/>
      <c r="BF48" s="3685"/>
      <c r="BG48" s="3685"/>
      <c r="BH48" s="3685"/>
      <c r="BI48" s="3686"/>
      <c r="BJ48" s="3684"/>
      <c r="BK48" s="3685"/>
      <c r="BL48" s="3685"/>
      <c r="BM48" s="3685"/>
      <c r="BN48" s="3685"/>
      <c r="BO48" s="3685"/>
      <c r="BP48" s="3685"/>
      <c r="BQ48" s="3686"/>
      <c r="BR48" s="2417"/>
      <c r="BS48" s="1428" t="s">
        <v>415</v>
      </c>
      <c r="BU48" s="670"/>
      <c r="BV48" s="670" t="str">
        <f>IF(T48="","",T48)</f>
        <v xml:space="preserve">Группа потребителей</v>
      </c>
      <c r="BW48" s="670"/>
      <c r="BX48" s="670"/>
      <c r="BY48" s="1325">
        <v>21</v>
      </c>
    </row>
    <row r="49" ht="22" customHeight="1">
      <c r="A49" s="1533" t="s">
        <v>171</v>
      </c>
      <c r="B49" s="1533" t="s">
        <v>172</v>
      </c>
      <c r="C49" s="1533" t="s">
        <v>173</v>
      </c>
      <c r="D49" s="1533" t="s">
        <v>174</v>
      </c>
      <c r="E49" s="2429"/>
      <c r="F49" s="2429"/>
      <c r="G49" s="2429"/>
      <c r="H49" s="2429"/>
      <c r="I49" s="2456"/>
      <c r="J49" s="2456"/>
      <c r="K49" s="2426" t="str">
        <f>J48&amp;".1"</f>
        <v>1.1.1.1.1.1.1</v>
      </c>
      <c r="L49" s="1534" t="s">
        <v>416</v>
      </c>
      <c r="P49" s="2427"/>
      <c r="Q49" s="2427"/>
      <c r="R49" s="527">
        <v>1</v>
      </c>
      <c r="S49" s="1506" t="str">
        <f>$K49</f>
        <v>1.1.1.1.1.1.1</v>
      </c>
      <c r="T49" s="1517" t="s">
        <v>454</v>
      </c>
      <c r="U49" s="470"/>
      <c r="V49" s="921"/>
      <c r="W49" s="495"/>
      <c r="X49" s="921"/>
      <c r="Y49" s="1427"/>
      <c r="Z49" s="2435"/>
      <c r="AA49" s="2277" t="s">
        <v>67</v>
      </c>
      <c r="AB49" s="2435"/>
      <c r="AC49" s="2277" t="s">
        <v>67</v>
      </c>
      <c r="AD49" s="921">
        <v>3989.8800000000001</v>
      </c>
      <c r="AE49" s="495"/>
      <c r="AF49" s="921">
        <v>1241.99</v>
      </c>
      <c r="AG49" s="1427">
        <v>562.44100000000003</v>
      </c>
      <c r="AH49" s="3698">
        <v>45292</v>
      </c>
      <c r="AI49" s="2277" t="s">
        <v>67</v>
      </c>
      <c r="AJ49" s="3925">
        <v>45657</v>
      </c>
      <c r="AK49" s="2277" t="s">
        <v>67</v>
      </c>
      <c r="AL49" s="3695">
        <v>4398.0799999999999</v>
      </c>
      <c r="AM49" s="3696"/>
      <c r="AN49" s="3695">
        <v>1616.49</v>
      </c>
      <c r="AO49" s="3697">
        <v>558.55595000000005</v>
      </c>
      <c r="AP49" s="3698">
        <v>45658</v>
      </c>
      <c r="AQ49" s="3191" t="s">
        <v>67</v>
      </c>
      <c r="AR49" s="3698">
        <v>46022</v>
      </c>
      <c r="AS49" s="3191" t="s">
        <v>67</v>
      </c>
      <c r="AT49" s="3695">
        <v>3039.02</v>
      </c>
      <c r="AU49" s="3696"/>
      <c r="AV49" s="3695">
        <v>1322.3099999999999</v>
      </c>
      <c r="AW49" s="3697">
        <v>317.92399999999998</v>
      </c>
      <c r="AX49" s="3698">
        <v>46023</v>
      </c>
      <c r="AY49" s="3191" t="s">
        <v>67</v>
      </c>
      <c r="AZ49" s="3698">
        <v>46387</v>
      </c>
      <c r="BA49" s="3191" t="s">
        <v>67</v>
      </c>
      <c r="BB49" s="3695">
        <v>3134.8899999999999</v>
      </c>
      <c r="BC49" s="3696"/>
      <c r="BD49" s="3695">
        <v>1364.26</v>
      </c>
      <c r="BE49" s="3697">
        <v>327.089</v>
      </c>
      <c r="BF49" s="3698">
        <v>46388</v>
      </c>
      <c r="BG49" s="3191" t="s">
        <v>67</v>
      </c>
      <c r="BH49" s="3698">
        <v>46752</v>
      </c>
      <c r="BI49" s="3191" t="s">
        <v>67</v>
      </c>
      <c r="BJ49" s="3695">
        <v>3234.1999999999998</v>
      </c>
      <c r="BK49" s="3696"/>
      <c r="BL49" s="3695">
        <v>1407.54</v>
      </c>
      <c r="BM49" s="3697">
        <v>336.60199999999998</v>
      </c>
      <c r="BN49" s="3698">
        <v>46753</v>
      </c>
      <c r="BO49" s="3191" t="s">
        <v>67</v>
      </c>
      <c r="BP49" s="3698">
        <v>47118</v>
      </c>
      <c r="BQ49" s="3191" t="s">
        <v>67</v>
      </c>
      <c r="BR49" s="1518"/>
      <c r="BS49" s="2423" t="s">
        <v>417</v>
      </c>
      <c r="BT49" s="681">
        <f>STRCHECKDATE(V50:BR50)</f>
      </c>
      <c r="BU49" s="670"/>
      <c r="BV49" s="670" t="str">
        <f>IF(T49="","",T49)</f>
        <v>вода</v>
      </c>
      <c r="BW49" s="670"/>
      <c r="BX49" s="670"/>
      <c r="BY49" s="1325">
        <v>21</v>
      </c>
    </row>
    <row r="50" ht="1.05" customHeight="1">
      <c r="A50" s="1533" t="s">
        <v>171</v>
      </c>
      <c r="B50" s="1533" t="s">
        <v>172</v>
      </c>
      <c r="C50" s="1533" t="s">
        <v>173</v>
      </c>
      <c r="D50" s="1533" t="s">
        <v>174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45292-45657</v>
      </c>
      <c r="AH50" s="2436"/>
      <c r="AI50" s="2277"/>
      <c r="AJ50" s="2458"/>
      <c r="AK50" s="2277"/>
      <c r="AL50" s="3696"/>
      <c r="AM50" s="3696"/>
      <c r="AN50" s="3696"/>
      <c r="AO50" s="3703" t="str">
        <f>AP49&amp;"-"&amp;AR49</f>
        <v>45658-46022</v>
      </c>
      <c r="AP50" s="3704"/>
      <c r="AQ50" s="3191"/>
      <c r="AR50" s="3704"/>
      <c r="AS50" s="3191"/>
      <c r="AT50" s="3696"/>
      <c r="AU50" s="3696"/>
      <c r="AV50" s="3696"/>
      <c r="AW50" s="3703" t="str">
        <f>AX49&amp;"-"&amp;AZ49</f>
        <v>46023-46387</v>
      </c>
      <c r="AX50" s="3704"/>
      <c r="AY50" s="3191"/>
      <c r="AZ50" s="3704"/>
      <c r="BA50" s="3191"/>
      <c r="BB50" s="3696"/>
      <c r="BC50" s="3696"/>
      <c r="BD50" s="3696"/>
      <c r="BE50" s="3703" t="str">
        <f>BF49&amp;"-"&amp;BH49</f>
        <v>46388-46752</v>
      </c>
      <c r="BF50" s="3704"/>
      <c r="BG50" s="3191"/>
      <c r="BH50" s="3704"/>
      <c r="BI50" s="3191"/>
      <c r="BJ50" s="3696"/>
      <c r="BK50" s="3696"/>
      <c r="BL50" s="3696"/>
      <c r="BM50" s="3703" t="str">
        <f>BN49&amp;"-"&amp;BP49</f>
        <v>46753-47118</v>
      </c>
      <c r="BN50" s="3704"/>
      <c r="BO50" s="3191"/>
      <c r="BP50" s="3704"/>
      <c r="BQ50" s="3191"/>
      <c r="BR50" s="1519"/>
      <c r="BS50" s="2424"/>
      <c r="BU50" s="670"/>
      <c r="BV50" s="670" t="str">
        <f>IF(T50="","",T50)</f>
        <v/>
      </c>
      <c r="BW50" s="670"/>
      <c r="BX50" s="670"/>
      <c r="BY50" s="1325">
        <v>1</v>
      </c>
    </row>
    <row r="51" ht="11.5" customHeight="1">
      <c r="A51" s="1533" t="s">
        <v>171</v>
      </c>
      <c r="B51" s="1533" t="s">
        <v>172</v>
      </c>
      <c r="C51" s="1533" t="s">
        <v>173</v>
      </c>
      <c r="D51" s="1533" t="s">
        <v>174</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143"/>
      <c r="AM51" s="4144"/>
      <c r="AN51" s="4145"/>
      <c r="AO51" s="4146"/>
      <c r="AP51" s="4147"/>
      <c r="AQ51" s="4148"/>
      <c r="AR51" s="4149"/>
      <c r="AS51" s="4150"/>
      <c r="AT51" s="4151"/>
      <c r="AU51" s="4152"/>
      <c r="AV51" s="4153"/>
      <c r="AW51" s="4154"/>
      <c r="AX51" s="4155"/>
      <c r="AY51" s="4156"/>
      <c r="AZ51" s="4157"/>
      <c r="BA51" s="4158"/>
      <c r="BB51" s="4159"/>
      <c r="BC51" s="4160"/>
      <c r="BD51" s="4161"/>
      <c r="BE51" s="4162"/>
      <c r="BF51" s="4163"/>
      <c r="BG51" s="4164"/>
      <c r="BH51" s="4165"/>
      <c r="BI51" s="4166"/>
      <c r="BJ51" s="4167"/>
      <c r="BK51" s="4168"/>
      <c r="BL51" s="4169"/>
      <c r="BM51" s="4170"/>
      <c r="BN51" s="4171"/>
      <c r="BO51" s="4172"/>
      <c r="BP51" s="4173"/>
      <c r="BQ51" s="4174"/>
      <c r="BR51" s="494"/>
      <c r="BS51" s="2425"/>
      <c r="BU51" s="670"/>
      <c r="BV51" s="670" t="str">
        <f>IF(T51="","",T51)</f>
        <v xml:space="preserve">Добавить вид теплоносителя (параметры теплоносителя)</v>
      </c>
      <c r="BW51" s="670"/>
      <c r="BX51" s="670"/>
      <c r="BY51" s="1325">
        <v>11</v>
      </c>
    </row>
    <row r="52" ht="11.5" customHeight="1">
      <c r="A52" s="1533" t="s">
        <v>171</v>
      </c>
      <c r="B52" s="1533" t="s">
        <v>172</v>
      </c>
      <c r="C52" s="1533" t="s">
        <v>173</v>
      </c>
      <c r="D52" s="1533" t="s">
        <v>174</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4175"/>
      <c r="AM52" s="4176"/>
      <c r="AN52" s="4177"/>
      <c r="AO52" s="4178"/>
      <c r="AP52" s="4179"/>
      <c r="AQ52" s="4180"/>
      <c r="AR52" s="4181"/>
      <c r="AS52" s="4182"/>
      <c r="AT52" s="4183"/>
      <c r="AU52" s="4184"/>
      <c r="AV52" s="4185"/>
      <c r="AW52" s="4186"/>
      <c r="AX52" s="4187"/>
      <c r="AY52" s="4188"/>
      <c r="AZ52" s="4189"/>
      <c r="BA52" s="4190"/>
      <c r="BB52" s="4191"/>
      <c r="BC52" s="4192"/>
      <c r="BD52" s="4193"/>
      <c r="BE52" s="4194"/>
      <c r="BF52" s="4195"/>
      <c r="BG52" s="4196"/>
      <c r="BH52" s="4197"/>
      <c r="BI52" s="4198"/>
      <c r="BJ52" s="4199"/>
      <c r="BK52" s="4200"/>
      <c r="BL52" s="4201"/>
      <c r="BM52" s="4202"/>
      <c r="BN52" s="4203"/>
      <c r="BO52" s="4204"/>
      <c r="BP52" s="4205"/>
      <c r="BQ52" s="4206"/>
      <c r="BR52" s="537"/>
      <c r="BS52" s="473"/>
      <c r="BU52" s="670"/>
      <c r="BV52" s="670" t="str">
        <f>IF(T52="","",T52)</f>
        <v xml:space="preserve">Добавить группу потребителей</v>
      </c>
      <c r="BW52" s="670"/>
      <c r="BX52" s="670"/>
      <c r="BY52" s="1325">
        <v>11</v>
      </c>
    </row>
    <row r="53" ht="14.65" customHeight="1">
      <c r="A53" s="1533" t="s">
        <v>171</v>
      </c>
      <c r="B53" s="1533" t="s">
        <v>172</v>
      </c>
      <c r="C53" s="1533" t="s">
        <v>173</v>
      </c>
      <c r="D53" s="1533" t="s">
        <v>174</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4207"/>
      <c r="AM53" s="4208"/>
      <c r="AN53" s="4209"/>
      <c r="AO53" s="4210"/>
      <c r="AP53" s="4211"/>
      <c r="AQ53" s="4212"/>
      <c r="AR53" s="4213"/>
      <c r="AS53" s="4214"/>
      <c r="AT53" s="4215"/>
      <c r="AU53" s="4216"/>
      <c r="AV53" s="4217"/>
      <c r="AW53" s="4218"/>
      <c r="AX53" s="4219"/>
      <c r="AY53" s="4220"/>
      <c r="AZ53" s="4221"/>
      <c r="BA53" s="4222"/>
      <c r="BB53" s="4223"/>
      <c r="BC53" s="4224"/>
      <c r="BD53" s="4225"/>
      <c r="BE53" s="4226"/>
      <c r="BF53" s="4227"/>
      <c r="BG53" s="4228"/>
      <c r="BH53" s="4229"/>
      <c r="BI53" s="4230"/>
      <c r="BJ53" s="4231"/>
      <c r="BK53" s="4232"/>
      <c r="BL53" s="4233"/>
      <c r="BM53" s="4234"/>
      <c r="BN53" s="4235"/>
      <c r="BO53" s="4236"/>
      <c r="BP53" s="4237"/>
      <c r="BQ53" s="4238"/>
      <c r="BR53" s="537"/>
      <c r="BS53" s="473"/>
      <c r="BU53" s="670"/>
      <c r="BV53" s="670" t="str">
        <f>IF(T53="","",T53)</f>
        <v xml:space="preserve">Добавить схему подключения</v>
      </c>
      <c r="BW53" s="670"/>
      <c r="BX53" s="670"/>
      <c r="BY53" s="1325">
        <v>14</v>
      </c>
    </row>
    <row r="54" s="9218" customFormat="1" ht="1.05" customHeight="1">
      <c r="A54" s="1513" t="s">
        <v>171</v>
      </c>
      <c r="B54" s="1513" t="s">
        <v>172</v>
      </c>
      <c r="C54" s="1513" t="s">
        <v>173</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3824"/>
      <c r="AM54" s="3824"/>
      <c r="AN54" s="3824"/>
      <c r="AO54" s="3824"/>
      <c r="AP54" s="3824"/>
      <c r="AQ54" s="3824"/>
      <c r="AR54" s="3824"/>
      <c r="AS54" s="3824"/>
      <c r="AT54" s="3824"/>
      <c r="AU54" s="3824"/>
      <c r="AV54" s="3824"/>
      <c r="AW54" s="3824"/>
      <c r="AX54" s="3824"/>
      <c r="AY54" s="3824"/>
      <c r="AZ54" s="3824"/>
      <c r="BA54" s="3824"/>
      <c r="BB54" s="3824"/>
      <c r="BC54" s="3824"/>
      <c r="BD54" s="3824"/>
      <c r="BE54" s="3824"/>
      <c r="BF54" s="3824"/>
      <c r="BG54" s="3824"/>
      <c r="BH54" s="3824"/>
      <c r="BI54" s="3824"/>
      <c r="BJ54" s="3824"/>
      <c r="BK54" s="3824"/>
      <c r="BL54" s="3824"/>
      <c r="BM54" s="3824"/>
      <c r="BN54" s="3824"/>
      <c r="BO54" s="3824"/>
      <c r="BP54" s="3824"/>
      <c r="BQ54" s="3824"/>
      <c r="BR54" s="1494"/>
      <c r="BS54" s="1494"/>
      <c r="BU54" s="959"/>
      <c r="BV54" s="959" t="str">
        <f>IF(T54="","",T54)</f>
        <v xml:space="preserve">Добавить источник для дифференциации</v>
      </c>
      <c r="BW54" s="959"/>
      <c r="BX54" s="959"/>
      <c r="BY54" s="688">
        <v>1</v>
      </c>
    </row>
    <row r="55" s="9218" customFormat="1" ht="1.05" customHeight="1">
      <c r="A55" s="1513" t="s">
        <v>171</v>
      </c>
      <c r="B55" s="1513" t="s">
        <v>172</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3824"/>
      <c r="AM55" s="3824"/>
      <c r="AN55" s="3824"/>
      <c r="AO55" s="3824"/>
      <c r="AP55" s="3824"/>
      <c r="AQ55" s="3824"/>
      <c r="AR55" s="3824"/>
      <c r="AS55" s="3824"/>
      <c r="AT55" s="3824"/>
      <c r="AU55" s="3824"/>
      <c r="AV55" s="3824"/>
      <c r="AW55" s="3824"/>
      <c r="AX55" s="3824"/>
      <c r="AY55" s="3824"/>
      <c r="AZ55" s="3824"/>
      <c r="BA55" s="3824"/>
      <c r="BB55" s="3824"/>
      <c r="BC55" s="3824"/>
      <c r="BD55" s="3824"/>
      <c r="BE55" s="3824"/>
      <c r="BF55" s="3824"/>
      <c r="BG55" s="3824"/>
      <c r="BH55" s="3824"/>
      <c r="BI55" s="3824"/>
      <c r="BJ55" s="3824"/>
      <c r="BK55" s="3824"/>
      <c r="BL55" s="3824"/>
      <c r="BM55" s="3824"/>
      <c r="BN55" s="3824"/>
      <c r="BO55" s="3824"/>
      <c r="BP55" s="3824"/>
      <c r="BQ55" s="3824"/>
      <c r="BR55" s="1494"/>
      <c r="BS55" s="1494"/>
      <c r="BU55" s="959"/>
      <c r="BV55" s="959" t="str">
        <f>IF(T55="","",T55)</f>
        <v xml:space="preserve">Добавить централизованную систему для дифференциации</v>
      </c>
      <c r="BW55" s="959"/>
      <c r="BX55" s="959"/>
      <c r="BY55" s="688">
        <v>1</v>
      </c>
    </row>
    <row r="56" s="9218" customFormat="1" ht="1.05" customHeight="1">
      <c r="A56" s="1513" t="s">
        <v>171</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3824"/>
      <c r="AM56" s="3824"/>
      <c r="AN56" s="3824"/>
      <c r="AO56" s="3824"/>
      <c r="AP56" s="3824"/>
      <c r="AQ56" s="3824"/>
      <c r="AR56" s="3824"/>
      <c r="AS56" s="3824"/>
      <c r="AT56" s="3824"/>
      <c r="AU56" s="3824"/>
      <c r="AV56" s="3824"/>
      <c r="AW56" s="3824"/>
      <c r="AX56" s="3824"/>
      <c r="AY56" s="3824"/>
      <c r="AZ56" s="3824"/>
      <c r="BA56" s="3824"/>
      <c r="BB56" s="3824"/>
      <c r="BC56" s="3824"/>
      <c r="BD56" s="3824"/>
      <c r="BE56" s="3824"/>
      <c r="BF56" s="3824"/>
      <c r="BG56" s="3824"/>
      <c r="BH56" s="3824"/>
      <c r="BI56" s="3824"/>
      <c r="BJ56" s="3824"/>
      <c r="BK56" s="3824"/>
      <c r="BL56" s="3824"/>
      <c r="BM56" s="3824"/>
      <c r="BN56" s="3824"/>
      <c r="BO56" s="3824"/>
      <c r="BP56" s="3824"/>
      <c r="BQ56" s="3824"/>
      <c r="BR56" s="1494"/>
      <c r="BS56" s="1494"/>
      <c r="BU56" s="670"/>
      <c r="BV56" s="670" t="str">
        <f>IF(T56="","",T56)</f>
        <v xml:space="preserve">Добавить территорию для дифференциации</v>
      </c>
      <c r="BW56" s="670"/>
      <c r="BX56" s="670"/>
      <c r="BY56" s="681">
        <v>1</v>
      </c>
    </row>
    <row r="57" s="9218"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3824"/>
      <c r="AM57" s="3824"/>
      <c r="AN57" s="3824"/>
      <c r="AO57" s="3824"/>
      <c r="AP57" s="3824"/>
      <c r="AQ57" s="3824"/>
      <c r="AR57" s="3824"/>
      <c r="AS57" s="3824"/>
      <c r="AT57" s="3824"/>
      <c r="AU57" s="3824"/>
      <c r="AV57" s="3824"/>
      <c r="AW57" s="3824"/>
      <c r="AX57" s="3824"/>
      <c r="AY57" s="3824"/>
      <c r="AZ57" s="3824"/>
      <c r="BA57" s="3824"/>
      <c r="BB57" s="3824"/>
      <c r="BC57" s="3824"/>
      <c r="BD57" s="3824"/>
      <c r="BE57" s="3824"/>
      <c r="BF57" s="3824"/>
      <c r="BG57" s="3824"/>
      <c r="BH57" s="3824"/>
      <c r="BI57" s="3824"/>
      <c r="BJ57" s="3824"/>
      <c r="BK57" s="3824"/>
      <c r="BL57" s="3824"/>
      <c r="BM57" s="3824"/>
      <c r="BN57" s="3824"/>
      <c r="BO57" s="3824"/>
      <c r="BP57" s="3824"/>
      <c r="BQ57" s="3824"/>
      <c r="BR57" s="1494"/>
      <c r="BS57" s="1494"/>
      <c r="BU57" s="959"/>
      <c r="BV57" s="959" t="str">
        <f>IF(T57="","",T57)</f>
        <v xml:space="preserve">Добавить наименование тарифа</v>
      </c>
      <c r="BW57" s="959"/>
      <c r="BX57" s="959"/>
      <c r="BY57" s="688">
        <v>1</v>
      </c>
    </row>
    <row r="58" ht="11.5" customHeight="1">
      <c r="M58" s="1330"/>
      <c r="N58" s="1330"/>
      <c r="O58" s="707"/>
      <c r="P58" s="1325"/>
      <c r="Q58" s="1325"/>
      <c r="R58" s="1325"/>
      <c r="S58" s="1325"/>
      <c r="AL58" s="3649"/>
      <c r="AM58" s="3649"/>
      <c r="AN58" s="3649"/>
      <c r="AO58" s="3649"/>
      <c r="AP58" s="3649"/>
      <c r="AQ58" s="3649"/>
      <c r="AR58" s="3649"/>
      <c r="AS58" s="3649"/>
      <c r="AT58" s="3649"/>
      <c r="AU58" s="3649"/>
      <c r="AV58" s="3649"/>
      <c r="AW58" s="3649"/>
      <c r="AX58" s="3649"/>
      <c r="AY58" s="3649"/>
      <c r="AZ58" s="3649"/>
      <c r="BA58" s="3649"/>
      <c r="BB58" s="3649"/>
      <c r="BC58" s="3649"/>
      <c r="BD58" s="3649"/>
      <c r="BE58" s="3649"/>
      <c r="BF58" s="3649"/>
      <c r="BG58" s="3649"/>
      <c r="BH58" s="3649"/>
      <c r="BI58" s="3649"/>
      <c r="BJ58" s="3649"/>
      <c r="BK58" s="3649"/>
      <c r="BL58" s="3649"/>
      <c r="BM58" s="3649"/>
      <c r="BN58" s="3649"/>
      <c r="BO58" s="3649"/>
      <c r="BP58" s="3649"/>
      <c r="BQ58" s="3649"/>
      <c r="BT58" s="1325"/>
      <c r="BU58" s="1325"/>
      <c r="BV58" s="1325"/>
      <c r="BW58" s="1325"/>
      <c r="BX58" s="1325"/>
      <c r="BY58" s="1325">
        <v>11</v>
      </c>
    </row>
    <row r="59" ht="28.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4032"/>
      <c r="AM59" s="4032"/>
      <c r="AN59" s="4032"/>
      <c r="AO59" s="4032"/>
      <c r="AP59" s="4032"/>
      <c r="AQ59" s="4032"/>
      <c r="AR59" s="4032"/>
      <c r="AS59" s="4032"/>
      <c r="AT59" s="4032"/>
      <c r="AU59" s="4032"/>
      <c r="AV59" s="4032"/>
      <c r="AW59" s="4032"/>
      <c r="AX59" s="4032"/>
      <c r="AY59" s="4032"/>
      <c r="AZ59" s="4032"/>
      <c r="BA59" s="4032"/>
      <c r="BB59" s="4032"/>
      <c r="BC59" s="4032"/>
      <c r="BD59" s="4032"/>
      <c r="BE59" s="4032"/>
      <c r="BF59" s="4032"/>
      <c r="BG59" s="4032"/>
      <c r="BH59" s="4032"/>
      <c r="BI59" s="4032"/>
      <c r="BJ59" s="4032"/>
      <c r="BK59" s="4032"/>
      <c r="BL59" s="4032"/>
      <c r="BM59" s="4032"/>
      <c r="BN59" s="4032"/>
      <c r="BO59" s="4032"/>
      <c r="BP59" s="4032"/>
      <c r="BQ59" s="4032"/>
      <c r="BR59" s="2455"/>
      <c r="BS59" s="2455"/>
      <c r="BY59" s="1325">
        <v>27</v>
      </c>
    </row>
    <row r="60" ht="65.2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4032"/>
      <c r="AM60" s="4032"/>
      <c r="AN60" s="4032"/>
      <c r="AO60" s="4032"/>
      <c r="AP60" s="4032"/>
      <c r="AQ60" s="4032"/>
      <c r="AR60" s="4032"/>
      <c r="AS60" s="4032"/>
      <c r="AT60" s="4032"/>
      <c r="AU60" s="4032"/>
      <c r="AV60" s="4032"/>
      <c r="AW60" s="4032"/>
      <c r="AX60" s="4032"/>
      <c r="AY60" s="4032"/>
      <c r="AZ60" s="4032"/>
      <c r="BA60" s="4032"/>
      <c r="BB60" s="4032"/>
      <c r="BC60" s="4032"/>
      <c r="BD60" s="4032"/>
      <c r="BE60" s="4032"/>
      <c r="BF60" s="4032"/>
      <c r="BG60" s="4032"/>
      <c r="BH60" s="4032"/>
      <c r="BI60" s="4032"/>
      <c r="BJ60" s="4032"/>
      <c r="BK60" s="4032"/>
      <c r="BL60" s="4032"/>
      <c r="BM60" s="4032"/>
      <c r="BN60" s="4032"/>
      <c r="BO60" s="4032"/>
      <c r="BP60" s="4032"/>
      <c r="BQ60" s="4032"/>
      <c r="BR60" s="2455"/>
      <c r="BS60" s="2455"/>
      <c r="BY60" s="1325">
        <v>62</v>
      </c>
    </row>
    <row r="61" ht="14.65" customHeight="1">
      <c r="O61" s="707"/>
      <c r="AL61" s="3649"/>
      <c r="AM61" s="3649"/>
      <c r="AN61" s="3649"/>
      <c r="AO61" s="3649"/>
      <c r="AP61" s="3649"/>
      <c r="AQ61" s="3649"/>
      <c r="AR61" s="3649"/>
      <c r="AS61" s="3649"/>
      <c r="AT61" s="3649"/>
      <c r="AU61" s="3649"/>
      <c r="AV61" s="3649"/>
      <c r="AW61" s="3649"/>
      <c r="AX61" s="3649"/>
      <c r="AY61" s="3649"/>
      <c r="AZ61" s="3649"/>
      <c r="BA61" s="3649"/>
      <c r="BB61" s="3649"/>
      <c r="BC61" s="3649"/>
      <c r="BD61" s="3649"/>
      <c r="BE61" s="3649"/>
      <c r="BF61" s="3649"/>
      <c r="BG61" s="3649"/>
      <c r="BH61" s="3649"/>
      <c r="BI61" s="3649"/>
      <c r="BJ61" s="3649"/>
      <c r="BK61" s="3649"/>
      <c r="BL61" s="3649"/>
      <c r="BM61" s="3649"/>
      <c r="BN61" s="3649"/>
      <c r="BO61" s="3649"/>
      <c r="BP61" s="3649"/>
      <c r="BQ61" s="3649"/>
      <c r="BY61" s="1325">
        <v>14</v>
      </c>
    </row>
    <row r="62" ht="18.75" customHeight="1">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4032"/>
      <c r="AM62" s="4032"/>
      <c r="AN62" s="4032"/>
      <c r="AO62" s="4032"/>
      <c r="AP62" s="4032"/>
      <c r="AQ62" s="4032"/>
      <c r="AR62" s="4032"/>
      <c r="AS62" s="4032"/>
      <c r="AT62" s="4032"/>
      <c r="AU62" s="4032"/>
      <c r="AV62" s="4032"/>
      <c r="AW62" s="4032"/>
      <c r="AX62" s="4032"/>
      <c r="AY62" s="4032"/>
      <c r="AZ62" s="4032"/>
      <c r="BA62" s="4032"/>
      <c r="BB62" s="4032"/>
      <c r="BC62" s="4032"/>
      <c r="BD62" s="4032"/>
      <c r="BE62" s="4032"/>
      <c r="BF62" s="4032"/>
      <c r="BG62" s="4032"/>
      <c r="BH62" s="4032"/>
      <c r="BI62" s="4032"/>
      <c r="BJ62" s="4032"/>
      <c r="BK62" s="4032"/>
      <c r="BL62" s="4032"/>
      <c r="BM62" s="4032"/>
      <c r="BN62" s="4032"/>
      <c r="BO62" s="4032"/>
      <c r="BP62" s="4032"/>
      <c r="BQ62" s="4032"/>
      <c r="BR62" s="2455"/>
      <c r="BS62" s="2455"/>
      <c r="BY62" s="1325">
        <v>18</v>
      </c>
    </row>
    <row r="63" ht="18.75" customHeight="1">
      <c r="O63" s="707"/>
      <c r="T63" s="2455"/>
      <c r="U63" s="2455"/>
      <c r="V63" s="2455"/>
      <c r="W63" s="2455"/>
      <c r="X63" s="2455"/>
      <c r="Y63" s="2455"/>
      <c r="Z63" s="2455"/>
      <c r="AA63" s="2455"/>
      <c r="AB63" s="2455"/>
      <c r="AC63" s="2455"/>
      <c r="AD63" s="2455"/>
      <c r="AE63" s="2455"/>
      <c r="AF63" s="2455"/>
      <c r="AG63" s="2455"/>
      <c r="AH63" s="2455"/>
      <c r="AI63" s="2455"/>
      <c r="AJ63" s="2455"/>
      <c r="AK63" s="2455"/>
      <c r="AL63" s="4032"/>
      <c r="AM63" s="4032"/>
      <c r="AN63" s="4032"/>
      <c r="AO63" s="4032"/>
      <c r="AP63" s="4032"/>
      <c r="AQ63" s="4032"/>
      <c r="AR63" s="4032"/>
      <c r="AS63" s="4032"/>
      <c r="AT63" s="4032"/>
      <c r="AU63" s="4032"/>
      <c r="AV63" s="4032"/>
      <c r="AW63" s="4032"/>
      <c r="AX63" s="4032"/>
      <c r="AY63" s="4032"/>
      <c r="AZ63" s="4032"/>
      <c r="BA63" s="4032"/>
      <c r="BB63" s="4032"/>
      <c r="BC63" s="4032"/>
      <c r="BD63" s="4032"/>
      <c r="BE63" s="4032"/>
      <c r="BF63" s="4032"/>
      <c r="BG63" s="4032"/>
      <c r="BH63" s="4032"/>
      <c r="BI63" s="4032"/>
      <c r="BJ63" s="4032"/>
      <c r="BK63" s="4032"/>
      <c r="BL63" s="4032"/>
      <c r="BM63" s="4032"/>
      <c r="BN63" s="4032"/>
      <c r="BO63" s="4032"/>
      <c r="BP63" s="4032"/>
      <c r="BQ63" s="4032"/>
      <c r="BR63" s="2455"/>
      <c r="BS63" s="2455"/>
      <c r="BY63" s="1325">
        <v>18</v>
      </c>
    </row>
    <row r="64" ht="29.25" customHeight="1">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4032"/>
      <c r="AM64" s="4032"/>
      <c r="AN64" s="4032"/>
      <c r="AO64" s="4032"/>
      <c r="AP64" s="4032"/>
      <c r="AQ64" s="4032"/>
      <c r="AR64" s="4032"/>
      <c r="AS64" s="4032"/>
      <c r="AT64" s="4032"/>
      <c r="AU64" s="4032"/>
      <c r="AV64" s="4032"/>
      <c r="AW64" s="4032"/>
      <c r="AX64" s="4032"/>
      <c r="AY64" s="4032"/>
      <c r="AZ64" s="4032"/>
      <c r="BA64" s="4032"/>
      <c r="BB64" s="4032"/>
      <c r="BC64" s="4032"/>
      <c r="BD64" s="4032"/>
      <c r="BE64" s="4032"/>
      <c r="BF64" s="4032"/>
      <c r="BG64" s="4032"/>
      <c r="BH64" s="4032"/>
      <c r="BI64" s="4032"/>
      <c r="BJ64" s="4032"/>
      <c r="BK64" s="4032"/>
      <c r="BL64" s="4032"/>
      <c r="BM64" s="4032"/>
      <c r="BN64" s="4032"/>
      <c r="BO64" s="4032"/>
      <c r="BP64" s="4032"/>
      <c r="BQ64" s="4032"/>
      <c r="BR64" s="2455"/>
      <c r="BS64" s="2455"/>
      <c r="BY64" s="1325">
        <v>28</v>
      </c>
    </row>
    <row r="65" ht="22.5" hidden="1" customHeight="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3649">
        <v>0</v>
      </c>
      <c r="AM65" s="3649">
        <v>0</v>
      </c>
      <c r="AN65" s="3649">
        <v>0</v>
      </c>
      <c r="AO65" s="3649">
        <v>0</v>
      </c>
      <c r="AP65" s="3649">
        <v>0</v>
      </c>
      <c r="AQ65" s="3649">
        <v>0</v>
      </c>
      <c r="AR65" s="3649">
        <v>0</v>
      </c>
      <c r="AS65" s="3649">
        <v>0</v>
      </c>
      <c r="AT65" s="3649">
        <v>0</v>
      </c>
      <c r="AU65" s="3649">
        <v>0</v>
      </c>
      <c r="AV65" s="3649">
        <v>0</v>
      </c>
      <c r="AW65" s="3649">
        <v>0</v>
      </c>
      <c r="AX65" s="3649">
        <v>0</v>
      </c>
      <c r="AY65" s="3649">
        <v>0</v>
      </c>
      <c r="AZ65" s="3649">
        <v>0</v>
      </c>
      <c r="BA65" s="3649">
        <v>0</v>
      </c>
      <c r="BB65" s="3649">
        <v>0</v>
      </c>
      <c r="BC65" s="3649">
        <v>0</v>
      </c>
      <c r="BD65" s="3649">
        <v>0</v>
      </c>
      <c r="BE65" s="3649">
        <v>0</v>
      </c>
      <c r="BF65" s="3649">
        <v>0</v>
      </c>
      <c r="BG65" s="3649">
        <v>0</v>
      </c>
      <c r="BH65" s="3649">
        <v>0</v>
      </c>
      <c r="BI65" s="3649">
        <v>0</v>
      </c>
      <c r="BJ65" s="3649">
        <v>0</v>
      </c>
      <c r="BK65" s="3649">
        <v>0</v>
      </c>
      <c r="BL65" s="3649">
        <v>0</v>
      </c>
      <c r="BM65" s="3649">
        <v>0</v>
      </c>
      <c r="BN65" s="3649">
        <v>0</v>
      </c>
      <c r="BO65" s="3649">
        <v>0</v>
      </c>
      <c r="BP65" s="3649">
        <v>0</v>
      </c>
      <c r="BQ65" s="3649">
        <v>0</v>
      </c>
      <c r="BR65" s="1325">
        <v>4</v>
      </c>
      <c r="BS65" s="1325">
        <v>115</v>
      </c>
      <c r="BT65" s="681">
        <v>10</v>
      </c>
      <c r="BU65" s="681">
        <v>10</v>
      </c>
      <c r="BV65" s="681">
        <v>10</v>
      </c>
      <c r="BW65" s="681">
        <v>10</v>
      </c>
      <c r="BX65" s="681">
        <v>10</v>
      </c>
      <c r="BY65" s="1325">
        <v>23</v>
      </c>
    </row>
  </sheetData>
  <sheetProtection autoFilter="0" deleteColumns="1" deleteRows="1" formatColumns="0" formatRows="0" insertColumns="1" insertRows="1" sheet="1" sort="1"/>
  <mergeCells count="204">
    <mergeCell ref="T63:BS63"/>
    <mergeCell ref="T64:BS64"/>
    <mergeCell ref="T62:BS62"/>
    <mergeCell ref="BS49:BS51"/>
    <mergeCell ref="T59:BS59"/>
    <mergeCell ref="T60:BS60"/>
    <mergeCell ref="J48:J51"/>
    <mergeCell ref="Q48:Q51"/>
    <mergeCell ref="V48:AC48"/>
    <mergeCell ref="AD48:BR48"/>
    <mergeCell ref="K49:K50"/>
    <mergeCell ref="Z49:Z50"/>
    <mergeCell ref="AA49:AA50"/>
    <mergeCell ref="AB49:AB50"/>
    <mergeCell ref="AC49:AC50"/>
    <mergeCell ref="AH49:AH50"/>
    <mergeCell ref="AI49:AI50"/>
    <mergeCell ref="AJ49:AJ50"/>
    <mergeCell ref="AK49:AK50"/>
    <mergeCell ref="E43:E56"/>
    <mergeCell ref="V43:AC43"/>
    <mergeCell ref="AD43:BR43"/>
    <mergeCell ref="F44:F55"/>
    <mergeCell ref="V44:AC44"/>
    <mergeCell ref="AD44:BR44"/>
    <mergeCell ref="G45:G54"/>
    <mergeCell ref="V45:AC45"/>
    <mergeCell ref="AD45:BR45"/>
    <mergeCell ref="H46:H53"/>
    <mergeCell ref="V46:AC46"/>
    <mergeCell ref="AD46:BR46"/>
    <mergeCell ref="I47:I52"/>
    <mergeCell ref="P47:P52"/>
    <mergeCell ref="V47:AC47"/>
    <mergeCell ref="AD47:BR47"/>
    <mergeCell ref="AH40:AJ40"/>
    <mergeCell ref="AA41:AB41"/>
    <mergeCell ref="AI41:AJ41"/>
    <mergeCell ref="AA42:AB42"/>
    <mergeCell ref="AI42:AJ42"/>
    <mergeCell ref="S38:BR38"/>
    <mergeCell ref="BS38:BS41"/>
    <mergeCell ref="S39:S41"/>
    <mergeCell ref="T39:T41"/>
    <mergeCell ref="V39:AB39"/>
    <mergeCell ref="AC39:AC41"/>
    <mergeCell ref="AD39:AJ39"/>
    <mergeCell ref="AK39:AK41"/>
    <mergeCell ref="BR39:BR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S8:BS10"/>
    <mergeCell ref="AH17:AH18"/>
    <mergeCell ref="AI17:AI18"/>
    <mergeCell ref="AJ17:AJ18"/>
    <mergeCell ref="AK17:AK18"/>
    <mergeCell ref="AH8:AH9"/>
    <mergeCell ref="AI8:AI9"/>
    <mergeCell ref="AJ8:AJ9"/>
    <mergeCell ref="AK8:AK9"/>
    <mergeCell ref="V7:AC7"/>
    <mergeCell ref="AD7:BR7"/>
    <mergeCell ref="V2:AC2"/>
    <mergeCell ref="AD2:BR2"/>
    <mergeCell ref="V3:AC3"/>
    <mergeCell ref="AD3:BR3"/>
    <mergeCell ref="V4:AC4"/>
    <mergeCell ref="AD4:BR4"/>
    <mergeCell ref="V5:AC5"/>
    <mergeCell ref="AD5:BR5"/>
    <mergeCell ref="V6:AC6"/>
    <mergeCell ref="AD6:BR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Q327729 AK393265:BQ393265 AK49 AQ49 AS49 AY49 BA49 BG49 BI49 BO49 BQ49 AK524337:BQ524337 AK8 AQ8 AS8 AY8 BA8 BG8 BI8 BO8 BQ8 AK589873:BQ589873 AK655409:BQ655409 AK17 AK720945:BQ720945 AK786481:BQ786481 AK852017:BQ852017 AK917553:BQ917553 AK983089:BQ983089 AK65585:BQ65585 AK131121:BQ131121 AI49 AK458801:BQ458801 AI8 AC8 AA8 AI17 AK196657:BQ196657 AA49 AC49 AK262193:BQ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BS131129 S196659:BS196665 S262195:BS262201 S327731:BS327737 S393267:BS393273 S458803:BS458809 S524339:BS524345 S589875:BS589881 S655411:BS655417 S720947:BS720953 S786483:BS786489 S852019:BS852025 S917555:BS917561 S983091:BS983097 S65587:BS6559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6D000D-0072-4D03-85B2-005400DA0044}"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910094-0021-4D90-8537-00FE005C0088}" type="textLength" allowBlank="1" error="Допускается ввод не более 900 символов!" errorTitle="Ошибка" operator="lessThanOrEqual" showErrorMessage="1" showInputMessage="1">
          <x14:formula1>
            <xm:f>900</xm:f>
          </x14:formula1>
          <xm:sqref>BS65579:BS65586 BS131115:BS131122 BS196651:BS196658 BS262187:BS262194 BS327723:BS327730 BS393259:BS393266 BS458795:BS458802 BS524331:BS524338 BS589867:BS589874 BS655403:BS655410 BS720939:BS720946 BS786475:BS786482 BS852011:BS852018 BS917547:BS917554 BS983083:BS983090</xm:sqref>
        </x14:dataValidation>
        <x14:dataValidation xr:uid="{0082001D-00F9-46A4-AA41-00B3008A00EC}"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2000D4-004F-49DB-AAB9-001200140004}" type="list" allowBlank="1" error="Выберите значение из списка" errorTitle="Ошибка" prompt="Выберите значение из списка" showInputMessage="1">
          <x14:formula1>
            <xm:f>kind_of_cons</xm:f>
          </x14:formula1>
          <xm:sqref>V983088:BR983088 V65584:BR65584 V131120:BR131120 V196656:BR196656 V262192:BR262192 V327728:BR327728 V393264:BR393264 V458800:BR458800 V524336:BR524336 V589872:BR589872 V655408:BR655408 V720944:BR720944 V786480:BR786480 V852016:BR852016 V917552:BR917552</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9138" width="10.57421875"/>
    <col customWidth="1" hidden="1" min="2" max="2" style="9138" width="11.00390625"/>
    <col hidden="1" min="3" max="3" style="9138" width="10.57421875"/>
    <col customWidth="1" hidden="1" min="4" max="4" style="9138" width="11.8515625"/>
    <col customWidth="1" hidden="1" min="5" max="5" style="9138" width="10.00390625"/>
    <col customWidth="1" hidden="1" min="6" max="6" style="9138" width="8.7109375"/>
    <col customWidth="1" hidden="1" min="7" max="7" style="9138" width="7.57421875"/>
    <col customWidth="1" hidden="1" min="8" max="8" style="9138" width="11.421875"/>
    <col customWidth="1" hidden="1" min="9" max="9" style="9138" width="12.00390625"/>
    <col customWidth="1" hidden="1" min="10" max="10" style="9138" width="9.8515625"/>
    <col customWidth="1" hidden="1" min="11" max="11" style="9138" width="11.421875"/>
    <col customWidth="1" hidden="1" min="12" max="12" style="9215" width="19.140625"/>
    <col customWidth="1" hidden="1" min="13" max="14" style="10313" width="12.28125"/>
    <col customWidth="1" hidden="1" min="15" max="15" style="10313" width="23.421875"/>
    <col customWidth="1" min="16" max="16" style="10313" width="3.00390625"/>
    <col customWidth="1" min="17" max="18" style="10314" width="3.00390625"/>
    <col customWidth="1" min="19" max="19" style="10315" width="12.00390625"/>
    <col customWidth="1" min="20" max="20" style="9138" width="31.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hidden="1" min="37" max="37" style="9138" width="8.57421875"/>
    <col customWidth="1" min="38" max="38" style="9138" width="4.00390625"/>
    <col customWidth="1" min="39" max="39" style="9138" width="115.00390625"/>
    <col customWidth="1" min="40" max="44" style="9218" width="10.00390625"/>
    <col hidden="1" min="45" max="45" style="9138" width="10.57421875"/>
  </cols>
  <sheetData>
    <row r="1" ht="22.5" hidden="1" customHeight="1">
      <c r="AS1" s="1801" t="s">
        <v>14</v>
      </c>
    </row>
    <row r="2" ht="21" hidden="1" customHeight="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 xml:space="preserve">Наименование тарифа</v>
      </c>
      <c r="AQ2" s="1794"/>
      <c r="AR2" s="1794"/>
      <c r="AS2" s="1801">
        <v>0</v>
      </c>
    </row>
    <row r="3" ht="21" hidden="1" customHeight="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 xml:space="preserve">Территория действия тарифа</v>
      </c>
      <c r="AQ3" s="1794"/>
      <c r="AR3" s="1794"/>
      <c r="AS3" s="1801">
        <v>0</v>
      </c>
    </row>
    <row r="4" ht="23.25" hidden="1" customHeight="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 xml:space="preserve">Наименование системы теплоснабжения</v>
      </c>
      <c r="AQ4" s="1794"/>
      <c r="AR4" s="1794"/>
      <c r="AS4" s="1801">
        <v>0</v>
      </c>
    </row>
    <row r="5" ht="21" hidden="1" customHeight="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 xml:space="preserve">Источник тепловой энергии</v>
      </c>
      <c r="AQ5" s="1794"/>
      <c r="AR5" s="1794"/>
      <c r="AS5" s="1801">
        <v>0</v>
      </c>
    </row>
    <row r="6" ht="47.25" hidden="1" customHeight="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 xml:space="preserve">Схема подключения теплопотребляющей установки к коллектору источника тепловой энергии</v>
      </c>
      <c r="AQ6" s="1794"/>
      <c r="AR6" s="1794"/>
      <c r="AS6" s="1801">
        <v>0</v>
      </c>
    </row>
    <row r="7" ht="21" hidden="1" customHeight="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 xml:space="preserve">Группа потребителей</v>
      </c>
      <c r="AQ7" s="1794"/>
      <c r="AR7" s="1794"/>
      <c r="AS7" s="1801">
        <v>0</v>
      </c>
    </row>
    <row r="8" ht="21" hidden="1" customHeight="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417</v>
      </c>
      <c r="AN8" s="1806">
        <f>STRCHECKDATE(V9:AL9)</f>
      </c>
      <c r="AO8" s="1794"/>
      <c r="AP8" s="1794" t="str">
        <f>IF(T8="","",T8)</f>
        <v/>
      </c>
      <c r="AQ8" s="1794"/>
      <c r="AR8" s="1794"/>
      <c r="AS8" s="1801">
        <v>0</v>
      </c>
    </row>
    <row r="9" ht="0.75" hidden="1" customHeight="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r="10" ht="15" hidden="1" customHeight="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 xml:space="preserve">Добавить вид теплоносителя (параметры теплоносителя)</v>
      </c>
      <c r="AQ10" s="1794"/>
      <c r="AR10" s="1794"/>
      <c r="AS10" s="1801">
        <v>0</v>
      </c>
    </row>
    <row r="11" ht="15" hidden="1" customHeight="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 xml:space="preserve">Добавить группу потребителей</v>
      </c>
      <c r="AQ11" s="1794"/>
      <c r="AR11" s="1794"/>
      <c r="AS11" s="1801">
        <v>0</v>
      </c>
    </row>
    <row r="12" ht="14.25" hidden="1" customHeight="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 xml:space="preserve">Добавить схему подключения</v>
      </c>
      <c r="AQ12" s="1794"/>
      <c r="AR12" s="1794"/>
      <c r="AS12" s="1801">
        <v>0</v>
      </c>
    </row>
    <row r="13" s="9218" customFormat="1" ht="0.75" hidden="1" customHeight="1">
      <c r="A13" s="1544"/>
      <c r="B13" s="1544"/>
      <c r="C13" s="1544"/>
      <c r="D13" s="1544"/>
      <c r="E13" s="2460"/>
      <c r="F13" s="2460"/>
      <c r="G13" s="2459"/>
      <c r="H13" s="1544"/>
      <c r="I13" s="1544"/>
      <c r="J13" s="1544"/>
      <c r="K13" s="1544"/>
      <c r="L13" s="1547"/>
      <c r="M13" s="1548"/>
      <c r="N13" s="1548"/>
      <c r="O13" s="521"/>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 xml:space="preserve">Добавить источник для дифференциации</v>
      </c>
      <c r="AQ13" s="1421"/>
      <c r="AR13" s="1421"/>
      <c r="AS13" s="1812">
        <v>0</v>
      </c>
    </row>
    <row r="14" s="9218" customFormat="1" ht="0.75" hidden="1" customHeight="1">
      <c r="A14" s="1544"/>
      <c r="B14" s="1544"/>
      <c r="C14" s="1544"/>
      <c r="D14" s="1544"/>
      <c r="E14" s="2460"/>
      <c r="F14" s="2459"/>
      <c r="G14" s="1544"/>
      <c r="H14" s="1544"/>
      <c r="I14" s="1544"/>
      <c r="J14" s="1544"/>
      <c r="K14" s="1544"/>
      <c r="L14" s="1547"/>
      <c r="M14" s="1549"/>
      <c r="N14" s="1549"/>
      <c r="O14" s="52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 xml:space="preserve">Добавить централизованную систему для дифференциации</v>
      </c>
      <c r="AQ14" s="1421"/>
      <c r="AR14" s="1421"/>
      <c r="AS14" s="1812">
        <v>0</v>
      </c>
    </row>
    <row r="15" s="9218" customFormat="1" ht="0.75" hidden="1" customHeight="1">
      <c r="A15" s="1544"/>
      <c r="B15" s="1544"/>
      <c r="C15" s="1544"/>
      <c r="D15" s="1544"/>
      <c r="E15" s="2459"/>
      <c r="F15" s="1544"/>
      <c r="G15" s="1544"/>
      <c r="H15" s="1544"/>
      <c r="I15" s="1544"/>
      <c r="J15" s="1544"/>
      <c r="K15" s="1544"/>
      <c r="L15" s="1547"/>
      <c r="M15" s="1549"/>
      <c r="N15" s="1549"/>
      <c r="O15" s="52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 xml:space="preserve">Добавить территорию для дифференциации</v>
      </c>
      <c r="AQ15" s="1421"/>
      <c r="AR15" s="1421"/>
      <c r="AS15" s="1812">
        <v>0</v>
      </c>
    </row>
    <row r="16" ht="14.25" hidden="1" customHeight="1">
      <c r="AS16" s="1801">
        <v>0</v>
      </c>
    </row>
    <row r="17" ht="14.25" hidden="1" customHeight="1">
      <c r="AD17" s="1530"/>
      <c r="AE17" s="1530"/>
      <c r="AF17" s="1530"/>
      <c r="AG17" s="1531"/>
      <c r="AH17" s="2437"/>
      <c r="AI17" s="2438" t="s">
        <v>67</v>
      </c>
      <c r="AJ17" s="2437"/>
      <c r="AK17" s="2438" t="s">
        <v>67</v>
      </c>
      <c r="AS17" s="1801">
        <v>0</v>
      </c>
    </row>
    <row r="18" ht="14.25" hidden="1" customHeight="1">
      <c r="AD18" s="1530"/>
      <c r="AE18" s="1530"/>
      <c r="AF18" s="1530"/>
      <c r="AG18" s="498" t="str">
        <f>AH17&amp;"-"&amp;AJ17</f>
        <v>-</v>
      </c>
      <c r="AH18" s="2438"/>
      <c r="AI18" s="2438"/>
      <c r="AJ18" s="2438"/>
      <c r="AK18" s="2438"/>
      <c r="AS18" s="1801">
        <v>0</v>
      </c>
    </row>
    <row r="19" ht="14.25" hidden="1" customHeight="1">
      <c r="AS19" s="1801">
        <v>0</v>
      </c>
    </row>
    <row r="20" s="9217" customFormat="1" ht="14.25" hidden="1" customHeight="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r="21" s="9217" customFormat="1" ht="14.25" hidden="1" customHeight="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r="22" s="9217" customFormat="1" ht="14.25" hidden="1" customHeight="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r="23" ht="14.25" hidden="1" customHeight="1">
      <c r="O23" s="1480"/>
      <c r="AS23" s="1801">
        <v>0</v>
      </c>
    </row>
    <row r="24" ht="14.25" hidden="1" customHeight="1">
      <c r="O24" s="1480"/>
      <c r="AS24" s="1801">
        <v>0</v>
      </c>
    </row>
    <row r="25" ht="14.65" customHeight="1">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r="26" ht="14.65" customHeight="1">
      <c r="Q26" s="546"/>
      <c r="R26" s="546"/>
      <c r="S26" s="2418"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r="28" ht="14.25" hidden="1" customHeight="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r="29" s="9344" customFormat="1" ht="25.5" hidden="1" customHeight="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r="30" s="9344" customFormat="1" ht="18.75" hidden="1" customHeight="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45646</v>
      </c>
      <c r="W30" s="2434"/>
      <c r="X30" s="2434"/>
      <c r="Y30" s="2434"/>
      <c r="Z30" s="2434"/>
      <c r="AA30" s="2434"/>
      <c r="AB30" s="2434"/>
      <c r="AC30" s="1805"/>
      <c r="AD30" s="2434" t="str">
        <f>IF(TITLE_DATE_PR_CHANGE="",IF(TITLE_DATE_PR="","",TITLE_DATE_PR),TITLE_DATE_PR_CHANGE)</f>
        <v>45646</v>
      </c>
      <c r="AE30" s="2434"/>
      <c r="AF30" s="2434"/>
      <c r="AG30" s="2434"/>
      <c r="AH30" s="2434"/>
      <c r="AI30" s="2434"/>
      <c r="AJ30" s="2434"/>
      <c r="AK30" s="1805"/>
      <c r="AL30" s="1805"/>
      <c r="AM30" s="450"/>
      <c r="AN30" s="538"/>
      <c r="AO30" s="538"/>
      <c r="AP30" s="538"/>
      <c r="AQ30" s="538"/>
      <c r="AR30" s="538"/>
      <c r="AS30" s="588">
        <v>0</v>
      </c>
    </row>
    <row r="31" s="9344" customFormat="1" ht="18.75" hidden="1" customHeight="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ДГК-01.1/22560</v>
      </c>
      <c r="W31" s="2421"/>
      <c r="X31" s="2421"/>
      <c r="Y31" s="2421"/>
      <c r="Z31" s="2421"/>
      <c r="AA31" s="2421"/>
      <c r="AB31" s="2421"/>
      <c r="AC31" s="1805"/>
      <c r="AD31" s="2421" t="str">
        <f>IF(TITLE_NUMBER_PR_CHANGE="",IF(TITLE_NUMBER_PR="","",TITLE_NUMBER_PR),TITLE_NUMBER_PR_CHANGE)</f>
        <v>ДГК-01.1/22560</v>
      </c>
      <c r="AE31" s="2421"/>
      <c r="AF31" s="2421"/>
      <c r="AG31" s="2421"/>
      <c r="AH31" s="2421"/>
      <c r="AI31" s="2421"/>
      <c r="AJ31" s="2421"/>
      <c r="AK31" s="1805"/>
      <c r="AL31" s="1805"/>
      <c r="AM31" s="450"/>
      <c r="AN31" s="538"/>
      <c r="AO31" s="538"/>
      <c r="AP31" s="538"/>
      <c r="AQ31" s="538"/>
      <c r="AR31" s="538"/>
      <c r="AS31" s="588">
        <v>0</v>
      </c>
    </row>
    <row r="32" s="9344" customFormat="1" ht="18.75" hidden="1" customHeight="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r="33" ht="14.25" hidden="1" customHeight="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r="34" s="9344" customFormat="1" ht="18.75" hidden="1" customHeight="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45646</v>
      </c>
      <c r="W34" s="2434"/>
      <c r="X34" s="2434"/>
      <c r="Y34" s="2434"/>
      <c r="Z34" s="2434"/>
      <c r="AA34" s="2434"/>
      <c r="AB34" s="2434"/>
      <c r="AC34" s="1805"/>
      <c r="AD34" s="2434" t="str">
        <f>IF(TITLE_DATE_PR_CHANGE="",IF(TITLE_DATE_PR="","",TITLE_DATE_PR),TITLE_DATE_PR_CHANGE)</f>
        <v>45646</v>
      </c>
      <c r="AE34" s="2434"/>
      <c r="AF34" s="2434"/>
      <c r="AG34" s="2434"/>
      <c r="AH34" s="2434"/>
      <c r="AI34" s="2434"/>
      <c r="AJ34" s="2434"/>
      <c r="AK34" s="1805"/>
      <c r="AL34" s="1805"/>
      <c r="AM34" s="450"/>
      <c r="AN34" s="538"/>
      <c r="AO34" s="538"/>
      <c r="AP34" s="538"/>
      <c r="AQ34" s="538"/>
      <c r="AR34" s="538"/>
      <c r="AS34" s="588">
        <v>0</v>
      </c>
    </row>
    <row r="35" s="9344" customFormat="1" ht="18.75" hidden="1" customHeight="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ДГК-01.1/22560</v>
      </c>
      <c r="W35" s="2421"/>
      <c r="X35" s="2421"/>
      <c r="Y35" s="2421"/>
      <c r="Z35" s="2421"/>
      <c r="AA35" s="2421"/>
      <c r="AB35" s="2421"/>
      <c r="AC35" s="1805"/>
      <c r="AD35" s="2421" t="str">
        <f>IF(TITLE_NUMBER_PR_CHANGE="",IF(TITLE_NUMBER_PR="","",TITLE_NUMBER_PR),TITLE_NUMBER_PR_CHANGE)</f>
        <v>ДГК-01.1/22560</v>
      </c>
      <c r="AE35" s="2421"/>
      <c r="AF35" s="2421"/>
      <c r="AG35" s="2421"/>
      <c r="AH35" s="2421"/>
      <c r="AI35" s="2421"/>
      <c r="AJ35" s="2421"/>
      <c r="AK35" s="1805"/>
      <c r="AL35" s="1805"/>
      <c r="AM35" s="450"/>
      <c r="AN35" s="538"/>
      <c r="AO35" s="538"/>
      <c r="AP35" s="538"/>
      <c r="AQ35" s="538"/>
      <c r="AR35" s="538"/>
      <c r="AS35" s="588">
        <v>0</v>
      </c>
    </row>
    <row r="36" s="9344" customFormat="1" ht="0" customHeight="1">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r="37" ht="14.65" customHeight="1">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r="39" ht="14.65" customHeight="1">
      <c r="Q39" s="546"/>
      <c r="R39" s="546"/>
      <c r="S39" s="2443" t="s">
        <v>89</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r="40" ht="35.649999999999999" customHeight="1">
      <c r="Q40" s="546"/>
      <c r="R40" s="546"/>
      <c r="S40" s="2443"/>
      <c r="T40" s="2379"/>
      <c r="U40" s="1201"/>
      <c r="V40" s="2430" t="s">
        <v>438</v>
      </c>
      <c r="W40" s="2453" t="s">
        <v>439</v>
      </c>
      <c r="X40" s="2432" t="s">
        <v>440</v>
      </c>
      <c r="Y40" s="2433"/>
      <c r="Z40" s="2432" t="s">
        <v>455</v>
      </c>
      <c r="AA40" s="2439"/>
      <c r="AB40" s="2433"/>
      <c r="AC40" s="2448"/>
      <c r="AD40" s="2430" t="s">
        <v>438</v>
      </c>
      <c r="AE40" s="2453" t="s">
        <v>439</v>
      </c>
      <c r="AF40" s="2432" t="s">
        <v>440</v>
      </c>
      <c r="AG40" s="2433"/>
      <c r="AH40" s="2432" t="s">
        <v>441</v>
      </c>
      <c r="AI40" s="2439"/>
      <c r="AJ40" s="2433"/>
      <c r="AK40" s="2448"/>
      <c r="AL40" s="2451"/>
      <c r="AM40" s="2297"/>
      <c r="AS40" s="1801">
        <v>34</v>
      </c>
    </row>
    <row r="41" ht="35.649999999999999" customHeight="1">
      <c r="A41" s="1436"/>
      <c r="B41" s="1436" t="s">
        <v>135</v>
      </c>
      <c r="C41" s="1436" t="s">
        <v>136</v>
      </c>
      <c r="D41" s="1436" t="s">
        <v>137</v>
      </c>
      <c r="E41" s="1480" t="s">
        <v>442</v>
      </c>
      <c r="F41" s="1480" t="s">
        <v>443</v>
      </c>
      <c r="G41" s="1480" t="s">
        <v>444</v>
      </c>
      <c r="H41" s="1480" t="s">
        <v>445</v>
      </c>
      <c r="I41" s="1480" t="s">
        <v>446</v>
      </c>
      <c r="J41" s="1480" t="s">
        <v>447</v>
      </c>
      <c r="K41" s="1480" t="s">
        <v>448</v>
      </c>
      <c r="L41" s="1480" t="s">
        <v>422</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r="42" s="9831" customFormat="1" ht="11.25" hidden="1" customHeight="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r="43" ht="22" customHeight="1">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 xml:space="preserve">Наименование тарифа</v>
      </c>
      <c r="AQ43" s="1794"/>
      <c r="AR43" s="1794"/>
      <c r="AS43" s="1801">
        <v>21</v>
      </c>
    </row>
    <row r="44" ht="22" customHeight="1">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 xml:space="preserve">Территория действия тарифа</v>
      </c>
      <c r="AQ44" s="1794"/>
      <c r="AR44" s="1794"/>
      <c r="AS44" s="1801">
        <v>21</v>
      </c>
    </row>
    <row r="45" ht="24" customHeight="1">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 xml:space="preserve">Наименование системы теплоснабжения</v>
      </c>
      <c r="AQ45" s="1794"/>
      <c r="AR45" s="1794"/>
      <c r="AS45" s="1801">
        <v>23</v>
      </c>
    </row>
    <row r="46" ht="22" customHeight="1">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 xml:space="preserve">Источник тепловой энергии</v>
      </c>
      <c r="AQ46" s="1794"/>
      <c r="AR46" s="1794"/>
      <c r="AS46" s="1801">
        <v>21</v>
      </c>
    </row>
    <row r="47" ht="49.5" customHeight="1">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 xml:space="preserve">Схема подключения теплопотребляющей установки к коллектору источника тепловой энергии</v>
      </c>
      <c r="AQ47" s="1794"/>
      <c r="AR47" s="1794"/>
      <c r="AS47" s="1801">
        <v>47</v>
      </c>
    </row>
    <row r="48" ht="22" customHeight="1">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 xml:space="preserve">Группа потребителей</v>
      </c>
      <c r="AQ48" s="1794"/>
      <c r="AR48" s="1794"/>
      <c r="AS48" s="1801">
        <v>21</v>
      </c>
    </row>
    <row r="49" ht="22" customHeight="1">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417</v>
      </c>
      <c r="AN49" s="1806">
        <f>STRCHECKDATE(V50:AL50)</f>
      </c>
      <c r="AO49" s="1794"/>
      <c r="AP49" s="1794" t="str">
        <f>IF(T49="","",T49)</f>
        <v/>
      </c>
      <c r="AQ49" s="1794"/>
      <c r="AR49" s="1794"/>
      <c r="AS49" s="1801">
        <v>21</v>
      </c>
    </row>
    <row r="50" ht="1.05" customHeight="1">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r="51" ht="11.5" customHeight="1">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 xml:space="preserve">Добавить вид теплоносителя (параметры теплоносителя)</v>
      </c>
      <c r="AQ51" s="1794"/>
      <c r="AR51" s="1794"/>
      <c r="AS51" s="1801">
        <v>11</v>
      </c>
    </row>
    <row r="52" ht="11.5" customHeight="1">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 xml:space="preserve">Добавить группу потребителей</v>
      </c>
      <c r="AQ52" s="1794"/>
      <c r="AR52" s="1794"/>
      <c r="AS52" s="1801">
        <v>11</v>
      </c>
    </row>
    <row r="53" ht="14.65" customHeight="1">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 xml:space="preserve">Добавить схему подключения</v>
      </c>
      <c r="AQ53" s="1794"/>
      <c r="AR53" s="1794"/>
      <c r="AS53" s="1801">
        <v>14</v>
      </c>
    </row>
    <row r="54" s="9218" customFormat="1" ht="4.2000000000000002" customHeight="1">
      <c r="A54" s="1545" t="s">
        <v>219</v>
      </c>
      <c r="B54" s="1545" t="s">
        <v>220</v>
      </c>
      <c r="C54" s="1545" t="s">
        <v>221</v>
      </c>
      <c r="D54" s="1544"/>
      <c r="E54" s="2460"/>
      <c r="F54" s="2460"/>
      <c r="G54" s="2459"/>
      <c r="H54" s="1544"/>
      <c r="I54" s="1544"/>
      <c r="J54" s="1544"/>
      <c r="K54" s="1544"/>
      <c r="L54" s="1547"/>
      <c r="M54" s="1548"/>
      <c r="N54" s="1548"/>
      <c r="O54" s="521"/>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 xml:space="preserve">Добавить источник для дифференциации</v>
      </c>
      <c r="AQ54" s="1421"/>
      <c r="AR54" s="1421"/>
      <c r="AS54" s="1812">
        <v>4</v>
      </c>
    </row>
    <row r="55" s="9218" customFormat="1" ht="4.2000000000000002" customHeight="1">
      <c r="A55" s="1545" t="s">
        <v>219</v>
      </c>
      <c r="B55" s="1545" t="s">
        <v>220</v>
      </c>
      <c r="C55" s="1544"/>
      <c r="D55" s="1544"/>
      <c r="E55" s="2460"/>
      <c r="F55" s="2459"/>
      <c r="G55" s="1544"/>
      <c r="H55" s="1544"/>
      <c r="I55" s="1544"/>
      <c r="J55" s="1544"/>
      <c r="K55" s="1544"/>
      <c r="L55" s="1547"/>
      <c r="M55" s="1549"/>
      <c r="N55" s="1549"/>
      <c r="O55" s="52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 xml:space="preserve">Добавить централизованную систему для дифференциации</v>
      </c>
      <c r="AQ55" s="1421"/>
      <c r="AR55" s="1421"/>
      <c r="AS55" s="1812">
        <v>4</v>
      </c>
    </row>
    <row r="56" s="9218" customFormat="1" ht="4.2000000000000002" customHeight="1">
      <c r="A56" s="1545" t="s">
        <v>219</v>
      </c>
      <c r="B56" s="1545"/>
      <c r="C56" s="1545"/>
      <c r="D56" s="1545"/>
      <c r="E56" s="2459"/>
      <c r="F56" s="1545"/>
      <c r="G56" s="1545"/>
      <c r="H56" s="1545"/>
      <c r="I56" s="1545"/>
      <c r="J56" s="1545"/>
      <c r="K56" s="1545"/>
      <c r="L56" s="1551"/>
      <c r="M56" s="1549"/>
      <c r="N56" s="1549"/>
      <c r="O56" s="521"/>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 xml:space="preserve">Добавить территорию для дифференциации</v>
      </c>
      <c r="AQ56" s="1794"/>
      <c r="AR56" s="1794"/>
      <c r="AS56" s="1806">
        <v>4</v>
      </c>
    </row>
    <row r="57" s="9218" customFormat="1" ht="4.2000000000000002" customHeight="1">
      <c r="A57" s="1544"/>
      <c r="B57" s="1544"/>
      <c r="C57" s="1544"/>
      <c r="D57" s="1544"/>
      <c r="E57" s="1545"/>
      <c r="F57" s="1544"/>
      <c r="G57" s="1544"/>
      <c r="H57" s="1544"/>
      <c r="I57" s="1544"/>
      <c r="J57" s="1544"/>
      <c r="K57" s="1544"/>
      <c r="L57" s="1547"/>
      <c r="M57" s="1549"/>
      <c r="N57" s="1549"/>
      <c r="O57" s="52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 xml:space="preserve">Добавить наименование тарифа</v>
      </c>
      <c r="AQ57" s="1421"/>
      <c r="AR57" s="1421"/>
      <c r="AS57" s="1812">
        <v>4</v>
      </c>
    </row>
    <row r="58" ht="11.5" customHeight="1">
      <c r="M58" s="1801"/>
      <c r="N58" s="1801"/>
      <c r="O58" s="1805"/>
      <c r="P58" s="1801"/>
      <c r="Q58" s="1801"/>
      <c r="R58" s="1801"/>
      <c r="S58" s="1801"/>
      <c r="AN58" s="1801"/>
      <c r="AO58" s="1801"/>
      <c r="AP58" s="1801"/>
      <c r="AQ58" s="1801"/>
      <c r="AR58" s="1801"/>
      <c r="AS58" s="1801">
        <v>11</v>
      </c>
    </row>
    <row r="59" ht="28.5" customHeight="1">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r="60" ht="65.25" customHeight="1">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r="61" ht="14.65" customHeight="1">
      <c r="O61" s="1805"/>
      <c r="AS61" s="1801">
        <v>14</v>
      </c>
    </row>
    <row r="62" ht="18.75" customHeight="1">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r="63" ht="18.75" customHeight="1">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r="64" ht="29.25" customHeight="1">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r="65" ht="22.5" hidden="1" customHeight="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autoFilter="0" deleteColumns="1" deleteRows="1" insertColumns="1" insertRows="1"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4">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23009A-002E-449A-B6B9-00210028002A}"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A600AC-00AE-4FBA-A564-001A0099008B}"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5E005F-0027-4059-83F1-000A00600038}"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EB0036-0064-49C1-A996-00900071003B}"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9138" width="10.57421875"/>
    <col customWidth="1" hidden="1" min="2" max="2" style="9138" width="11.00390625"/>
    <col hidden="1" min="3" max="3" style="9138" width="10.57421875"/>
    <col customWidth="1" hidden="1" min="4" max="4" style="9138" width="11.8515625"/>
    <col customWidth="1" hidden="1" min="5" max="5" style="9138" width="10.00390625"/>
    <col customWidth="1" hidden="1" min="6" max="6" style="9138" width="8.7109375"/>
    <col customWidth="1" hidden="1" min="7" max="7" style="9138" width="7.57421875"/>
    <col customWidth="1" hidden="1" min="8" max="8" style="9138" width="11.421875"/>
    <col customWidth="1" hidden="1" min="9" max="9" style="9138" width="12.00390625"/>
    <col customWidth="1" hidden="1" min="10" max="10" style="9138" width="9.8515625"/>
    <col customWidth="1" hidden="1" min="11" max="11" style="9138" width="11.421875"/>
    <col customWidth="1" hidden="1" min="12" max="12" style="9215" width="19.140625"/>
    <col customWidth="1" hidden="1" min="13" max="14" style="10313" width="12.28125"/>
    <col customWidth="1" hidden="1" min="15" max="15" style="10313" width="23.421875"/>
    <col customWidth="1" min="16" max="16" style="10313" width="3.00390625"/>
    <col customWidth="1" min="17" max="18" style="10314" width="3.00390625"/>
    <col customWidth="1" min="19" max="19" style="10315" width="12.00390625"/>
    <col customWidth="1" min="20" max="20" style="9138" width="31.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hidden="1" min="37" max="37" style="9138" width="8.57421875"/>
    <col customWidth="1" min="38" max="38" style="9138" width="4.00390625"/>
    <col customWidth="1" min="39" max="39" style="9138" width="115.00390625"/>
    <col customWidth="1" min="40" max="44" style="9218" width="10.00390625"/>
    <col hidden="1" min="45" max="45" style="9138" width="10.57421875"/>
  </cols>
  <sheetData>
    <row r="1" ht="22.5" hidden="1" customHeight="1">
      <c r="AS1" s="1801" t="s">
        <v>14</v>
      </c>
    </row>
    <row r="2" ht="21" hidden="1" customHeight="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1794"/>
      <c r="AP2" s="1794" t="str">
        <f>IF(T2="","",T2)</f>
        <v xml:space="preserve">Наименование тарифа</v>
      </c>
      <c r="AQ2" s="1794"/>
      <c r="AR2" s="1794"/>
      <c r="AS2" s="1801">
        <v>0</v>
      </c>
    </row>
    <row r="3" ht="21" hidden="1" customHeight="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1794"/>
      <c r="AP3" s="1794" t="str">
        <f>IF(T3="","",T3)</f>
        <v xml:space="preserve">Территория действия тарифа</v>
      </c>
      <c r="AQ3" s="1794"/>
      <c r="AR3" s="1794"/>
      <c r="AS3" s="1801">
        <v>0</v>
      </c>
    </row>
    <row r="4" ht="23.25" hidden="1" customHeight="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1794"/>
      <c r="AP4" s="1794" t="str">
        <f>IF(T4="","",T4)</f>
        <v xml:space="preserve">Наименование системы теплоснабжения</v>
      </c>
      <c r="AQ4" s="1794"/>
      <c r="AR4" s="1794"/>
      <c r="AS4" s="1801">
        <v>0</v>
      </c>
    </row>
    <row r="5" ht="21" hidden="1" customHeight="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1794"/>
      <c r="AP5" s="1794" t="str">
        <f>IF(T5="","",T5)</f>
        <v xml:space="preserve">Источник тепловой энергии</v>
      </c>
      <c r="AQ5" s="1794"/>
      <c r="AR5" s="1794"/>
      <c r="AS5" s="1801">
        <v>0</v>
      </c>
    </row>
    <row r="6" ht="47.25" hidden="1" customHeight="1">
      <c r="A6" s="1437"/>
      <c r="B6" s="1437"/>
      <c r="C6" s="1437"/>
      <c r="D6" s="1437"/>
      <c r="E6" s="2460"/>
      <c r="F6" s="2460"/>
      <c r="G6" s="2460"/>
      <c r="H6" s="2460"/>
      <c r="I6" s="2297">
        <f>S5&amp;".1"</f>
      </c>
      <c r="J6" s="1437"/>
      <c r="K6" s="1437"/>
      <c r="L6" s="1480" t="s">
        <v>410</v>
      </c>
      <c r="M6" s="1805"/>
      <c r="P6" s="2427">
        <v>1</v>
      </c>
      <c r="Q6" s="2124"/>
      <c r="R6" s="526"/>
      <c r="S6" s="2128">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1794"/>
      <c r="AP6" s="1794" t="str">
        <f>IF(T6="","",T6)</f>
        <v xml:space="preserve">Схема подключения теплопотребляющей установки к коллектору источника тепловой энергии</v>
      </c>
      <c r="AQ6" s="1794"/>
      <c r="AR6" s="1794"/>
      <c r="AS6" s="1801">
        <v>0</v>
      </c>
    </row>
    <row r="7" ht="21" hidden="1" customHeight="1">
      <c r="A7" s="1437"/>
      <c r="B7" s="1437"/>
      <c r="C7" s="1437"/>
      <c r="D7" s="1437"/>
      <c r="E7" s="2460"/>
      <c r="F7" s="2460"/>
      <c r="G7" s="2460"/>
      <c r="H7" s="2460"/>
      <c r="I7" s="2271"/>
      <c r="J7" s="2297">
        <f>I6&amp;".1"</f>
      </c>
      <c r="K7" s="1437"/>
      <c r="L7" s="1480" t="s">
        <v>413</v>
      </c>
      <c r="M7" s="1805"/>
      <c r="N7" s="1801"/>
      <c r="P7" s="2427"/>
      <c r="Q7" s="2427">
        <v>1</v>
      </c>
      <c r="R7" s="527"/>
      <c r="S7" s="2128">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1794"/>
      <c r="AP7" s="1794" t="str">
        <f>IF(T7="","",T7)</f>
        <v xml:space="preserve">Группа потребителей</v>
      </c>
      <c r="AQ7" s="1794"/>
      <c r="AR7" s="1794"/>
      <c r="AS7" s="1801">
        <v>0</v>
      </c>
    </row>
    <row r="8" ht="21" hidden="1" customHeight="1">
      <c r="A8" s="1437"/>
      <c r="B8" s="1437"/>
      <c r="C8" s="1437"/>
      <c r="D8" s="1437"/>
      <c r="E8" s="2460"/>
      <c r="F8" s="2460"/>
      <c r="G8" s="2460"/>
      <c r="H8" s="2460"/>
      <c r="I8" s="2271"/>
      <c r="J8" s="2271"/>
      <c r="K8" s="2297">
        <f>J7&amp;".1"</f>
      </c>
      <c r="L8" s="1480" t="s">
        <v>416</v>
      </c>
      <c r="M8" s="1805"/>
      <c r="N8" s="1801"/>
      <c r="O8" s="1801"/>
      <c r="P8" s="2427"/>
      <c r="Q8" s="2427"/>
      <c r="R8" s="527">
        <v>1</v>
      </c>
      <c r="S8" s="2128">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417</v>
      </c>
      <c r="AN8" s="1806">
        <f>STRCHECKDATE(V9:AL9)</f>
      </c>
      <c r="AO8" s="1794"/>
      <c r="AP8" s="1794" t="str">
        <f>IF(T8="","",T8)</f>
        <v/>
      </c>
      <c r="AQ8" s="1794"/>
      <c r="AR8" s="1794"/>
      <c r="AS8" s="1801">
        <v>0</v>
      </c>
    </row>
    <row r="9" ht="0.75" hidden="1" customHeight="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r="10" ht="15" hidden="1" customHeight="1">
      <c r="A10" s="1437"/>
      <c r="B10" s="1437"/>
      <c r="C10" s="1437"/>
      <c r="D10" s="1437"/>
      <c r="E10" s="2460"/>
      <c r="F10" s="2460"/>
      <c r="G10" s="2460"/>
      <c r="H10" s="2460"/>
      <c r="I10" s="2271"/>
      <c r="J10" s="2297"/>
      <c r="K10" s="1437"/>
      <c r="L10" s="1480"/>
      <c r="M10" s="1805"/>
      <c r="N10" s="1801"/>
      <c r="P10" s="2427"/>
      <c r="Q10" s="2427"/>
      <c r="R10" s="526"/>
      <c r="S10" s="1448"/>
      <c r="T10" s="458" t="s">
        <v>418</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 xml:space="preserve">Добавить вид теплоносителя (параметры теплоносителя)</v>
      </c>
      <c r="AQ10" s="1794"/>
      <c r="AR10" s="1794"/>
      <c r="AS10" s="1801">
        <v>0</v>
      </c>
    </row>
    <row r="11" ht="15" hidden="1" customHeight="1">
      <c r="A11" s="1437"/>
      <c r="B11" s="1437"/>
      <c r="C11" s="1437"/>
      <c r="D11" s="1437"/>
      <c r="E11" s="2460"/>
      <c r="F11" s="2460"/>
      <c r="G11" s="2460"/>
      <c r="H11" s="2460"/>
      <c r="I11" s="2297"/>
      <c r="J11" s="1437"/>
      <c r="K11" s="1437"/>
      <c r="L11" s="1480"/>
      <c r="M11" s="1805"/>
      <c r="P11" s="2427"/>
      <c r="Q11" s="2124"/>
      <c r="R11" s="526"/>
      <c r="S11" s="1448"/>
      <c r="T11" s="457" t="s">
        <v>419</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 xml:space="preserve">Добавить группу потребителей</v>
      </c>
      <c r="AQ11" s="1794"/>
      <c r="AR11" s="1794"/>
      <c r="AS11" s="1801">
        <v>0</v>
      </c>
    </row>
    <row r="12" ht="14.25" hidden="1" customHeight="1">
      <c r="A12" s="1437"/>
      <c r="B12" s="1437"/>
      <c r="C12" s="1437"/>
      <c r="D12" s="1437"/>
      <c r="E12" s="2460"/>
      <c r="F12" s="2460"/>
      <c r="G12" s="2460"/>
      <c r="H12" s="2459"/>
      <c r="I12" s="1437"/>
      <c r="J12" s="1437"/>
      <c r="K12" s="1437"/>
      <c r="L12" s="1480"/>
      <c r="M12" s="1780"/>
      <c r="N12" s="1780"/>
      <c r="O12" s="1805"/>
      <c r="P12" s="530"/>
      <c r="Q12" s="545"/>
      <c r="R12" s="525"/>
      <c r="S12" s="1448"/>
      <c r="T12" s="535" t="s">
        <v>420</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 xml:space="preserve">Добавить схему подключения</v>
      </c>
      <c r="AQ12" s="1794"/>
      <c r="AR12" s="1794"/>
      <c r="AS12" s="1801">
        <v>0</v>
      </c>
    </row>
    <row r="13" s="9218" customFormat="1" ht="0.75" hidden="1" customHeight="1">
      <c r="A13" s="2144"/>
      <c r="B13" s="2144"/>
      <c r="C13" s="2144"/>
      <c r="D13" s="2144"/>
      <c r="E13" s="2460"/>
      <c r="F13" s="2460"/>
      <c r="G13" s="2459"/>
      <c r="H13" s="2144"/>
      <c r="I13" s="2144"/>
      <c r="J13" s="2144"/>
      <c r="K13" s="2144"/>
      <c r="L13" s="1550"/>
      <c r="M13" s="1780"/>
      <c r="N13" s="1780"/>
      <c r="O13" s="180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 xml:space="preserve">Добавить источник для дифференциации</v>
      </c>
      <c r="AQ13" s="1421"/>
      <c r="AR13" s="1421"/>
      <c r="AS13" s="1812">
        <v>0</v>
      </c>
    </row>
    <row r="14" s="9218" customFormat="1" ht="0.75" hidden="1" customHeight="1">
      <c r="A14" s="2144"/>
      <c r="B14" s="2144"/>
      <c r="C14" s="2144"/>
      <c r="D14" s="2144"/>
      <c r="E14" s="2460"/>
      <c r="F14" s="2459"/>
      <c r="G14" s="2144"/>
      <c r="H14" s="2144"/>
      <c r="I14" s="2144"/>
      <c r="J14" s="2144"/>
      <c r="K14" s="2144"/>
      <c r="L14" s="1550"/>
      <c r="M14" s="2145"/>
      <c r="N14" s="2145"/>
      <c r="O14" s="1805"/>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 xml:space="preserve">Добавить централизованную систему для дифференциации</v>
      </c>
      <c r="AQ14" s="1421"/>
      <c r="AR14" s="1421"/>
      <c r="AS14" s="1812">
        <v>0</v>
      </c>
    </row>
    <row r="15" s="9218" customFormat="1" ht="0.75" hidden="1" customHeight="1">
      <c r="A15" s="2144"/>
      <c r="B15" s="2144"/>
      <c r="C15" s="2144"/>
      <c r="D15" s="2144"/>
      <c r="E15" s="2459"/>
      <c r="F15" s="2144"/>
      <c r="G15" s="2144"/>
      <c r="H15" s="2144"/>
      <c r="I15" s="2144"/>
      <c r="J15" s="2144"/>
      <c r="K15" s="2144"/>
      <c r="L15" s="1550"/>
      <c r="M15" s="2145"/>
      <c r="N15" s="2145"/>
      <c r="O15" s="1805"/>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 xml:space="preserve">Добавить территорию для дифференциации</v>
      </c>
      <c r="AQ15" s="1421"/>
      <c r="AR15" s="1421"/>
      <c r="AS15" s="1812">
        <v>0</v>
      </c>
    </row>
    <row r="16" ht="14.25" hidden="1" customHeight="1">
      <c r="AS16" s="1801">
        <v>0</v>
      </c>
    </row>
    <row r="17" ht="14.25" hidden="1" customHeight="1">
      <c r="AD17" s="1530"/>
      <c r="AE17" s="1530"/>
      <c r="AF17" s="1530"/>
      <c r="AG17" s="1531"/>
      <c r="AH17" s="2437"/>
      <c r="AI17" s="2438" t="s">
        <v>67</v>
      </c>
      <c r="AJ17" s="2437"/>
      <c r="AK17" s="2438" t="s">
        <v>67</v>
      </c>
      <c r="AS17" s="1801">
        <v>0</v>
      </c>
    </row>
    <row r="18" ht="14.25" hidden="1" customHeight="1">
      <c r="AD18" s="1530"/>
      <c r="AE18" s="1530"/>
      <c r="AF18" s="1530"/>
      <c r="AG18" s="498" t="str">
        <f>AH17&amp;"-"&amp;AJ17</f>
        <v>-</v>
      </c>
      <c r="AH18" s="2438"/>
      <c r="AI18" s="2438"/>
      <c r="AJ18" s="2438"/>
      <c r="AK18" s="2438"/>
      <c r="AS18" s="1801">
        <v>0</v>
      </c>
    </row>
    <row r="19" ht="14.25" hidden="1" customHeight="1">
      <c r="AS19" s="1801">
        <v>0</v>
      </c>
    </row>
    <row r="20" s="9217" customFormat="1" ht="14.25" hidden="1" customHeight="1">
      <c r="A20" s="1801"/>
      <c r="B20" s="1801"/>
      <c r="C20" s="1801"/>
      <c r="D20" s="1801"/>
      <c r="E20" s="1801"/>
      <c r="F20" s="1801"/>
      <c r="G20" s="1801"/>
      <c r="H20" s="1801"/>
      <c r="I20" s="1801"/>
      <c r="J20" s="1801"/>
      <c r="K20" s="1801"/>
      <c r="L20" s="2109"/>
      <c r="M20" s="2135"/>
      <c r="N20" s="2135"/>
      <c r="O20" s="1515" t="s">
        <v>421</v>
      </c>
      <c r="P20" s="1532"/>
      <c r="Q20" s="1541"/>
      <c r="R20" s="1541"/>
      <c r="S20" s="899"/>
      <c r="Z20" s="1537"/>
      <c r="AB20" s="1537"/>
      <c r="AH20" s="1537"/>
      <c r="AJ20" s="1537"/>
      <c r="AN20" s="1806"/>
      <c r="AO20" s="1806"/>
      <c r="AP20" s="1806"/>
      <c r="AQ20" s="1806"/>
      <c r="AR20" s="1806"/>
      <c r="AS20" s="1536">
        <v>0</v>
      </c>
    </row>
    <row r="21" s="9217" customFormat="1" ht="14.25" hidden="1" customHeight="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r="22" s="9217" customFormat="1" ht="14.25" hidden="1" customHeight="1">
      <c r="A22" s="1801"/>
      <c r="B22" s="1801"/>
      <c r="C22" s="1801"/>
      <c r="D22" s="1801"/>
      <c r="E22" s="1801"/>
      <c r="F22" s="1801"/>
      <c r="G22" s="1801"/>
      <c r="H22" s="1801"/>
      <c r="I22" s="1801"/>
      <c r="J22" s="1801"/>
      <c r="K22" s="1801"/>
      <c r="L22" s="2109"/>
      <c r="M22" s="2135"/>
      <c r="N22" s="2135"/>
      <c r="O22" s="1480" t="s">
        <v>422</v>
      </c>
      <c r="P22" s="1532"/>
      <c r="Q22" s="1541"/>
      <c r="R22" s="1541"/>
      <c r="S22" s="899"/>
      <c r="T22" s="1536" t="s">
        <v>423</v>
      </c>
      <c r="AA22" s="765" t="s">
        <v>424</v>
      </c>
      <c r="AC22" s="765" t="s">
        <v>425</v>
      </c>
      <c r="AD22" s="1536" t="s">
        <v>423</v>
      </c>
      <c r="AI22" s="765" t="s">
        <v>426</v>
      </c>
      <c r="AK22" s="765" t="s">
        <v>425</v>
      </c>
      <c r="AN22" s="1806"/>
      <c r="AO22" s="1806"/>
      <c r="AP22" s="1806"/>
      <c r="AQ22" s="1806"/>
      <c r="AR22" s="1806"/>
      <c r="AS22" s="1536">
        <v>0</v>
      </c>
    </row>
    <row r="23" ht="14.25" hidden="1" customHeight="1">
      <c r="O23" s="1480"/>
      <c r="AS23" s="1801">
        <v>0</v>
      </c>
    </row>
    <row r="24" ht="14.25" hidden="1" customHeight="1">
      <c r="O24" s="1480"/>
      <c r="AS24" s="1801">
        <v>0</v>
      </c>
    </row>
    <row r="25" ht="14.65" customHeight="1">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r="26" ht="14.65" customHeight="1">
      <c r="Q26" s="546"/>
      <c r="R26" s="546"/>
      <c r="S26" s="2418"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801">
        <v>14</v>
      </c>
    </row>
    <row r="28" ht="14.25" hidden="1" customHeight="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r="29" s="9344" customFormat="1" ht="25.5" hidden="1" customHeight="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r="30" s="9344" customFormat="1" ht="18.75" hidden="1" customHeight="1">
      <c r="A30" s="1418"/>
      <c r="B30" s="1418"/>
      <c r="C30" s="1418"/>
      <c r="D30" s="1418"/>
      <c r="E30" s="1418"/>
      <c r="F30" s="1418"/>
      <c r="G30" s="1418"/>
      <c r="H30" s="1418"/>
      <c r="I30" s="1418"/>
      <c r="J30" s="1418"/>
      <c r="K30" s="1418"/>
      <c r="L30" s="1550"/>
      <c r="M30" s="1418"/>
      <c r="N30" s="1418"/>
      <c r="O30" s="1418"/>
      <c r="S30" s="2420" t="s">
        <v>427</v>
      </c>
      <c r="T30" s="2420"/>
      <c r="U30" s="1542"/>
      <c r="V30" s="2434" t="str">
        <f>IF(TITLE_DATE_PR_CHANGE="",IF(TITLE_DATE_PR="","",TITLE_DATE_PR),TITLE_DATE_PR_CHANGE)</f>
        <v>45646</v>
      </c>
      <c r="W30" s="2434"/>
      <c r="X30" s="2434"/>
      <c r="Y30" s="2434"/>
      <c r="Z30" s="2434"/>
      <c r="AA30" s="2434"/>
      <c r="AB30" s="2434"/>
      <c r="AC30" s="1805"/>
      <c r="AD30" s="2434" t="str">
        <f>IF(TITLE_DATE_PR_CHANGE="",IF(TITLE_DATE_PR="","",TITLE_DATE_PR),TITLE_DATE_PR_CHANGE)</f>
        <v>45646</v>
      </c>
      <c r="AE30" s="2434"/>
      <c r="AF30" s="2434"/>
      <c r="AG30" s="2434"/>
      <c r="AH30" s="2434"/>
      <c r="AI30" s="2434"/>
      <c r="AJ30" s="2434"/>
      <c r="AK30" s="1805"/>
      <c r="AL30" s="1805"/>
      <c r="AM30" s="450"/>
      <c r="AN30" s="538"/>
      <c r="AO30" s="538"/>
      <c r="AP30" s="538"/>
      <c r="AQ30" s="538"/>
      <c r="AR30" s="538"/>
      <c r="AS30" s="588">
        <v>0</v>
      </c>
    </row>
    <row r="31" s="9344" customFormat="1" ht="18.75" hidden="1" customHeight="1">
      <c r="A31" s="1418"/>
      <c r="B31" s="1418"/>
      <c r="C31" s="1418"/>
      <c r="D31" s="1418"/>
      <c r="E31" s="1418"/>
      <c r="F31" s="1418"/>
      <c r="G31" s="1418"/>
      <c r="H31" s="1418"/>
      <c r="I31" s="1418"/>
      <c r="J31" s="1418"/>
      <c r="K31" s="1418"/>
      <c r="L31" s="1550"/>
      <c r="M31" s="1418"/>
      <c r="N31" s="1418"/>
      <c r="O31" s="1418"/>
      <c r="S31" s="2420" t="s">
        <v>428</v>
      </c>
      <c r="T31" s="2420"/>
      <c r="U31" s="1542"/>
      <c r="V31" s="2421" t="str">
        <f>IF(TITLE_NUMBER_PR_CHANGE="",IF(TITLE_NUMBER_PR="","",TITLE_NUMBER_PR),TITLE_NUMBER_PR_CHANGE)</f>
        <v>ДГК-01.1/22560</v>
      </c>
      <c r="W31" s="2421"/>
      <c r="X31" s="2421"/>
      <c r="Y31" s="2421"/>
      <c r="Z31" s="2421"/>
      <c r="AA31" s="2421"/>
      <c r="AB31" s="2421"/>
      <c r="AC31" s="1805"/>
      <c r="AD31" s="2421" t="str">
        <f>IF(TITLE_NUMBER_PR_CHANGE="",IF(TITLE_NUMBER_PR="","",TITLE_NUMBER_PR),TITLE_NUMBER_PR_CHANGE)</f>
        <v>ДГК-01.1/22560</v>
      </c>
      <c r="AE31" s="2421"/>
      <c r="AF31" s="2421"/>
      <c r="AG31" s="2421"/>
      <c r="AH31" s="2421"/>
      <c r="AI31" s="2421"/>
      <c r="AJ31" s="2421"/>
      <c r="AK31" s="1805"/>
      <c r="AL31" s="1805"/>
      <c r="AM31" s="450"/>
      <c r="AN31" s="538"/>
      <c r="AO31" s="538"/>
      <c r="AP31" s="538"/>
      <c r="AQ31" s="538"/>
      <c r="AR31" s="538"/>
      <c r="AS31" s="588">
        <v>0</v>
      </c>
    </row>
    <row r="32" s="9344" customFormat="1" ht="18.75" hidden="1" customHeight="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r="33" ht="14.25" hidden="1" customHeight="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r="34" s="9344" customFormat="1" ht="18.75" hidden="1" customHeight="1">
      <c r="A34" s="1418"/>
      <c r="B34" s="1418"/>
      <c r="C34" s="1418"/>
      <c r="D34" s="1418"/>
      <c r="E34" s="1418"/>
      <c r="F34" s="1418"/>
      <c r="G34" s="1418"/>
      <c r="H34" s="1418"/>
      <c r="I34" s="1418"/>
      <c r="J34" s="1418"/>
      <c r="K34" s="1418"/>
      <c r="L34" s="1550"/>
      <c r="M34" s="1418"/>
      <c r="N34" s="1418"/>
      <c r="O34" s="1418"/>
      <c r="S34" s="2420" t="s">
        <v>429</v>
      </c>
      <c r="T34" s="2420"/>
      <c r="U34" s="1542"/>
      <c r="V34" s="2434" t="str">
        <f>IF(TITLE_DATE_PR_CHANGE="",IF(TITLE_DATE_PR="","",TITLE_DATE_PR),TITLE_DATE_PR_CHANGE)</f>
        <v>45646</v>
      </c>
      <c r="W34" s="2434"/>
      <c r="X34" s="2434"/>
      <c r="Y34" s="2434"/>
      <c r="Z34" s="2434"/>
      <c r="AA34" s="2434"/>
      <c r="AB34" s="2434"/>
      <c r="AC34" s="1805"/>
      <c r="AD34" s="2434" t="str">
        <f>IF(TITLE_DATE_PR_CHANGE="",IF(TITLE_DATE_PR="","",TITLE_DATE_PR),TITLE_DATE_PR_CHANGE)</f>
        <v>45646</v>
      </c>
      <c r="AE34" s="2434"/>
      <c r="AF34" s="2434"/>
      <c r="AG34" s="2434"/>
      <c r="AH34" s="2434"/>
      <c r="AI34" s="2434"/>
      <c r="AJ34" s="2434"/>
      <c r="AK34" s="1805"/>
      <c r="AL34" s="1805"/>
      <c r="AM34" s="450"/>
      <c r="AN34" s="538"/>
      <c r="AO34" s="538"/>
      <c r="AP34" s="538"/>
      <c r="AQ34" s="538"/>
      <c r="AR34" s="538"/>
      <c r="AS34" s="588">
        <v>0</v>
      </c>
    </row>
    <row r="35" s="9344" customFormat="1" ht="18.75" hidden="1" customHeight="1">
      <c r="A35" s="1418"/>
      <c r="B35" s="1418"/>
      <c r="C35" s="1418"/>
      <c r="D35" s="1418"/>
      <c r="E35" s="1418"/>
      <c r="F35" s="1418"/>
      <c r="G35" s="1418"/>
      <c r="H35" s="1418"/>
      <c r="I35" s="1418"/>
      <c r="J35" s="1418"/>
      <c r="K35" s="1418"/>
      <c r="L35" s="1550"/>
      <c r="M35" s="1418"/>
      <c r="N35" s="1418"/>
      <c r="O35" s="1418"/>
      <c r="S35" s="2420" t="s">
        <v>430</v>
      </c>
      <c r="T35" s="2420"/>
      <c r="U35" s="1542"/>
      <c r="V35" s="2421" t="str">
        <f>IF(TITLE_NUMBER_PR_CHANGE="",IF(TITLE_NUMBER_PR="","",TITLE_NUMBER_PR),TITLE_NUMBER_PR_CHANGE)</f>
        <v>ДГК-01.1/22560</v>
      </c>
      <c r="W35" s="2421"/>
      <c r="X35" s="2421"/>
      <c r="Y35" s="2421"/>
      <c r="Z35" s="2421"/>
      <c r="AA35" s="2421"/>
      <c r="AB35" s="2421"/>
      <c r="AC35" s="1805"/>
      <c r="AD35" s="2421" t="str">
        <f>IF(TITLE_NUMBER_PR_CHANGE="",IF(TITLE_NUMBER_PR="","",TITLE_NUMBER_PR),TITLE_NUMBER_PR_CHANGE)</f>
        <v>ДГК-01.1/22560</v>
      </c>
      <c r="AE35" s="2421"/>
      <c r="AF35" s="2421"/>
      <c r="AG35" s="2421"/>
      <c r="AH35" s="2421"/>
      <c r="AI35" s="2421"/>
      <c r="AJ35" s="2421"/>
      <c r="AK35" s="1805"/>
      <c r="AL35" s="1805"/>
      <c r="AM35" s="450"/>
      <c r="AN35" s="538"/>
      <c r="AO35" s="538"/>
      <c r="AP35" s="538"/>
      <c r="AQ35" s="538"/>
      <c r="AR35" s="538"/>
      <c r="AS35" s="588">
        <v>0</v>
      </c>
    </row>
    <row r="36" s="9344" customFormat="1" ht="0" customHeight="1">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431</v>
      </c>
      <c r="AD36" s="1805"/>
      <c r="AE36" s="1805"/>
      <c r="AF36" s="1805"/>
      <c r="AG36" s="1805"/>
      <c r="AH36" s="1805"/>
      <c r="AI36" s="1805"/>
      <c r="AJ36" s="1805"/>
      <c r="AK36" s="1812" t="s">
        <v>431</v>
      </c>
      <c r="AN36" s="538"/>
      <c r="AO36" s="538"/>
      <c r="AP36" s="538"/>
      <c r="AQ36" s="538"/>
      <c r="AR36" s="538"/>
      <c r="AS36" s="588">
        <v>0</v>
      </c>
    </row>
    <row r="37" ht="14.65" customHeight="1">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801">
        <v>14</v>
      </c>
    </row>
    <row r="39" ht="14.65" customHeight="1">
      <c r="Q39" s="546"/>
      <c r="R39" s="546"/>
      <c r="S39" s="2443" t="s">
        <v>89</v>
      </c>
      <c r="T39" s="2379" t="s">
        <v>433</v>
      </c>
      <c r="U39" s="507"/>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801">
        <v>14</v>
      </c>
    </row>
    <row r="40" ht="35.649999999999999" customHeight="1">
      <c r="Q40" s="546"/>
      <c r="R40" s="546"/>
      <c r="S40" s="2443"/>
      <c r="T40" s="2379"/>
      <c r="U40" s="1201"/>
      <c r="V40" s="2430" t="s">
        <v>438</v>
      </c>
      <c r="W40" s="2453" t="s">
        <v>439</v>
      </c>
      <c r="X40" s="2432" t="s">
        <v>440</v>
      </c>
      <c r="Y40" s="2433"/>
      <c r="Z40" s="2432" t="s">
        <v>455</v>
      </c>
      <c r="AA40" s="2439"/>
      <c r="AB40" s="2433"/>
      <c r="AC40" s="2448"/>
      <c r="AD40" s="2430" t="s">
        <v>438</v>
      </c>
      <c r="AE40" s="2453" t="s">
        <v>439</v>
      </c>
      <c r="AF40" s="2432" t="s">
        <v>440</v>
      </c>
      <c r="AG40" s="2433"/>
      <c r="AH40" s="2432" t="s">
        <v>441</v>
      </c>
      <c r="AI40" s="2439"/>
      <c r="AJ40" s="2433"/>
      <c r="AK40" s="2448"/>
      <c r="AL40" s="2451"/>
      <c r="AM40" s="2297"/>
      <c r="AS40" s="1801">
        <v>34</v>
      </c>
    </row>
    <row r="41" ht="35.649999999999999" customHeight="1">
      <c r="A41" s="1436"/>
      <c r="B41" s="1436" t="s">
        <v>135</v>
      </c>
      <c r="C41" s="1436" t="s">
        <v>136</v>
      </c>
      <c r="D41" s="1436" t="s">
        <v>137</v>
      </c>
      <c r="E41" s="1480" t="s">
        <v>442</v>
      </c>
      <c r="F41" s="1480" t="s">
        <v>443</v>
      </c>
      <c r="G41" s="1480" t="s">
        <v>444</v>
      </c>
      <c r="H41" s="1480" t="s">
        <v>445</v>
      </c>
      <c r="I41" s="1480" t="s">
        <v>446</v>
      </c>
      <c r="J41" s="1480" t="s">
        <v>447</v>
      </c>
      <c r="K41" s="1480" t="s">
        <v>448</v>
      </c>
      <c r="L41" s="1480" t="s">
        <v>422</v>
      </c>
      <c r="Q41" s="546"/>
      <c r="R41" s="546"/>
      <c r="S41" s="2443"/>
      <c r="T41" s="2379"/>
      <c r="U41" s="472"/>
      <c r="V41" s="2431"/>
      <c r="W41" s="2454"/>
      <c r="X41" s="2108" t="s">
        <v>449</v>
      </c>
      <c r="Y41" s="2108" t="s">
        <v>450</v>
      </c>
      <c r="Z41" s="2108" t="s">
        <v>451</v>
      </c>
      <c r="AA41" s="2440" t="s">
        <v>452</v>
      </c>
      <c r="AB41" s="2441"/>
      <c r="AC41" s="2449"/>
      <c r="AD41" s="2431"/>
      <c r="AE41" s="2454"/>
      <c r="AF41" s="2108" t="s">
        <v>449</v>
      </c>
      <c r="AG41" s="2108" t="s">
        <v>450</v>
      </c>
      <c r="AH41" s="2108" t="s">
        <v>451</v>
      </c>
      <c r="AI41" s="2440" t="s">
        <v>452</v>
      </c>
      <c r="AJ41" s="2441"/>
      <c r="AK41" s="2449"/>
      <c r="AL41" s="2452"/>
      <c r="AM41" s="2297"/>
      <c r="AS41" s="1801">
        <v>34</v>
      </c>
    </row>
    <row r="42" s="9831" customFormat="1" ht="11.25" hidden="1" customHeight="1">
      <c r="A42" s="1436"/>
      <c r="B42" s="1436"/>
      <c r="C42" s="1436"/>
      <c r="D42" s="1436"/>
      <c r="E42" s="1436"/>
      <c r="F42" s="1436"/>
      <c r="G42" s="1436"/>
      <c r="H42" s="1436"/>
      <c r="I42" s="1436"/>
      <c r="J42" s="1436"/>
      <c r="K42" s="1436"/>
      <c r="L42" s="1480"/>
      <c r="M42" s="2135"/>
      <c r="N42" s="2135"/>
      <c r="O42" s="2135"/>
      <c r="P42" s="1416"/>
      <c r="Q42" s="1417"/>
      <c r="R42" s="1424">
        <v>1</v>
      </c>
      <c r="S42" s="1447" t="s">
        <v>110</v>
      </c>
      <c r="T42" s="1425" t="s">
        <v>111</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r="43" ht="22" customHeight="1">
      <c r="A43" s="1437" t="s">
        <v>219</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 xml:space="preserve">Наименование тарифа</v>
      </c>
      <c r="AQ43" s="1794"/>
      <c r="AR43" s="1794"/>
      <c r="AS43" s="1801">
        <v>21</v>
      </c>
    </row>
    <row r="44" ht="22" customHeight="1">
      <c r="A44" s="1437" t="s">
        <v>219</v>
      </c>
      <c r="B44" s="1437" t="s">
        <v>220</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1794"/>
      <c r="AP44" s="1794" t="str">
        <f>IF(T44="","",T44)</f>
        <v xml:space="preserve">Территория действия тарифа</v>
      </c>
      <c r="AQ44" s="1794"/>
      <c r="AR44" s="1794"/>
      <c r="AS44" s="1801">
        <v>21</v>
      </c>
    </row>
    <row r="45" ht="24" customHeight="1">
      <c r="A45" s="1437" t="s">
        <v>219</v>
      </c>
      <c r="B45" s="1437" t="s">
        <v>220</v>
      </c>
      <c r="C45" s="1437" t="s">
        <v>221</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1794"/>
      <c r="AP45" s="1794" t="str">
        <f>IF(T45="","",T45)</f>
        <v xml:space="preserve">Наименование системы теплоснабжения</v>
      </c>
      <c r="AQ45" s="1794"/>
      <c r="AR45" s="1794"/>
      <c r="AS45" s="1801">
        <v>23</v>
      </c>
    </row>
    <row r="46" ht="22" customHeight="1">
      <c r="A46" s="1437" t="s">
        <v>219</v>
      </c>
      <c r="B46" s="1437" t="s">
        <v>220</v>
      </c>
      <c r="C46" s="1437" t="s">
        <v>221</v>
      </c>
      <c r="D46" s="1437" t="s">
        <v>222</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1794"/>
      <c r="AP46" s="1794" t="str">
        <f>IF(T46="","",T46)</f>
        <v xml:space="preserve">Источник тепловой энергии</v>
      </c>
      <c r="AQ46" s="1794"/>
      <c r="AR46" s="1794"/>
      <c r="AS46" s="1801">
        <v>21</v>
      </c>
    </row>
    <row r="47" ht="49.5" customHeight="1">
      <c r="A47" s="1437" t="s">
        <v>219</v>
      </c>
      <c r="B47" s="1437" t="s">
        <v>220</v>
      </c>
      <c r="C47" s="1437" t="s">
        <v>221</v>
      </c>
      <c r="D47" s="1437" t="s">
        <v>222</v>
      </c>
      <c r="E47" s="2460"/>
      <c r="F47" s="2460"/>
      <c r="G47" s="2460"/>
      <c r="H47" s="2460"/>
      <c r="I47" s="2297" t="str">
        <f>S46&amp;".1"</f>
        <v>....1</v>
      </c>
      <c r="J47" s="1437"/>
      <c r="K47" s="1437"/>
      <c r="L47" s="1480" t="s">
        <v>410</v>
      </c>
      <c r="P47" s="2427">
        <v>1</v>
      </c>
      <c r="Q47" s="2124"/>
      <c r="R47" s="526"/>
      <c r="S47" s="2128"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1794"/>
      <c r="AP47" s="1794" t="str">
        <f>IF(T47="","",T47)</f>
        <v xml:space="preserve">Схема подключения теплопотребляющей установки к коллектору источника тепловой энергии</v>
      </c>
      <c r="AQ47" s="1794"/>
      <c r="AR47" s="1794"/>
      <c r="AS47" s="1801">
        <v>47</v>
      </c>
    </row>
    <row r="48" ht="22" customHeight="1">
      <c r="A48" s="1437" t="s">
        <v>219</v>
      </c>
      <c r="B48" s="1437" t="s">
        <v>220</v>
      </c>
      <c r="C48" s="1437" t="s">
        <v>221</v>
      </c>
      <c r="D48" s="1437" t="s">
        <v>222</v>
      </c>
      <c r="E48" s="2460"/>
      <c r="F48" s="2460"/>
      <c r="G48" s="2460"/>
      <c r="H48" s="2460"/>
      <c r="I48" s="2271"/>
      <c r="J48" s="2297" t="str">
        <f>I47&amp;".1"</f>
        <v>....1.1</v>
      </c>
      <c r="K48" s="1437"/>
      <c r="L48" s="1480" t="s">
        <v>413</v>
      </c>
      <c r="P48" s="2427"/>
      <c r="Q48" s="2427">
        <v>1</v>
      </c>
      <c r="R48" s="527"/>
      <c r="S48" s="2128"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1794"/>
      <c r="AP48" s="1794" t="str">
        <f>IF(T48="","",T48)</f>
        <v xml:space="preserve">Группа потребителей</v>
      </c>
      <c r="AQ48" s="1794"/>
      <c r="AR48" s="1794"/>
      <c r="AS48" s="1801">
        <v>21</v>
      </c>
    </row>
    <row r="49" ht="22" customHeight="1">
      <c r="A49" s="1437" t="s">
        <v>219</v>
      </c>
      <c r="B49" s="1437" t="s">
        <v>220</v>
      </c>
      <c r="C49" s="1437" t="s">
        <v>221</v>
      </c>
      <c r="D49" s="1437" t="s">
        <v>222</v>
      </c>
      <c r="E49" s="2460"/>
      <c r="F49" s="2460"/>
      <c r="G49" s="2460"/>
      <c r="H49" s="2460"/>
      <c r="I49" s="2271"/>
      <c r="J49" s="2271"/>
      <c r="K49" s="2297" t="str">
        <f>J48&amp;".1"</f>
        <v>....1.1.1</v>
      </c>
      <c r="L49" s="1480" t="s">
        <v>416</v>
      </c>
      <c r="P49" s="2427"/>
      <c r="Q49" s="2427"/>
      <c r="R49" s="527">
        <v>1</v>
      </c>
      <c r="S49" s="2128" t="str">
        <f>$K49</f>
        <v>....1.1.1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417</v>
      </c>
      <c r="AN49" s="1806">
        <f>STRCHECKDATE(V50:AL50)</f>
      </c>
      <c r="AO49" s="1794"/>
      <c r="AP49" s="1794" t="str">
        <f>IF(T49="","",T49)</f>
        <v/>
      </c>
      <c r="AQ49" s="1794"/>
      <c r="AR49" s="1794"/>
      <c r="AS49" s="1801">
        <v>21</v>
      </c>
    </row>
    <row r="50" ht="1.05" customHeight="1">
      <c r="A50" s="1437" t="s">
        <v>219</v>
      </c>
      <c r="B50" s="1437" t="s">
        <v>220</v>
      </c>
      <c r="C50" s="1437" t="s">
        <v>221</v>
      </c>
      <c r="D50" s="1437" t="s">
        <v>222</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r="51" ht="11.5" customHeight="1">
      <c r="A51" s="1437" t="s">
        <v>219</v>
      </c>
      <c r="B51" s="1437" t="s">
        <v>220</v>
      </c>
      <c r="C51" s="1437" t="s">
        <v>221</v>
      </c>
      <c r="D51" s="1437" t="s">
        <v>222</v>
      </c>
      <c r="E51" s="2460"/>
      <c r="F51" s="2460"/>
      <c r="G51" s="2460"/>
      <c r="H51" s="2460"/>
      <c r="I51" s="2271"/>
      <c r="J51" s="2297"/>
      <c r="K51" s="1437"/>
      <c r="L51" s="1480"/>
      <c r="P51" s="2427"/>
      <c r="Q51" s="2427"/>
      <c r="R51" s="526"/>
      <c r="S51" s="1448"/>
      <c r="T51" s="458" t="s">
        <v>418</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 xml:space="preserve">Добавить вид теплоносителя (параметры теплоносителя)</v>
      </c>
      <c r="AQ51" s="1794"/>
      <c r="AR51" s="1794"/>
      <c r="AS51" s="1801">
        <v>11</v>
      </c>
    </row>
    <row r="52" ht="11.5" customHeight="1">
      <c r="A52" s="1437" t="s">
        <v>219</v>
      </c>
      <c r="B52" s="1437" t="s">
        <v>220</v>
      </c>
      <c r="C52" s="1437" t="s">
        <v>221</v>
      </c>
      <c r="D52" s="1437" t="s">
        <v>222</v>
      </c>
      <c r="E52" s="2460"/>
      <c r="F52" s="2460"/>
      <c r="G52" s="2460"/>
      <c r="H52" s="2460"/>
      <c r="I52" s="2297"/>
      <c r="J52" s="1437"/>
      <c r="K52" s="1437"/>
      <c r="L52" s="1480"/>
      <c r="P52" s="2427"/>
      <c r="Q52" s="2124"/>
      <c r="R52" s="526"/>
      <c r="S52" s="1448"/>
      <c r="T52" s="457" t="s">
        <v>419</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 xml:space="preserve">Добавить группу потребителей</v>
      </c>
      <c r="AQ52" s="1794"/>
      <c r="AR52" s="1794"/>
      <c r="AS52" s="1801">
        <v>11</v>
      </c>
    </row>
    <row r="53" ht="14.65" customHeight="1">
      <c r="A53" s="1437" t="s">
        <v>219</v>
      </c>
      <c r="B53" s="1437" t="s">
        <v>220</v>
      </c>
      <c r="C53" s="1437" t="s">
        <v>221</v>
      </c>
      <c r="D53" s="1437" t="s">
        <v>222</v>
      </c>
      <c r="E53" s="2460"/>
      <c r="F53" s="2460"/>
      <c r="G53" s="2460"/>
      <c r="H53" s="2459"/>
      <c r="I53" s="1437"/>
      <c r="J53" s="1437"/>
      <c r="K53" s="1437"/>
      <c r="L53" s="1480"/>
      <c r="M53" s="1780"/>
      <c r="N53" s="1780"/>
      <c r="O53" s="1805"/>
      <c r="P53" s="530"/>
      <c r="Q53" s="545"/>
      <c r="R53" s="525"/>
      <c r="S53" s="1448"/>
      <c r="T53" s="535" t="s">
        <v>420</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 xml:space="preserve">Добавить схему подключения</v>
      </c>
      <c r="AQ53" s="1794"/>
      <c r="AR53" s="1794"/>
      <c r="AS53" s="1801">
        <v>14</v>
      </c>
    </row>
    <row r="54" s="9218" customFormat="1" ht="1.05" customHeight="1">
      <c r="A54" s="1437" t="s">
        <v>219</v>
      </c>
      <c r="B54" s="1437" t="s">
        <v>220</v>
      </c>
      <c r="C54" s="1437" t="s">
        <v>221</v>
      </c>
      <c r="D54" s="2144"/>
      <c r="E54" s="2460"/>
      <c r="F54" s="2460"/>
      <c r="G54" s="2459"/>
      <c r="H54" s="2144"/>
      <c r="I54" s="2144"/>
      <c r="J54" s="2144"/>
      <c r="K54" s="2144"/>
      <c r="L54" s="1550"/>
      <c r="M54" s="1780"/>
      <c r="N54" s="1780"/>
      <c r="O54" s="180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 xml:space="preserve">Добавить источник для дифференциации</v>
      </c>
      <c r="AQ54" s="1421"/>
      <c r="AR54" s="1421"/>
      <c r="AS54" s="1812">
        <v>1</v>
      </c>
    </row>
    <row r="55" s="9218" customFormat="1" ht="1.05" customHeight="1">
      <c r="A55" s="1437" t="s">
        <v>219</v>
      </c>
      <c r="B55" s="1437" t="s">
        <v>220</v>
      </c>
      <c r="C55" s="2144"/>
      <c r="D55" s="2144"/>
      <c r="E55" s="2460"/>
      <c r="F55" s="2459"/>
      <c r="G55" s="2144"/>
      <c r="H55" s="2144"/>
      <c r="I55" s="2144"/>
      <c r="J55" s="2144"/>
      <c r="K55" s="2144"/>
      <c r="L55" s="1550"/>
      <c r="M55" s="2145"/>
      <c r="N55" s="2145"/>
      <c r="O55" s="1805"/>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 xml:space="preserve">Добавить централизованную систему для дифференциации</v>
      </c>
      <c r="AQ55" s="1421"/>
      <c r="AR55" s="1421"/>
      <c r="AS55" s="1812">
        <v>1</v>
      </c>
    </row>
    <row r="56" s="9218" customFormat="1" ht="1.05" customHeight="1">
      <c r="A56" s="1437" t="s">
        <v>219</v>
      </c>
      <c r="B56" s="1437"/>
      <c r="C56" s="1437"/>
      <c r="D56" s="1437"/>
      <c r="E56" s="2459"/>
      <c r="F56" s="1437"/>
      <c r="G56" s="1437"/>
      <c r="H56" s="1437"/>
      <c r="I56" s="1437"/>
      <c r="J56" s="1437"/>
      <c r="K56" s="1437"/>
      <c r="L56" s="1480"/>
      <c r="M56" s="2145"/>
      <c r="N56" s="2145"/>
      <c r="O56" s="1805"/>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 xml:space="preserve">Добавить территорию для дифференциации</v>
      </c>
      <c r="AQ56" s="1794"/>
      <c r="AR56" s="1794"/>
      <c r="AS56" s="1806">
        <v>1</v>
      </c>
    </row>
    <row r="57" s="9218" customFormat="1" ht="1.05" customHeight="1">
      <c r="A57" s="2144"/>
      <c r="B57" s="2144"/>
      <c r="C57" s="2144"/>
      <c r="D57" s="2144"/>
      <c r="E57" s="1437"/>
      <c r="F57" s="2144"/>
      <c r="G57" s="2144"/>
      <c r="H57" s="2144"/>
      <c r="I57" s="2144"/>
      <c r="J57" s="2144"/>
      <c r="K57" s="2144"/>
      <c r="L57" s="1550"/>
      <c r="M57" s="2145"/>
      <c r="N57" s="2145"/>
      <c r="O57" s="1805"/>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 xml:space="preserve">Добавить наименование тарифа</v>
      </c>
      <c r="AQ57" s="1421"/>
      <c r="AR57" s="1421"/>
      <c r="AS57" s="1812">
        <v>1</v>
      </c>
    </row>
    <row r="58" ht="11.5" customHeight="1">
      <c r="M58" s="1801"/>
      <c r="N58" s="1801"/>
      <c r="O58" s="1805"/>
      <c r="P58" s="1801"/>
      <c r="Q58" s="1801"/>
      <c r="R58" s="1801"/>
      <c r="S58" s="1801"/>
      <c r="AN58" s="1801"/>
      <c r="AO58" s="1801"/>
      <c r="AP58" s="1801"/>
      <c r="AQ58" s="1801"/>
      <c r="AR58" s="1801"/>
      <c r="AS58" s="1801">
        <v>11</v>
      </c>
    </row>
    <row r="59" ht="28.5" customHeight="1">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r="60" ht="65.25" customHeight="1">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r="61" ht="14.65" customHeight="1">
      <c r="O61" s="1805"/>
      <c r="AS61" s="1801">
        <v>14</v>
      </c>
    </row>
    <row r="62" ht="18.75" customHeight="1">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r="63" ht="18.75" customHeight="1">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r="64" ht="29.25" customHeight="1">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r="65" ht="22.5" hidden="1" customHeight="1">
      <c r="A65" s="1801" t="s">
        <v>83</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autoFilter="0" deleteColumns="1" deleteRows="1" insertColumns="1" insertRows="1" sheet="1" sort="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11004A-00B3-4686-8919-00180057008D}"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4B00AC-00D8-4812-A66F-002C0064004C}"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1800F0-0087-4EDD-8EB3-002800B60038}"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7100A5-0065-42E4-88F4-002E008000F9}"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1.00390625"/>
    <col customWidth="1" hidden="1" min="21" max="21" style="9138" width="0.7109375"/>
    <col customWidth="1" hidden="1" min="22" max="22" style="9138" width="1.7109375"/>
    <col customWidth="1" hidden="1" min="23" max="23" style="9138" width="24.7109375"/>
    <col customWidth="1" hidden="1" min="24" max="25" style="9138" width="0.14062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0.140625"/>
    <col customWidth="1" min="31" max="31" style="9138" width="24.00390625"/>
    <col customWidth="1" min="32" max="33" style="9138" width="0.140625"/>
    <col customWidth="1" min="34" max="34" style="9138" width="11.00390625"/>
    <col customWidth="1" min="35" max="35" style="9138" width="3.7109375"/>
    <col customWidth="1" min="36" max="36" style="9138" width="11.00390625"/>
    <col customWidth="1" hidden="1" min="37" max="37" style="9138" width="8.57421875"/>
    <col customWidth="1" min="38" max="38" style="9138" width="4.00390625"/>
    <col customWidth="1" min="39" max="39" style="9138" width="115.00390625"/>
    <col customWidth="1" min="40" max="44" style="9218" width="10.00390625"/>
    <col hidden="1" min="45" max="45" style="9138" width="10.57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47.25" hidden="1" customHeight="1">
      <c r="A6" s="1533"/>
      <c r="B6" s="1533"/>
      <c r="C6" s="1533"/>
      <c r="D6" s="1533"/>
      <c r="E6" s="2429"/>
      <c r="F6" s="2429"/>
      <c r="G6" s="2429"/>
      <c r="H6" s="2429"/>
      <c r="I6" s="2426">
        <f>S5&amp;".1"</f>
      </c>
      <c r="J6" s="1533"/>
      <c r="K6" s="1533"/>
      <c r="L6" s="1534" t="s">
        <v>410</v>
      </c>
      <c r="M6" s="707"/>
      <c r="P6" s="2427">
        <v>1</v>
      </c>
      <c r="Q6" s="1501"/>
      <c r="R6" s="526"/>
      <c r="S6" s="1506">
        <f>$I6</f>
      </c>
      <c r="T6" s="455" t="s">
        <v>411</v>
      </c>
      <c r="U6" s="470"/>
      <c r="V6" s="2415"/>
      <c r="W6" s="2416"/>
      <c r="X6" s="2416"/>
      <c r="Y6" s="2416"/>
      <c r="Z6" s="2416"/>
      <c r="AA6" s="2416"/>
      <c r="AB6" s="2416"/>
      <c r="AC6" s="2417"/>
      <c r="AD6" s="2415"/>
      <c r="AE6" s="2416"/>
      <c r="AF6" s="2416"/>
      <c r="AG6" s="2416"/>
      <c r="AH6" s="2416"/>
      <c r="AI6" s="2416"/>
      <c r="AJ6" s="2416"/>
      <c r="AK6" s="2416"/>
      <c r="AL6" s="2417"/>
      <c r="AM6" s="1428" t="s">
        <v>412</v>
      </c>
      <c r="AO6" s="670"/>
      <c r="AP6" s="670" t="str">
        <f>IF(T6="","",T6)</f>
        <v xml:space="preserve">Схема подключения теплопотребляющей установки к коллектору источника тепловой энергии</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495"/>
      <c r="W8" s="921"/>
      <c r="X8" s="495"/>
      <c r="Y8" s="554"/>
      <c r="Z8" s="2435"/>
      <c r="AA8" s="2277" t="s">
        <v>67</v>
      </c>
      <c r="AB8" s="2435"/>
      <c r="AC8" s="2277" t="s">
        <v>67</v>
      </c>
      <c r="AD8" s="495"/>
      <c r="AE8" s="921"/>
      <c r="AF8" s="495"/>
      <c r="AG8" s="554"/>
      <c r="AH8" s="2435"/>
      <c r="AI8" s="2277" t="s">
        <v>67</v>
      </c>
      <c r="AJ8" s="2435"/>
      <c r="AK8" s="2277" t="s">
        <v>67</v>
      </c>
      <c r="AL8" s="495"/>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8"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5" hidden="1" customHeight="1">
      <c r="A11" s="1533"/>
      <c r="B11" s="1533"/>
      <c r="C11" s="1533"/>
      <c r="D11" s="1533"/>
      <c r="E11" s="2429"/>
      <c r="F11" s="2429"/>
      <c r="G11" s="2429"/>
      <c r="H11" s="2429"/>
      <c r="I11" s="2426"/>
      <c r="J11" s="1533"/>
      <c r="K11" s="1533"/>
      <c r="L11" s="1534"/>
      <c r="M11" s="707"/>
      <c r="P11" s="2427"/>
      <c r="Q11" s="1501"/>
      <c r="R11" s="526"/>
      <c r="S11" s="1448"/>
      <c r="T11" s="457"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448"/>
      <c r="T12" s="535" t="s">
        <v>420</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 xml:space="preserve">Добавить схему подключения</v>
      </c>
      <c r="AQ12" s="670"/>
      <c r="AR12" s="670"/>
      <c r="AS12" s="1325">
        <v>0</v>
      </c>
    </row>
    <row r="13" s="9218"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9218"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9218"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67</v>
      </c>
      <c r="AJ17" s="2437"/>
      <c r="AK17" s="2438" t="s">
        <v>67</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9217"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9217" customFormat="1" ht="14.25" hidden="1" customHeight="1">
      <c r="L21" s="1499"/>
      <c r="M21" s="1532"/>
      <c r="N21" s="1532"/>
      <c r="O21" s="1532"/>
      <c r="P21" s="1532"/>
      <c r="Q21" s="1541"/>
      <c r="R21" s="1541"/>
      <c r="S21" s="899"/>
      <c r="AC21" s="1536"/>
      <c r="AK21" s="1536"/>
      <c r="AN21" s="681"/>
      <c r="AO21" s="681"/>
      <c r="AP21" s="681"/>
      <c r="AQ21" s="681"/>
      <c r="AR21" s="681"/>
      <c r="AS21" s="1330">
        <v>0</v>
      </c>
    </row>
    <row r="22" s="9217" customFormat="1" ht="33.7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29.25" customHeight="1">
      <c r="Q26" s="546"/>
      <c r="R26" s="546"/>
      <c r="S26" s="2418" t="str">
        <f>IF(TEMPLATE_GROUP="P",PT_P_FORM_HEAT_4_NAME_FORM,PT_R_FORM_HEAT_21_NAME_FORM)</f>
        <v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hidden="1"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9344" customFormat="1" ht="25.5" hidden="1"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45646</v>
      </c>
      <c r="W30" s="2434"/>
      <c r="X30" s="2434"/>
      <c r="Y30" s="2434"/>
      <c r="Z30" s="2434"/>
      <c r="AA30" s="2434"/>
      <c r="AB30" s="2434"/>
      <c r="AC30" s="496"/>
      <c r="AD30" s="2434" t="str">
        <f>IF(TITLE_DATE_PR_CHANGE="",IF(TITLE_DATE_PR="","",TITLE_DATE_PR),TITLE_DATE_PR_CHANGE)</f>
        <v>45646</v>
      </c>
      <c r="AE30" s="2434"/>
      <c r="AF30" s="2434"/>
      <c r="AG30" s="2434"/>
      <c r="AH30" s="2434"/>
      <c r="AI30" s="2434"/>
      <c r="AJ30" s="2434"/>
      <c r="AK30" s="496"/>
      <c r="AL30" s="496"/>
      <c r="AM30" s="450"/>
      <c r="AN30" s="538"/>
      <c r="AO30" s="538"/>
      <c r="AP30" s="538"/>
      <c r="AQ30" s="538"/>
      <c r="AR30" s="538"/>
      <c r="AS30" s="588">
        <v>0</v>
      </c>
    </row>
    <row r="31" s="9344" customFormat="1" ht="18.75" hidden="1"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ДГК-01.1/22560</v>
      </c>
      <c r="W31" s="2421"/>
      <c r="X31" s="2421"/>
      <c r="Y31" s="2421"/>
      <c r="Z31" s="2421"/>
      <c r="AA31" s="2421"/>
      <c r="AB31" s="2421"/>
      <c r="AC31" s="496"/>
      <c r="AD31" s="2421" t="str">
        <f>IF(TITLE_NUMBER_PR_CHANGE="",IF(TITLE_NUMBER_PR="","",TITLE_NUMBER_PR),TITLE_NUMBER_PR_CHANGE)</f>
        <v>ДГК-01.1/22560</v>
      </c>
      <c r="AE31" s="2421"/>
      <c r="AF31" s="2421"/>
      <c r="AG31" s="2421"/>
      <c r="AH31" s="2421"/>
      <c r="AI31" s="2421"/>
      <c r="AJ31" s="2421"/>
      <c r="AK31" s="496"/>
      <c r="AL31" s="496"/>
      <c r="AM31" s="450"/>
      <c r="AN31" s="538"/>
      <c r="AO31" s="538"/>
      <c r="AP31" s="538"/>
      <c r="AQ31" s="538"/>
      <c r="AR31" s="538"/>
      <c r="AS31" s="588">
        <v>0</v>
      </c>
    </row>
    <row r="32" s="9344" customFormat="1" ht="18.75" hidden="1" customHeight="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r="33" ht="14.25"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9344" customFormat="1" ht="18.75"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45646</v>
      </c>
      <c r="W34" s="2434"/>
      <c r="X34" s="2434"/>
      <c r="Y34" s="2434"/>
      <c r="Z34" s="2434"/>
      <c r="AA34" s="2434"/>
      <c r="AB34" s="2434"/>
      <c r="AC34" s="496"/>
      <c r="AD34" s="2434" t="str">
        <f>IF(TITLE_DATE_PR_CHANGE="",IF(TITLE_DATE_PR="","",TITLE_DATE_PR),TITLE_DATE_PR_CHANGE)</f>
        <v>45646</v>
      </c>
      <c r="AE34" s="2434"/>
      <c r="AF34" s="2434"/>
      <c r="AG34" s="2434"/>
      <c r="AH34" s="2434"/>
      <c r="AI34" s="2434"/>
      <c r="AJ34" s="2434"/>
      <c r="AK34" s="496"/>
      <c r="AL34" s="496"/>
      <c r="AM34" s="450"/>
      <c r="AN34" s="538"/>
      <c r="AO34" s="538"/>
      <c r="AP34" s="538"/>
      <c r="AQ34" s="538"/>
      <c r="AR34" s="538"/>
      <c r="AS34" s="588">
        <v>0</v>
      </c>
    </row>
    <row r="35" s="9344" customFormat="1" ht="18.75"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ДГК-01.1/22560</v>
      </c>
      <c r="W35" s="2421"/>
      <c r="X35" s="2421"/>
      <c r="Y35" s="2421"/>
      <c r="Z35" s="2421"/>
      <c r="AA35" s="2421"/>
      <c r="AB35" s="2421"/>
      <c r="AC35" s="496"/>
      <c r="AD35" s="2421" t="str">
        <f>IF(TITLE_NUMBER_PR_CHANGE="",IF(TITLE_NUMBER_PR="","",TITLE_NUMBER_PR),TITLE_NUMBER_PR_CHANGE)</f>
        <v>ДГК-01.1/22560</v>
      </c>
      <c r="AE35" s="2421"/>
      <c r="AF35" s="2421"/>
      <c r="AG35" s="2421"/>
      <c r="AH35" s="2421"/>
      <c r="AI35" s="2421"/>
      <c r="AJ35" s="2421"/>
      <c r="AK35" s="496"/>
      <c r="AL35" s="496"/>
      <c r="AM35" s="450"/>
      <c r="AN35" s="538"/>
      <c r="AO35" s="538"/>
      <c r="AP35" s="538"/>
      <c r="AQ35" s="538"/>
      <c r="AR35" s="538"/>
      <c r="AS35" s="588">
        <v>0</v>
      </c>
    </row>
    <row r="36" s="9344"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89</v>
      </c>
      <c r="T39" s="2379" t="s">
        <v>433</v>
      </c>
      <c r="U39" s="471"/>
      <c r="V39" s="2444" t="s">
        <v>434</v>
      </c>
      <c r="W39" s="2445"/>
      <c r="X39" s="2461"/>
      <c r="Y39" s="2461"/>
      <c r="Z39" s="2445"/>
      <c r="AA39" s="2445"/>
      <c r="AB39" s="2446"/>
      <c r="AC39" s="2447" t="s">
        <v>435</v>
      </c>
      <c r="AD39" s="2444" t="s">
        <v>434</v>
      </c>
      <c r="AE39" s="2445"/>
      <c r="AF39" s="2461"/>
      <c r="AG39" s="2461"/>
      <c r="AH39" s="2445"/>
      <c r="AI39" s="2445"/>
      <c r="AJ39" s="2446"/>
      <c r="AK39" s="2447" t="s">
        <v>436</v>
      </c>
      <c r="AL39" s="2450" t="s">
        <v>437</v>
      </c>
      <c r="AM39" s="2297"/>
      <c r="AS39" s="1325">
        <v>14</v>
      </c>
    </row>
    <row r="40" ht="24" customHeight="1">
      <c r="Q40" s="546"/>
      <c r="R40" s="546"/>
      <c r="S40" s="2443"/>
      <c r="T40" s="2379"/>
      <c r="U40" s="1201"/>
      <c r="V40" s="2462" t="s">
        <v>438</v>
      </c>
      <c r="W40" s="2464" t="s">
        <v>439</v>
      </c>
      <c r="X40" s="1546" t="s">
        <v>440</v>
      </c>
      <c r="Y40" s="1546"/>
      <c r="Z40" s="2439" t="s">
        <v>441</v>
      </c>
      <c r="AA40" s="2439"/>
      <c r="AB40" s="2433"/>
      <c r="AC40" s="2448"/>
      <c r="AD40" s="2462" t="s">
        <v>438</v>
      </c>
      <c r="AE40" s="2464" t="s">
        <v>439</v>
      </c>
      <c r="AF40" s="1546" t="s">
        <v>440</v>
      </c>
      <c r="AG40" s="1546"/>
      <c r="AH40" s="2439" t="s">
        <v>441</v>
      </c>
      <c r="AI40" s="2439"/>
      <c r="AJ40" s="2433"/>
      <c r="AK40" s="2448"/>
      <c r="AL40" s="2451"/>
      <c r="AM40" s="2297"/>
      <c r="AS40" s="1325">
        <v>23</v>
      </c>
    </row>
    <row r="41" s="9396" customFormat="1" ht="24" customHeight="1">
      <c r="A41" s="1540"/>
      <c r="B41" s="1540" t="s">
        <v>135</v>
      </c>
      <c r="C41" s="1540" t="s">
        <v>136</v>
      </c>
      <c r="D41" s="1540" t="s">
        <v>137</v>
      </c>
      <c r="E41" s="1534" t="s">
        <v>442</v>
      </c>
      <c r="F41" s="1534" t="s">
        <v>443</v>
      </c>
      <c r="G41" s="1534" t="s">
        <v>444</v>
      </c>
      <c r="H41" s="1534" t="s">
        <v>445</v>
      </c>
      <c r="I41" s="1534" t="s">
        <v>446</v>
      </c>
      <c r="J41" s="1534" t="s">
        <v>447</v>
      </c>
      <c r="K41" s="1534" t="s">
        <v>448</v>
      </c>
      <c r="L41" s="1534" t="s">
        <v>422</v>
      </c>
      <c r="M41" s="1532"/>
      <c r="N41" s="1532"/>
      <c r="O41" s="1532"/>
      <c r="P41" s="1498"/>
      <c r="Q41" s="546"/>
      <c r="R41" s="546"/>
      <c r="S41" s="2443"/>
      <c r="T41" s="2379"/>
      <c r="U41" s="472"/>
      <c r="V41" s="2463"/>
      <c r="W41" s="2465"/>
      <c r="X41" s="1543" t="s">
        <v>449</v>
      </c>
      <c r="Y41" s="1543" t="s">
        <v>450</v>
      </c>
      <c r="Z41" s="1504" t="s">
        <v>451</v>
      </c>
      <c r="AA41" s="2440" t="s">
        <v>452</v>
      </c>
      <c r="AB41" s="2441"/>
      <c r="AC41" s="2449"/>
      <c r="AD41" s="2463"/>
      <c r="AE41" s="2465"/>
      <c r="AF41" s="1543" t="s">
        <v>449</v>
      </c>
      <c r="AG41" s="1543" t="s">
        <v>450</v>
      </c>
      <c r="AH41" s="1504" t="s">
        <v>451</v>
      </c>
      <c r="AI41" s="2440" t="s">
        <v>452</v>
      </c>
      <c r="AJ41" s="2441"/>
      <c r="AK41" s="2449"/>
      <c r="AL41" s="2452"/>
      <c r="AM41" s="2297"/>
      <c r="AN41" s="681"/>
      <c r="AO41" s="670"/>
      <c r="AP41" s="670"/>
      <c r="AQ41" s="670"/>
      <c r="AR41" s="670"/>
      <c r="AS41" s="752">
        <v>23</v>
      </c>
    </row>
    <row r="42" s="9831"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201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 xml:space="preserve">Наименование тарифа</v>
      </c>
      <c r="AQ43" s="670"/>
      <c r="AR43" s="670"/>
      <c r="AS43" s="1325">
        <v>21</v>
      </c>
    </row>
    <row r="44" ht="22" customHeight="1">
      <c r="A44" s="1533" t="s">
        <v>201</v>
      </c>
      <c r="B44" s="1533" t="s">
        <v>202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201</v>
      </c>
      <c r="B45" s="1533" t="s">
        <v>202</v>
      </c>
      <c r="C45" s="1533" t="s">
        <v>203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201</v>
      </c>
      <c r="B46" s="1533" t="s">
        <v>202</v>
      </c>
      <c r="C46" s="1533" t="s">
        <v>203</v>
      </c>
      <c r="D46" s="1533" t="s">
        <v>204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ht="49.5" customHeight="1">
      <c r="A47" s="1533" t="s">
        <v>201</v>
      </c>
      <c r="B47" s="1533" t="s">
        <v>202</v>
      </c>
      <c r="C47" s="1533" t="s">
        <v>203</v>
      </c>
      <c r="D47" s="1533" t="s">
        <v>204</v>
      </c>
      <c r="E47" s="2429"/>
      <c r="F47" s="2429"/>
      <c r="G47" s="2429"/>
      <c r="H47" s="2429"/>
      <c r="I47" s="2426" t="str">
        <f>S46&amp;".1"</f>
        <v>....1</v>
      </c>
      <c r="J47" s="1533"/>
      <c r="K47" s="1533"/>
      <c r="L47" s="1534" t="s">
        <v>410</v>
      </c>
      <c r="P47" s="2427">
        <v>1</v>
      </c>
      <c r="Q47" s="1501"/>
      <c r="R47" s="526"/>
      <c r="S47" s="1506" t="str">
        <f>$I47</f>
        <v>....1</v>
      </c>
      <c r="T47" s="455" t="s">
        <v>411</v>
      </c>
      <c r="U47" s="470"/>
      <c r="V47" s="2415"/>
      <c r="W47" s="2416"/>
      <c r="X47" s="2416"/>
      <c r="Y47" s="2416"/>
      <c r="Z47" s="2416"/>
      <c r="AA47" s="2416"/>
      <c r="AB47" s="2416"/>
      <c r="AC47" s="2417"/>
      <c r="AD47" s="2415"/>
      <c r="AE47" s="2416"/>
      <c r="AF47" s="2416"/>
      <c r="AG47" s="2416"/>
      <c r="AH47" s="2416"/>
      <c r="AI47" s="2416"/>
      <c r="AJ47" s="2416"/>
      <c r="AK47" s="2416"/>
      <c r="AL47" s="2417"/>
      <c r="AM47" s="1428" t="s">
        <v>412</v>
      </c>
      <c r="AO47" s="670"/>
      <c r="AP47" s="670" t="str">
        <f>IF(T47="","",T47)</f>
        <v xml:space="preserve">Схема подключения теплопотребляющей установки к коллектору источника тепловой энергии</v>
      </c>
      <c r="AQ47" s="670"/>
      <c r="AR47" s="670"/>
      <c r="AS47" s="1325">
        <v>47</v>
      </c>
    </row>
    <row r="48" ht="22" customHeight="1">
      <c r="A48" s="1533" t="s">
        <v>201</v>
      </c>
      <c r="B48" s="1533" t="s">
        <v>202</v>
      </c>
      <c r="C48" s="1533" t="s">
        <v>203</v>
      </c>
      <c r="D48" s="1533" t="s">
        <v>204</v>
      </c>
      <c r="E48" s="2429"/>
      <c r="F48" s="2429"/>
      <c r="G48" s="2429"/>
      <c r="H48" s="2429"/>
      <c r="I48" s="2456"/>
      <c r="J48" s="2426" t="str">
        <f>I47&amp;".1"</f>
        <v>....1.1</v>
      </c>
      <c r="K48" s="1533"/>
      <c r="L48" s="1534" t="s">
        <v>413</v>
      </c>
      <c r="P48" s="2427"/>
      <c r="Q48" s="2427">
        <v>1</v>
      </c>
      <c r="R48" s="527"/>
      <c r="S48" s="1506" t="str">
        <f>$J48</f>
        <v>....1.1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201</v>
      </c>
      <c r="B49" s="1533" t="s">
        <v>202</v>
      </c>
      <c r="C49" s="1533" t="s">
        <v>203</v>
      </c>
      <c r="D49" s="1533" t="s">
        <v>204</v>
      </c>
      <c r="E49" s="2429"/>
      <c r="F49" s="2429"/>
      <c r="G49" s="2429"/>
      <c r="H49" s="2429"/>
      <c r="I49" s="2456"/>
      <c r="J49" s="2456"/>
      <c r="K49" s="2426" t="str">
        <f>J48&amp;".1"</f>
        <v>....1.1.1</v>
      </c>
      <c r="L49" s="1534" t="s">
        <v>416</v>
      </c>
      <c r="P49" s="2427"/>
      <c r="Q49" s="2427"/>
      <c r="R49" s="527">
        <v>1</v>
      </c>
      <c r="S49" s="1506" t="str">
        <f>$K49</f>
        <v>....1.1.1</v>
      </c>
      <c r="T49" s="1517"/>
      <c r="U49" s="470"/>
      <c r="V49" s="495"/>
      <c r="W49" s="921"/>
      <c r="X49" s="495"/>
      <c r="Y49" s="554"/>
      <c r="Z49" s="2435"/>
      <c r="AA49" s="2277" t="s">
        <v>67</v>
      </c>
      <c r="AB49" s="2435"/>
      <c r="AC49" s="2277" t="s">
        <v>67</v>
      </c>
      <c r="AD49" s="495"/>
      <c r="AE49" s="921"/>
      <c r="AF49" s="495"/>
      <c r="AG49" s="554"/>
      <c r="AH49" s="2435"/>
      <c r="AI49" s="2277" t="s">
        <v>67</v>
      </c>
      <c r="AJ49" s="2457"/>
      <c r="AK49" s="2277" t="s">
        <v>67</v>
      </c>
      <c r="AL49" s="1518"/>
      <c r="AM49" s="2423" t="s">
        <v>417</v>
      </c>
      <c r="AN49" s="681">
        <f>STRCHECKDATE(V50:AL50)</f>
      </c>
      <c r="AO49" s="670"/>
      <c r="AP49" s="670" t="str">
        <f>IF(T49="","",T49)</f>
        <v/>
      </c>
      <c r="AQ49" s="670"/>
      <c r="AR49" s="670"/>
      <c r="AS49" s="1325">
        <v>21</v>
      </c>
    </row>
    <row r="50" ht="1.05" customHeight="1">
      <c r="A50" s="1533" t="s">
        <v>201</v>
      </c>
      <c r="B50" s="1533" t="s">
        <v>202</v>
      </c>
      <c r="C50" s="1533" t="s">
        <v>203</v>
      </c>
      <c r="D50" s="1533" t="s">
        <v>204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201</v>
      </c>
      <c r="B51" s="1533" t="s">
        <v>202</v>
      </c>
      <c r="C51" s="1533" t="s">
        <v>203</v>
      </c>
      <c r="D51" s="1533" t="s">
        <v>204</v>
      </c>
      <c r="E51" s="2429"/>
      <c r="F51" s="2429"/>
      <c r="G51" s="2429"/>
      <c r="H51" s="2429"/>
      <c r="I51" s="2456"/>
      <c r="J51" s="2426"/>
      <c r="K51" s="1533"/>
      <c r="L51" s="1534"/>
      <c r="P51" s="2427"/>
      <c r="Q51" s="2427"/>
      <c r="R51" s="526"/>
      <c r="S51" s="1448"/>
      <c r="T51" s="458"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201</v>
      </c>
      <c r="B52" s="1533" t="s">
        <v>202</v>
      </c>
      <c r="C52" s="1533" t="s">
        <v>203</v>
      </c>
      <c r="D52" s="1533" t="s">
        <v>204</v>
      </c>
      <c r="E52" s="2429"/>
      <c r="F52" s="2429"/>
      <c r="G52" s="2429"/>
      <c r="H52" s="2429"/>
      <c r="I52" s="2426"/>
      <c r="J52" s="1533"/>
      <c r="K52" s="1533"/>
      <c r="L52" s="1534"/>
      <c r="P52" s="2427"/>
      <c r="Q52" s="1501"/>
      <c r="R52" s="526"/>
      <c r="S52" s="1448"/>
      <c r="T52" s="457"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14.65" customHeight="1">
      <c r="A53" s="1533" t="s">
        <v>201</v>
      </c>
      <c r="B53" s="1533" t="s">
        <v>202</v>
      </c>
      <c r="C53" s="1533" t="s">
        <v>203</v>
      </c>
      <c r="D53" s="1533" t="s">
        <v>204</v>
      </c>
      <c r="E53" s="2429"/>
      <c r="F53" s="2429"/>
      <c r="G53" s="2429"/>
      <c r="H53" s="2428"/>
      <c r="I53" s="1533"/>
      <c r="J53" s="1533"/>
      <c r="K53" s="1533"/>
      <c r="L53" s="1534"/>
      <c r="M53" s="1535"/>
      <c r="N53" s="1535"/>
      <c r="O53" s="707"/>
      <c r="P53" s="530"/>
      <c r="Q53" s="545"/>
      <c r="R53" s="525"/>
      <c r="S53" s="1448"/>
      <c r="T53" s="535" t="s">
        <v>420</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 xml:space="preserve">Добавить схему подключения</v>
      </c>
      <c r="AQ53" s="670"/>
      <c r="AR53" s="670"/>
      <c r="AS53" s="1325">
        <v>14</v>
      </c>
    </row>
    <row r="54" s="9218" customFormat="1" ht="1.05" customHeight="1">
      <c r="A54" s="1513" t="s">
        <v>201</v>
      </c>
      <c r="B54" s="1513" t="s">
        <v>202</v>
      </c>
      <c r="C54" s="1513" t="s">
        <v>203</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9218" customFormat="1" ht="1.05" customHeight="1">
      <c r="A55" s="1513" t="s">
        <v>201</v>
      </c>
      <c r="B55" s="1513" t="s">
        <v>202</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9218" customFormat="1" ht="1.05" customHeight="1">
      <c r="A56" s="1513" t="s">
        <v>201</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9218"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28.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r="60" ht="78.7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r="61" ht="14.65" customHeight="1">
      <c r="O61" s="707"/>
      <c r="AS61" s="1325">
        <v>14</v>
      </c>
    </row>
    <row r="62" ht="18.75" customHeight="1">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r="63" ht="18.75" customHeight="1">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r="64" ht="39.75" customHeight="1">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r="65" ht="22.5" hidden="1" customHeight="1">
      <c r="A65" s="1330" t="s">
        <v>83</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autoFilter="0" deleteColumns="1" deleteRows="1" formatColumns="0" formatRows="0" insertColumns="1" insertRows="1" sheet="1" sort="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BC0053-00E3-4070-807F-009900BD00BC}"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9000A5-006E-4758-87AA-00C2007F0048}"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4E0019-0012-4F55-A311-002200CD0024}"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6900E8-00AD-43AD-8EBC-000800480092}"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hidden="1" min="16" max="16" style="10313" width="3.7109375"/>
    <col customWidth="1" min="17" max="18" style="10314" width="3.00390625"/>
    <col customWidth="1" min="19" max="19" style="10315" width="12.00390625"/>
    <col customWidth="1" min="20" max="20" style="9138" width="31.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hidden="1" min="37" max="37" style="9138" width="8.57421875"/>
    <col customWidth="1" min="38" max="38" style="9138" width="4.00390625"/>
    <col customWidth="1" min="39" max="39" style="9138" width="115.00390625"/>
    <col customWidth="1" min="40" max="44" style="9218" width="10.00390625"/>
    <col customWidth="1" hidden="1" min="45" max="45" style="9138" width="8.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14.25" hidden="1" customHeight="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5" hidden="1" customHeight="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r="13" s="9218"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9218"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9218"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67</v>
      </c>
      <c r="AJ17" s="2437"/>
      <c r="AK17" s="2438" t="s">
        <v>67</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9217"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9217" customFormat="1" ht="14.25" hidden="1" customHeight="1">
      <c r="L21" s="1499"/>
      <c r="M21" s="1532"/>
      <c r="N21" s="1532"/>
      <c r="O21" s="1532"/>
      <c r="P21" s="1532"/>
      <c r="Q21" s="1541"/>
      <c r="R21" s="1541"/>
      <c r="S21" s="899"/>
      <c r="AC21" s="1536"/>
      <c r="AK21" s="1536"/>
      <c r="AN21" s="681"/>
      <c r="AO21" s="681"/>
      <c r="AP21" s="681"/>
      <c r="AQ21" s="681"/>
      <c r="AR21" s="681"/>
      <c r="AS21" s="1330">
        <v>0</v>
      </c>
    </row>
    <row r="22" s="9217"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63" customHeight="1">
      <c r="Q26" s="546"/>
      <c r="R26" s="546"/>
      <c r="S26" s="2418"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hidden="1"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9344" customFormat="1" ht="25.5" hidden="1"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45646</v>
      </c>
      <c r="W30" s="2434"/>
      <c r="X30" s="2434"/>
      <c r="Y30" s="2434"/>
      <c r="Z30" s="2434"/>
      <c r="AA30" s="2434"/>
      <c r="AB30" s="2434"/>
      <c r="AC30" s="496"/>
      <c r="AD30" s="2434" t="str">
        <f>IF(TITLE_DATE_PR_CHANGE="",IF(TITLE_DATE_PR="","",TITLE_DATE_PR),TITLE_DATE_PR_CHANGE)</f>
        <v>45646</v>
      </c>
      <c r="AE30" s="2434"/>
      <c r="AF30" s="2434"/>
      <c r="AG30" s="2434"/>
      <c r="AH30" s="2434"/>
      <c r="AI30" s="2434"/>
      <c r="AJ30" s="2434"/>
      <c r="AK30" s="496"/>
      <c r="AL30" s="496"/>
      <c r="AM30" s="450"/>
      <c r="AN30" s="538"/>
      <c r="AO30" s="538"/>
      <c r="AP30" s="538"/>
      <c r="AQ30" s="538"/>
      <c r="AR30" s="538"/>
      <c r="AS30" s="588">
        <v>0</v>
      </c>
    </row>
    <row r="31" s="9344" customFormat="1" ht="18.75" hidden="1"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ДГК-01.1/22560</v>
      </c>
      <c r="W31" s="2421"/>
      <c r="X31" s="2421"/>
      <c r="Y31" s="2421"/>
      <c r="Z31" s="2421"/>
      <c r="AA31" s="2421"/>
      <c r="AB31" s="2421"/>
      <c r="AC31" s="496"/>
      <c r="AD31" s="2421" t="str">
        <f>IF(TITLE_NUMBER_PR_CHANGE="",IF(TITLE_NUMBER_PR="","",TITLE_NUMBER_PR),TITLE_NUMBER_PR_CHANGE)</f>
        <v>ДГК-01.1/22560</v>
      </c>
      <c r="AE31" s="2421"/>
      <c r="AF31" s="2421"/>
      <c r="AG31" s="2421"/>
      <c r="AH31" s="2421"/>
      <c r="AI31" s="2421"/>
      <c r="AJ31" s="2421"/>
      <c r="AK31" s="496"/>
      <c r="AL31" s="496"/>
      <c r="AM31" s="450"/>
      <c r="AN31" s="538"/>
      <c r="AO31" s="538"/>
      <c r="AP31" s="538"/>
      <c r="AQ31" s="538"/>
      <c r="AR31" s="538"/>
      <c r="AS31" s="588">
        <v>0</v>
      </c>
    </row>
    <row r="32" s="9344" customFormat="1" ht="18.75" hidden="1" customHeight="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r="33" ht="14.25"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9344" customFormat="1" ht="18.75"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45646</v>
      </c>
      <c r="W34" s="2434"/>
      <c r="X34" s="2434"/>
      <c r="Y34" s="2434"/>
      <c r="Z34" s="2434"/>
      <c r="AA34" s="2434"/>
      <c r="AB34" s="2434"/>
      <c r="AC34" s="496"/>
      <c r="AD34" s="2434" t="str">
        <f>IF(TITLE_DATE_PR_CHANGE="",IF(TITLE_DATE_PR="","",TITLE_DATE_PR),TITLE_DATE_PR_CHANGE)</f>
        <v>45646</v>
      </c>
      <c r="AE34" s="2434"/>
      <c r="AF34" s="2434"/>
      <c r="AG34" s="2434"/>
      <c r="AH34" s="2434"/>
      <c r="AI34" s="2434"/>
      <c r="AJ34" s="2434"/>
      <c r="AK34" s="496"/>
      <c r="AL34" s="496"/>
      <c r="AM34" s="450"/>
      <c r="AN34" s="538"/>
      <c r="AO34" s="538"/>
      <c r="AP34" s="538"/>
      <c r="AQ34" s="538"/>
      <c r="AR34" s="538"/>
      <c r="AS34" s="588">
        <v>0</v>
      </c>
    </row>
    <row r="35" s="9344" customFormat="1" ht="18.75"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ДГК-01.1/22560</v>
      </c>
      <c r="W35" s="2421"/>
      <c r="X35" s="2421"/>
      <c r="Y35" s="2421"/>
      <c r="Z35" s="2421"/>
      <c r="AA35" s="2421"/>
      <c r="AB35" s="2421"/>
      <c r="AC35" s="496"/>
      <c r="AD35" s="2421" t="str">
        <f>IF(TITLE_NUMBER_PR_CHANGE="",IF(TITLE_NUMBER_PR="","",TITLE_NUMBER_PR),TITLE_NUMBER_PR_CHANGE)</f>
        <v>ДГК-01.1/22560</v>
      </c>
      <c r="AE35" s="2421"/>
      <c r="AF35" s="2421"/>
      <c r="AG35" s="2421"/>
      <c r="AH35" s="2421"/>
      <c r="AI35" s="2421"/>
      <c r="AJ35" s="2421"/>
      <c r="AK35" s="496"/>
      <c r="AL35" s="496"/>
      <c r="AM35" s="450"/>
      <c r="AN35" s="538"/>
      <c r="AO35" s="538"/>
      <c r="AP35" s="538"/>
      <c r="AQ35" s="538"/>
      <c r="AR35" s="538"/>
      <c r="AS35" s="588">
        <v>0</v>
      </c>
    </row>
    <row r="36" s="9344"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89</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r="40" ht="35.649999999999999" customHeight="1">
      <c r="Q40" s="546"/>
      <c r="R40" s="546"/>
      <c r="S40" s="2443"/>
      <c r="T40" s="2379"/>
      <c r="U40" s="1201"/>
      <c r="V40" s="2430" t="s">
        <v>438</v>
      </c>
      <c r="W40" s="2453"/>
      <c r="X40" s="2432" t="s">
        <v>440</v>
      </c>
      <c r="Y40" s="2433"/>
      <c r="Z40" s="2432" t="s">
        <v>441</v>
      </c>
      <c r="AA40" s="2439"/>
      <c r="AB40" s="2433"/>
      <c r="AC40" s="2448"/>
      <c r="AD40" s="2430" t="s">
        <v>456</v>
      </c>
      <c r="AE40" s="2453"/>
      <c r="AF40" s="2432" t="s">
        <v>440</v>
      </c>
      <c r="AG40" s="2433"/>
      <c r="AH40" s="2432" t="s">
        <v>441</v>
      </c>
      <c r="AI40" s="2439"/>
      <c r="AJ40" s="2433"/>
      <c r="AK40" s="2448"/>
      <c r="AL40" s="2451"/>
      <c r="AM40" s="2297"/>
      <c r="AS40" s="1325">
        <v>34</v>
      </c>
    </row>
    <row r="41" ht="35.649999999999999" customHeight="1">
      <c r="A41" s="1540"/>
      <c r="B41" s="1540" t="s">
        <v>135</v>
      </c>
      <c r="C41" s="1540" t="s">
        <v>136</v>
      </c>
      <c r="D41" s="1540" t="s">
        <v>137</v>
      </c>
      <c r="E41" s="1534" t="s">
        <v>442</v>
      </c>
      <c r="F41" s="1534" t="s">
        <v>443</v>
      </c>
      <c r="G41" s="1534" t="s">
        <v>444</v>
      </c>
      <c r="H41" s="1534" t="s">
        <v>445</v>
      </c>
      <c r="I41" s="1534" t="s">
        <v>446</v>
      </c>
      <c r="J41" s="1534" t="s">
        <v>447</v>
      </c>
      <c r="K41" s="1534" t="s">
        <v>448</v>
      </c>
      <c r="L41" s="1534" t="s">
        <v>422</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r="42" s="9831"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177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 xml:space="preserve">Наименование тарифа</v>
      </c>
      <c r="AQ43" s="670"/>
      <c r="AR43" s="670"/>
      <c r="AS43" s="1325">
        <v>21</v>
      </c>
    </row>
    <row r="44" ht="22" customHeight="1">
      <c r="A44" s="1533" t="s">
        <v>177</v>
      </c>
      <c r="B44" s="1533" t="s">
        <v>178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177</v>
      </c>
      <c r="B45" s="1533" t="s">
        <v>178</v>
      </c>
      <c r="C45" s="1533" t="s">
        <v>179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177</v>
      </c>
      <c r="B46" s="1533" t="s">
        <v>178</v>
      </c>
      <c r="C46" s="1533" t="s">
        <v>179</v>
      </c>
      <c r="D46" s="1533" t="s">
        <v>180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s="9218" customFormat="1" ht="0" customHeight="1">
      <c r="A47" s="1513" t="s">
        <v>177</v>
      </c>
      <c r="B47" s="1513" t="s">
        <v>178</v>
      </c>
      <c r="C47" s="1513" t="s">
        <v>179</v>
      </c>
      <c r="D47" s="1513" t="s">
        <v>180</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r="48" ht="22" customHeight="1">
      <c r="A48" s="1533" t="s">
        <v>177</v>
      </c>
      <c r="B48" s="1533" t="s">
        <v>178</v>
      </c>
      <c r="C48" s="1533" t="s">
        <v>179</v>
      </c>
      <c r="D48" s="1533" t="s">
        <v>180</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177</v>
      </c>
      <c r="B49" s="1533" t="s">
        <v>178</v>
      </c>
      <c r="C49" s="1533" t="s">
        <v>179</v>
      </c>
      <c r="D49" s="1533" t="s">
        <v>180</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457</v>
      </c>
      <c r="AN49" s="681">
        <f>STRCHECKDATE(V50:AL50)</f>
      </c>
      <c r="AO49" s="670"/>
      <c r="AP49" s="670" t="str">
        <f>IF(T49="","",T49)</f>
        <v/>
      </c>
      <c r="AQ49" s="670"/>
      <c r="AR49" s="670"/>
      <c r="AS49" s="1325">
        <v>21</v>
      </c>
    </row>
    <row r="50" ht="1.05" customHeight="1">
      <c r="A50" s="1533" t="s">
        <v>177</v>
      </c>
      <c r="B50" s="1533" t="s">
        <v>178</v>
      </c>
      <c r="C50" s="1533" t="s">
        <v>179</v>
      </c>
      <c r="D50" s="1533" t="s">
        <v>180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177</v>
      </c>
      <c r="B51" s="1533" t="s">
        <v>178</v>
      </c>
      <c r="C51" s="1533" t="s">
        <v>179</v>
      </c>
      <c r="D51" s="1533" t="s">
        <v>180</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177</v>
      </c>
      <c r="B52" s="1533" t="s">
        <v>178</v>
      </c>
      <c r="C52" s="1533" t="s">
        <v>179</v>
      </c>
      <c r="D52" s="1533" t="s">
        <v>180</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0" customHeight="1">
      <c r="A53" s="1533" t="s">
        <v>177</v>
      </c>
      <c r="B53" s="1533" t="s">
        <v>178</v>
      </c>
      <c r="C53" s="1533" t="s">
        <v>179</v>
      </c>
      <c r="D53" s="1533" t="s">
        <v>180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r="54" s="9218" customFormat="1" ht="1.05" customHeight="1">
      <c r="A54" s="1513" t="s">
        <v>177</v>
      </c>
      <c r="B54" s="1513" t="s">
        <v>178</v>
      </c>
      <c r="C54" s="1513" t="s">
        <v>179</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9218" customFormat="1" ht="1.05" customHeight="1">
      <c r="A55" s="1513" t="s">
        <v>177</v>
      </c>
      <c r="B55" s="1513" t="s">
        <v>178</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9218" customFormat="1" ht="1.05" customHeight="1">
      <c r="A56" s="1513" t="s">
        <v>177</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9218"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19.949999999999999"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r="60" ht="29.2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r="61" ht="42" customHeight="1">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r="62" ht="14.65" customHeight="1">
      <c r="O62" s="707"/>
      <c r="AS62" s="1325">
        <v>14</v>
      </c>
    </row>
    <row r="63" ht="21" customHeight="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r="64" ht="29.25" customHeight="1">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r="65" ht="35.649999999999999"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r="66" ht="22.5" hidden="1" customHeight="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autoFilter="0" deleteColumns="1" deleteRows="1" formatColumns="0" formatRows="0" insertColumns="1" insertRows="1" sheet="1" sort="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AD0097-00FF-4865-852D-00AC0081006A}"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ED0067-00AD-40C8-BC0F-0007005A007F}"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2F001D-0008-439C-B4F7-00EE008A007A}"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3D0066-008E-45D2-BEFB-00A600250050}"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hidden="1" min="16" max="16" style="10313" width="3.7109375"/>
    <col customWidth="1" min="17" max="18" style="10314" width="3.00390625"/>
    <col customWidth="1" min="19" max="19" style="10315" width="12.00390625"/>
    <col customWidth="1" min="20" max="20" style="9138" width="31.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hidden="1" min="37" max="37" style="9138" width="8.57421875"/>
    <col customWidth="1" min="38" max="38" style="9138" width="4.00390625"/>
    <col customWidth="1" min="39" max="39" style="9138" width="115.00390625"/>
    <col customWidth="1" min="40" max="44" style="9218" width="10.00390625"/>
    <col hidden="1" min="45" max="45" style="9138" width="10.57421875"/>
  </cols>
  <sheetData>
    <row r="1" ht="22.5" hidden="1" customHeight="1">
      <c r="A1" s="204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406</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408</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409</v>
      </c>
      <c r="AO5" s="670"/>
      <c r="AP5" s="670" t="str">
        <f>IF(T5="","",T5)</f>
        <v xml:space="preserve">Источник тепловой энергии</v>
      </c>
      <c r="AQ5" s="670"/>
      <c r="AR5" s="670"/>
      <c r="AS5" s="1325">
        <v>0</v>
      </c>
    </row>
    <row r="6" ht="0.75" hidden="1" customHeight="1">
      <c r="A6" s="1533"/>
      <c r="B6" s="1533"/>
      <c r="C6" s="1533"/>
      <c r="D6" s="1533"/>
      <c r="E6" s="2429"/>
      <c r="F6" s="2429"/>
      <c r="G6" s="2429"/>
      <c r="H6" s="2429"/>
      <c r="I6" s="2426">
        <f>S5&amp;".1"</f>
      </c>
      <c r="J6" s="1533"/>
      <c r="K6" s="1533"/>
      <c r="L6" s="1534" t="s">
        <v>410</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r="7" ht="84" hidden="1" customHeight="1">
      <c r="A7" s="1533"/>
      <c r="B7" s="1533"/>
      <c r="C7" s="1533"/>
      <c r="D7" s="1533"/>
      <c r="E7" s="2429"/>
      <c r="F7" s="2429"/>
      <c r="G7" s="2429"/>
      <c r="H7" s="2429"/>
      <c r="I7" s="2456"/>
      <c r="J7" s="2426">
        <f>I6&amp;".1"</f>
      </c>
      <c r="K7" s="1533"/>
      <c r="L7" s="1534" t="s">
        <v>413</v>
      </c>
      <c r="M7" s="707"/>
      <c r="N7" s="1536"/>
      <c r="P7" s="2427"/>
      <c r="Q7" s="2427">
        <v>1</v>
      </c>
      <c r="R7" s="1812"/>
      <c r="S7" s="2177">
        <f>$J7</f>
      </c>
      <c r="T7" s="456" t="s">
        <v>414</v>
      </c>
      <c r="U7" s="470"/>
      <c r="V7" s="2475"/>
      <c r="W7" s="2475"/>
      <c r="X7" s="2475"/>
      <c r="Y7" s="2475"/>
      <c r="Z7" s="2475"/>
      <c r="AA7" s="2475"/>
      <c r="AB7" s="2475"/>
      <c r="AC7" s="2475"/>
      <c r="AD7" s="2475"/>
      <c r="AE7" s="2475"/>
      <c r="AF7" s="2475"/>
      <c r="AG7" s="2475"/>
      <c r="AH7" s="2475"/>
      <c r="AI7" s="2475"/>
      <c r="AJ7" s="2475"/>
      <c r="AK7" s="2475"/>
      <c r="AL7" s="2475"/>
      <c r="AM7" s="2180" t="s">
        <v>415</v>
      </c>
      <c r="AO7" s="670"/>
      <c r="AP7" s="670" t="str">
        <f>IF(T7="","",T7)</f>
        <v xml:space="preserve">Группа потребителей</v>
      </c>
      <c r="AQ7" s="670"/>
      <c r="AR7" s="670"/>
      <c r="AS7" s="1325">
        <v>0</v>
      </c>
    </row>
    <row r="8" ht="11.25" hidden="1" customHeight="1">
      <c r="A8" s="1533"/>
      <c r="B8" s="1533"/>
      <c r="C8" s="1533"/>
      <c r="D8" s="1533"/>
      <c r="E8" s="2429"/>
      <c r="F8" s="2429"/>
      <c r="G8" s="2429"/>
      <c r="H8" s="2429"/>
      <c r="I8" s="2456"/>
      <c r="J8" s="2456"/>
      <c r="K8" s="2426">
        <f>J7&amp;".1"</f>
      </c>
      <c r="L8" s="1534" t="s">
        <v>416</v>
      </c>
      <c r="M8" s="707"/>
      <c r="N8" s="1536"/>
      <c r="O8" s="1536"/>
      <c r="P8" s="2427"/>
      <c r="Q8" s="2427"/>
      <c r="R8" s="527">
        <v>1</v>
      </c>
      <c r="S8" s="2179">
        <f>$K8</f>
      </c>
      <c r="T8" s="2184"/>
      <c r="U8" s="2185"/>
      <c r="V8" s="2186"/>
      <c r="W8" s="1519"/>
      <c r="X8" s="2186"/>
      <c r="Y8" s="2187"/>
      <c r="Z8" s="2476"/>
      <c r="AA8" s="2282" t="s">
        <v>67</v>
      </c>
      <c r="AB8" s="2476"/>
      <c r="AC8" s="2282" t="s">
        <v>67</v>
      </c>
      <c r="AD8" s="2186"/>
      <c r="AE8" s="1519"/>
      <c r="AF8" s="2186"/>
      <c r="AG8" s="2187"/>
      <c r="AH8" s="2476"/>
      <c r="AI8" s="2282" t="s">
        <v>67</v>
      </c>
      <c r="AJ8" s="2476"/>
      <c r="AK8" s="2282" t="s">
        <v>67</v>
      </c>
      <c r="AL8" s="1519"/>
      <c r="AM8" s="2423" t="s">
        <v>417</v>
      </c>
      <c r="AN8" s="681">
        <f>STRCHECKDATE(V9:AL9)</f>
      </c>
      <c r="AO8" s="670"/>
      <c r="AP8" s="670" t="str">
        <f>IF(T8="","",T8)</f>
        <v/>
      </c>
      <c r="AQ8" s="670"/>
      <c r="AR8" s="670"/>
      <c r="AS8" s="1325">
        <v>0</v>
      </c>
    </row>
    <row r="9" ht="0.7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1.25" hidden="1" customHeight="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1.25" hidden="1" customHeight="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0.75" hidden="1" customHeight="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r="13" s="9218" customFormat="1" ht="0.75" hidden="1" customHeight="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9218" customFormat="1" ht="0.75" hidden="1" customHeight="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9218" customFormat="1" ht="0.75" hidden="1" customHeight="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67</v>
      </c>
      <c r="AJ17" s="2437"/>
      <c r="AK17" s="2438" t="s">
        <v>67</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9217"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9217" customFormat="1" ht="14.25" hidden="1" customHeight="1">
      <c r="L21" s="1499"/>
      <c r="M21" s="1532"/>
      <c r="N21" s="1532"/>
      <c r="O21" s="1532"/>
      <c r="P21" s="1532"/>
      <c r="Q21" s="1541"/>
      <c r="R21" s="1541"/>
      <c r="S21" s="899"/>
      <c r="AC21" s="1536"/>
      <c r="AK21" s="1536"/>
      <c r="AN21" s="681"/>
      <c r="AO21" s="681"/>
      <c r="AP21" s="681"/>
      <c r="AQ21" s="681"/>
      <c r="AR21" s="681"/>
      <c r="AS21" s="1330">
        <v>0</v>
      </c>
    </row>
    <row r="22" s="9217"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54.75" customHeight="1">
      <c r="Q26" s="546"/>
      <c r="R26" s="546"/>
      <c r="S26" s="2477"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hidden="1"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9344" customFormat="1" ht="25.5" hidden="1"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45646</v>
      </c>
      <c r="W30" s="2434"/>
      <c r="X30" s="2434"/>
      <c r="Y30" s="2434"/>
      <c r="Z30" s="2434"/>
      <c r="AA30" s="2434"/>
      <c r="AB30" s="2434"/>
      <c r="AC30" s="496"/>
      <c r="AD30" s="2434" t="str">
        <f>IF(TITLE_DATE_PR_CHANGE="",IF(TITLE_DATE_PR="","",TITLE_DATE_PR),TITLE_DATE_PR_CHANGE)</f>
        <v>45646</v>
      </c>
      <c r="AE30" s="2434"/>
      <c r="AF30" s="2434"/>
      <c r="AG30" s="2434"/>
      <c r="AH30" s="2434"/>
      <c r="AI30" s="2434"/>
      <c r="AJ30" s="2434"/>
      <c r="AK30" s="496"/>
      <c r="AL30" s="496"/>
      <c r="AM30" s="450"/>
      <c r="AN30" s="538"/>
      <c r="AO30" s="538"/>
      <c r="AP30" s="538"/>
      <c r="AQ30" s="538"/>
      <c r="AR30" s="538"/>
      <c r="AS30" s="588">
        <v>0</v>
      </c>
    </row>
    <row r="31" s="9344" customFormat="1" ht="18.75" hidden="1"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ДГК-01.1/22560</v>
      </c>
      <c r="W31" s="2421"/>
      <c r="X31" s="2421"/>
      <c r="Y31" s="2421"/>
      <c r="Z31" s="2421"/>
      <c r="AA31" s="2421"/>
      <c r="AB31" s="2421"/>
      <c r="AC31" s="496"/>
      <c r="AD31" s="2421" t="str">
        <f>IF(TITLE_NUMBER_PR_CHANGE="",IF(TITLE_NUMBER_PR="","",TITLE_NUMBER_PR),TITLE_NUMBER_PR_CHANGE)</f>
        <v>ДГК-01.1/22560</v>
      </c>
      <c r="AE31" s="2421"/>
      <c r="AF31" s="2421"/>
      <c r="AG31" s="2421"/>
      <c r="AH31" s="2421"/>
      <c r="AI31" s="2421"/>
      <c r="AJ31" s="2421"/>
      <c r="AK31" s="496"/>
      <c r="AL31" s="496"/>
      <c r="AM31" s="450"/>
      <c r="AN31" s="538"/>
      <c r="AO31" s="538"/>
      <c r="AP31" s="538"/>
      <c r="AQ31" s="538"/>
      <c r="AR31" s="538"/>
      <c r="AS31" s="588">
        <v>0</v>
      </c>
    </row>
    <row r="32" s="9344" customFormat="1" ht="18.75" hidden="1" customHeight="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r="33" ht="14.25"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9344" customFormat="1" ht="18.75"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45646</v>
      </c>
      <c r="W34" s="2434"/>
      <c r="X34" s="2434"/>
      <c r="Y34" s="2434"/>
      <c r="Z34" s="2434"/>
      <c r="AA34" s="2434"/>
      <c r="AB34" s="2434"/>
      <c r="AC34" s="496"/>
      <c r="AD34" s="2434" t="str">
        <f>IF(TITLE_DATE_PR_CHANGE="",IF(TITLE_DATE_PR="","",TITLE_DATE_PR),TITLE_DATE_PR_CHANGE)</f>
        <v>45646</v>
      </c>
      <c r="AE34" s="2434"/>
      <c r="AF34" s="2434"/>
      <c r="AG34" s="2434"/>
      <c r="AH34" s="2434"/>
      <c r="AI34" s="2434"/>
      <c r="AJ34" s="2434"/>
      <c r="AK34" s="496"/>
      <c r="AL34" s="496"/>
      <c r="AM34" s="450"/>
      <c r="AN34" s="538"/>
      <c r="AO34" s="538"/>
      <c r="AP34" s="538"/>
      <c r="AQ34" s="538"/>
      <c r="AR34" s="538"/>
      <c r="AS34" s="588">
        <v>0</v>
      </c>
    </row>
    <row r="35" s="9344" customFormat="1" ht="18.75"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ДГК-01.1/22560</v>
      </c>
      <c r="W35" s="2421"/>
      <c r="X35" s="2421"/>
      <c r="Y35" s="2421"/>
      <c r="Z35" s="2421"/>
      <c r="AA35" s="2421"/>
      <c r="AB35" s="2421"/>
      <c r="AC35" s="496"/>
      <c r="AD35" s="2421" t="str">
        <f>IF(TITLE_NUMBER_PR_CHANGE="",IF(TITLE_NUMBER_PR="","",TITLE_NUMBER_PR),TITLE_NUMBER_PR_CHANGE)</f>
        <v>ДГК-01.1/22560</v>
      </c>
      <c r="AE35" s="2421"/>
      <c r="AF35" s="2421"/>
      <c r="AG35" s="2421"/>
      <c r="AH35" s="2421"/>
      <c r="AI35" s="2421"/>
      <c r="AJ35" s="2421"/>
      <c r="AK35" s="496"/>
      <c r="AL35" s="496"/>
      <c r="AM35" s="450"/>
      <c r="AN35" s="538"/>
      <c r="AO35" s="538"/>
      <c r="AP35" s="538"/>
      <c r="AQ35" s="538"/>
      <c r="AR35" s="538"/>
      <c r="AS35" s="588">
        <v>0</v>
      </c>
    </row>
    <row r="36" s="9344"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89</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r="40" ht="35.649999999999999" customHeight="1">
      <c r="Q40" s="546"/>
      <c r="R40" s="546"/>
      <c r="S40" s="2443"/>
      <c r="T40" s="2379"/>
      <c r="U40" s="1201"/>
      <c r="V40" s="2430" t="s">
        <v>438</v>
      </c>
      <c r="W40" s="2453"/>
      <c r="X40" s="2432" t="s">
        <v>440</v>
      </c>
      <c r="Y40" s="2433"/>
      <c r="Z40" s="2432" t="s">
        <v>441</v>
      </c>
      <c r="AA40" s="2439"/>
      <c r="AB40" s="2433"/>
      <c r="AC40" s="2448"/>
      <c r="AD40" s="2430" t="s">
        <v>456</v>
      </c>
      <c r="AE40" s="2453"/>
      <c r="AF40" s="2432" t="s">
        <v>440</v>
      </c>
      <c r="AG40" s="2433"/>
      <c r="AH40" s="2432" t="s">
        <v>441</v>
      </c>
      <c r="AI40" s="2439"/>
      <c r="AJ40" s="2433"/>
      <c r="AK40" s="2448"/>
      <c r="AL40" s="2451"/>
      <c r="AM40" s="2297"/>
      <c r="AS40" s="1325">
        <v>34</v>
      </c>
    </row>
    <row r="41" ht="35.649999999999999" customHeight="1">
      <c r="A41" s="1540"/>
      <c r="B41" s="1540" t="s">
        <v>135</v>
      </c>
      <c r="C41" s="1540" t="s">
        <v>136</v>
      </c>
      <c r="D41" s="1540" t="s">
        <v>137</v>
      </c>
      <c r="E41" s="1534" t="s">
        <v>442</v>
      </c>
      <c r="F41" s="1534" t="s">
        <v>443</v>
      </c>
      <c r="G41" s="1534" t="s">
        <v>444</v>
      </c>
      <c r="H41" s="1534" t="s">
        <v>445</v>
      </c>
      <c r="I41" s="1534" t="s">
        <v>446</v>
      </c>
      <c r="J41" s="1534" t="s">
        <v>447</v>
      </c>
      <c r="K41" s="1534" t="s">
        <v>448</v>
      </c>
      <c r="L41" s="1534" t="s">
        <v>422</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r="42" s="9831"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189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 xml:space="preserve">Наименование тарифа</v>
      </c>
      <c r="AQ43" s="670"/>
      <c r="AR43" s="670"/>
      <c r="AS43" s="1325">
        <v>21</v>
      </c>
    </row>
    <row r="44" ht="22" customHeight="1">
      <c r="A44" s="1533" t="s">
        <v>189</v>
      </c>
      <c r="B44" s="1533" t="s">
        <v>190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189</v>
      </c>
      <c r="B45" s="1533" t="s">
        <v>190</v>
      </c>
      <c r="C45" s="1533" t="s">
        <v>191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189</v>
      </c>
      <c r="B46" s="1533" t="s">
        <v>190</v>
      </c>
      <c r="C46" s="1533" t="s">
        <v>191</v>
      </c>
      <c r="D46" s="1533" t="s">
        <v>192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s="9218" customFormat="1" ht="0" customHeight="1">
      <c r="A47" s="1513" t="s">
        <v>189</v>
      </c>
      <c r="B47" s="1513" t="s">
        <v>190</v>
      </c>
      <c r="C47" s="1513" t="s">
        <v>191</v>
      </c>
      <c r="D47" s="1513" t="s">
        <v>192</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r="48" ht="22" customHeight="1">
      <c r="A48" s="1533" t="s">
        <v>189</v>
      </c>
      <c r="B48" s="1533" t="s">
        <v>190</v>
      </c>
      <c r="C48" s="1533" t="s">
        <v>191</v>
      </c>
      <c r="D48" s="1533" t="s">
        <v>192</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189</v>
      </c>
      <c r="B49" s="1533" t="s">
        <v>190</v>
      </c>
      <c r="C49" s="1533" t="s">
        <v>191</v>
      </c>
      <c r="D49" s="1533" t="s">
        <v>192</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457</v>
      </c>
      <c r="AN49" s="681">
        <f>STRCHECKDATE(V50:AL50)</f>
      </c>
      <c r="AO49" s="670"/>
      <c r="AP49" s="670" t="str">
        <f>IF(T49="","",T49)</f>
        <v/>
      </c>
      <c r="AQ49" s="670"/>
      <c r="AR49" s="670"/>
      <c r="AS49" s="1325">
        <v>21</v>
      </c>
    </row>
    <row r="50" ht="1.05" customHeight="1">
      <c r="A50" s="1533" t="s">
        <v>189</v>
      </c>
      <c r="B50" s="1533" t="s">
        <v>190</v>
      </c>
      <c r="C50" s="1533" t="s">
        <v>191</v>
      </c>
      <c r="D50" s="1533" t="s">
        <v>192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r="51" ht="11.5" customHeight="1">
      <c r="A51" s="1533" t="s">
        <v>189</v>
      </c>
      <c r="B51" s="1533" t="s">
        <v>190</v>
      </c>
      <c r="C51" s="1533" t="s">
        <v>191</v>
      </c>
      <c r="D51" s="1533" t="s">
        <v>192</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189</v>
      </c>
      <c r="B52" s="1533" t="s">
        <v>190</v>
      </c>
      <c r="C52" s="1533" t="s">
        <v>191</v>
      </c>
      <c r="D52" s="1533" t="s">
        <v>192</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0" customHeight="1">
      <c r="A53" s="1533" t="s">
        <v>189</v>
      </c>
      <c r="B53" s="1533" t="s">
        <v>190</v>
      </c>
      <c r="C53" s="1533" t="s">
        <v>191</v>
      </c>
      <c r="D53" s="1533" t="s">
        <v>192</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r="54" s="9218" customFormat="1" ht="1.05" customHeight="1">
      <c r="A54" s="1513" t="s">
        <v>189</v>
      </c>
      <c r="B54" s="1513" t="s">
        <v>190</v>
      </c>
      <c r="C54" s="1513" t="s">
        <v>191</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1</v>
      </c>
    </row>
    <row r="55" s="9218" customFormat="1" ht="1.05" customHeight="1">
      <c r="A55" s="1513" t="s">
        <v>189</v>
      </c>
      <c r="B55" s="1513" t="s">
        <v>190</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1</v>
      </c>
    </row>
    <row r="56" s="9218" customFormat="1" ht="1.05" customHeight="1">
      <c r="A56" s="1513" t="s">
        <v>189</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1</v>
      </c>
    </row>
    <row r="57" s="9218" customFormat="1" ht="1.05" customHeight="1">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1</v>
      </c>
    </row>
    <row r="58" ht="11.5" customHeight="1">
      <c r="M58" s="1330"/>
      <c r="N58" s="1330"/>
      <c r="O58" s="707"/>
      <c r="P58" s="1325"/>
      <c r="Q58" s="1325"/>
      <c r="R58" s="1325"/>
      <c r="S58" s="1325"/>
      <c r="AN58" s="1325"/>
      <c r="AO58" s="1325"/>
      <c r="AP58" s="1325"/>
      <c r="AQ58" s="1325"/>
      <c r="AR58" s="1325"/>
      <c r="AS58" s="1325">
        <v>11</v>
      </c>
    </row>
    <row r="59" ht="23.2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r="60" ht="30.449999999999999"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r="61" ht="42" customHeight="1">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r="62" ht="14.65" customHeight="1">
      <c r="O62" s="707"/>
      <c r="AS62" s="1325">
        <v>14</v>
      </c>
    </row>
    <row r="63" ht="21" customHeight="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r="64" ht="29.25" customHeight="1">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r="65" ht="35.649999999999999"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r="66" ht="22.5" hidden="1" customHeight="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autoFilter="0" deleteColumns="1" deleteRows="1" formatColumns="0" formatRows="0" insertColumns="1" insertRows="1" sheet="1" sort="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4">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llowBlank="1" promptTitle="checkPeriodRange"/>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allowBlank="1" prompt="Для выбора выполните двойной щелчок левой клавиши мыши по соответствующей ячейке." showErrorMessage="1" showInputMessage="1"/>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910022-00AF-4012-B5E4-001800120010}"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5100BF-00CF-4FD6-ACBF-006800290009}"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050025-003E-47B5-B9EB-002000AD0059}"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 xr:uid="{00690073-0069-4259-BE8D-000200CB0063}"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hidden="1" min="16" max="16" style="10313" width="3.7109375"/>
    <col customWidth="1" min="17" max="18" style="10314" width="3.00390625"/>
    <col customWidth="1" min="19" max="19" style="10315" width="12.00390625"/>
    <col customWidth="1" min="20" max="20" style="9138" width="31.00390625"/>
    <col customWidth="1" min="21" max="21" style="9138" width="0.140625"/>
    <col customWidth="1" hidden="1" min="22" max="22" style="9138" width="24.7109375"/>
    <col customWidth="1" hidden="1" min="23" max="23" style="9138" width="0.140625"/>
    <col customWidth="1" hidden="1" min="24" max="25" style="9138" width="24.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24.7109375"/>
    <col customWidth="1" min="31" max="31" style="9138" width="0.140625"/>
    <col customWidth="1" min="32" max="33" style="9138" width="24.00390625"/>
    <col customWidth="1" min="34" max="34" style="9138" width="11.00390625"/>
    <col customWidth="1" min="35" max="35" style="9138" width="3.7109375"/>
    <col customWidth="1" min="36" max="36" style="9138" width="11.00390625"/>
    <col customWidth="1" hidden="1" min="37" max="37" style="9138" width="8.57421875"/>
    <col customWidth="1" min="38" max="38" style="9138" width="4.00390625"/>
    <col customWidth="1" min="39" max="39" style="9138" width="115.00390625"/>
    <col customWidth="1" min="40" max="44" style="9218" width="10.00390625"/>
    <col hidden="1" min="45" max="45" style="9138" width="10.57421875"/>
  </cols>
  <sheetData>
    <row r="1" ht="22.5" hidden="1" customHeight="1">
      <c r="Y1" s="497"/>
      <c r="Z1" s="497"/>
      <c r="AG1" s="497"/>
      <c r="AH1" s="497"/>
      <c r="AS1" s="1325" t="s">
        <v>14</v>
      </c>
    </row>
    <row r="2" ht="21" hidden="1" customHeight="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403</v>
      </c>
      <c r="AO2" s="670"/>
      <c r="AP2" s="670" t="str">
        <f>IF(T2="","",T2)</f>
        <v xml:space="preserve">Наименование тарифа</v>
      </c>
      <c r="AQ2" s="670"/>
      <c r="AR2" s="670"/>
      <c r="AS2" s="1325">
        <v>0</v>
      </c>
    </row>
    <row r="3" ht="21" hidden="1" customHeight="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404</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405</v>
      </c>
      <c r="AO3" s="670"/>
      <c r="AP3" s="670" t="str">
        <f>IF(T3="","",T3)</f>
        <v xml:space="preserve">Территория действия тарифа</v>
      </c>
      <c r="AQ3" s="670"/>
      <c r="AR3" s="670"/>
      <c r="AS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406</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407</v>
      </c>
      <c r="AO4" s="670"/>
      <c r="AP4" s="670" t="str">
        <f>IF(T4="","",T4)</f>
        <v xml:space="preserve">Наименование системы теплоснабжения</v>
      </c>
      <c r="AQ4" s="670"/>
      <c r="AR4" s="670"/>
      <c r="AS4" s="1325">
        <v>0</v>
      </c>
    </row>
    <row r="5" ht="21" hidden="1" customHeight="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408</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409</v>
      </c>
      <c r="AO5" s="670"/>
      <c r="AP5" s="670" t="str">
        <f>IF(T5="","",T5)</f>
        <v xml:space="preserve">Источник тепловой энергии</v>
      </c>
      <c r="AQ5" s="670"/>
      <c r="AR5" s="670"/>
      <c r="AS5" s="1325">
        <v>0</v>
      </c>
    </row>
    <row r="6" ht="14.25" hidden="1" customHeight="1">
      <c r="A6" s="1533"/>
      <c r="B6" s="1533"/>
      <c r="C6" s="1533"/>
      <c r="D6" s="1533"/>
      <c r="E6" s="2429"/>
      <c r="F6" s="2429"/>
      <c r="G6" s="2429"/>
      <c r="H6" s="2429"/>
      <c r="I6" s="2426">
        <f>S5&amp;".1"</f>
      </c>
      <c r="J6" s="1533"/>
      <c r="K6" s="1533"/>
      <c r="L6" s="1534" t="s">
        <v>410</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r="7" ht="21" hidden="1" customHeight="1">
      <c r="A7" s="1533"/>
      <c r="B7" s="1533"/>
      <c r="C7" s="1533"/>
      <c r="D7" s="1533"/>
      <c r="E7" s="2429"/>
      <c r="F7" s="2429"/>
      <c r="G7" s="2429"/>
      <c r="H7" s="2429"/>
      <c r="I7" s="2456"/>
      <c r="J7" s="2426">
        <f>I6&amp;".1"</f>
      </c>
      <c r="K7" s="1533"/>
      <c r="L7" s="1534" t="s">
        <v>413</v>
      </c>
      <c r="M7" s="707"/>
      <c r="N7" s="1536"/>
      <c r="P7" s="2427"/>
      <c r="Q7" s="2427">
        <v>1</v>
      </c>
      <c r="R7" s="527"/>
      <c r="S7" s="1506">
        <f>$J7</f>
      </c>
      <c r="T7" s="456" t="s">
        <v>414</v>
      </c>
      <c r="U7" s="470"/>
      <c r="V7" s="2415"/>
      <c r="W7" s="2416"/>
      <c r="X7" s="2416"/>
      <c r="Y7" s="2416"/>
      <c r="Z7" s="2416"/>
      <c r="AA7" s="2416"/>
      <c r="AB7" s="2416"/>
      <c r="AC7" s="2417"/>
      <c r="AD7" s="2415"/>
      <c r="AE7" s="2416"/>
      <c r="AF7" s="2416"/>
      <c r="AG7" s="2416"/>
      <c r="AH7" s="2416"/>
      <c r="AI7" s="2416"/>
      <c r="AJ7" s="2416"/>
      <c r="AK7" s="2416"/>
      <c r="AL7" s="2417"/>
      <c r="AM7" s="1428" t="s">
        <v>415</v>
      </c>
      <c r="AO7" s="670"/>
      <c r="AP7" s="670" t="str">
        <f>IF(T7="","",T7)</f>
        <v xml:space="preserve">Группа потребителей</v>
      </c>
      <c r="AQ7" s="670"/>
      <c r="AR7" s="670"/>
      <c r="AS7" s="1325">
        <v>0</v>
      </c>
    </row>
    <row r="8" ht="21" hidden="1" customHeight="1">
      <c r="A8" s="1533"/>
      <c r="B8" s="1533"/>
      <c r="C8" s="1533"/>
      <c r="D8" s="1533"/>
      <c r="E8" s="2429"/>
      <c r="F8" s="2429"/>
      <c r="G8" s="2429"/>
      <c r="H8" s="2429"/>
      <c r="I8" s="2456"/>
      <c r="J8" s="2456"/>
      <c r="K8" s="2426">
        <f>J7&amp;".1"</f>
      </c>
      <c r="L8" s="1534" t="s">
        <v>416</v>
      </c>
      <c r="M8" s="707"/>
      <c r="N8" s="1536"/>
      <c r="O8" s="1536"/>
      <c r="P8" s="2427"/>
      <c r="Q8" s="2427"/>
      <c r="R8" s="527">
        <v>1</v>
      </c>
      <c r="S8" s="1506">
        <f>$K8</f>
      </c>
      <c r="T8" s="1517"/>
      <c r="U8" s="470"/>
      <c r="V8" s="921"/>
      <c r="W8" s="495"/>
      <c r="X8" s="921"/>
      <c r="Y8" s="1427"/>
      <c r="Z8" s="2435"/>
      <c r="AA8" s="2277" t="s">
        <v>67</v>
      </c>
      <c r="AB8" s="2435"/>
      <c r="AC8" s="2277" t="s">
        <v>67</v>
      </c>
      <c r="AD8" s="921"/>
      <c r="AE8" s="495"/>
      <c r="AF8" s="921"/>
      <c r="AG8" s="1427"/>
      <c r="AH8" s="2435"/>
      <c r="AI8" s="2277" t="s">
        <v>67</v>
      </c>
      <c r="AJ8" s="2435"/>
      <c r="AK8" s="2277" t="s">
        <v>67</v>
      </c>
      <c r="AL8" s="495"/>
      <c r="AM8" s="2423" t="s">
        <v>417</v>
      </c>
      <c r="AN8" s="681">
        <f>STRCHECKDATE(V9:AL9)</f>
      </c>
      <c r="AO8" s="670"/>
      <c r="AP8" s="670" t="str">
        <f>IF(T8="","",T8)</f>
        <v/>
      </c>
      <c r="AQ8" s="670"/>
      <c r="AR8" s="670"/>
      <c r="AS8" s="1325">
        <v>0</v>
      </c>
    </row>
    <row r="9" ht="14.25" hidden="1" customHeight="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r="10" ht="15" hidden="1" customHeight="1">
      <c r="A10" s="1533"/>
      <c r="B10" s="1533"/>
      <c r="C10" s="1533"/>
      <c r="D10" s="1533"/>
      <c r="E10" s="2429"/>
      <c r="F10" s="2429"/>
      <c r="G10" s="2429"/>
      <c r="H10" s="2429"/>
      <c r="I10" s="2456"/>
      <c r="J10" s="2426"/>
      <c r="K10" s="1533"/>
      <c r="L10" s="1534"/>
      <c r="M10" s="707"/>
      <c r="N10" s="1536"/>
      <c r="P10" s="2427"/>
      <c r="Q10" s="2427"/>
      <c r="R10" s="526"/>
      <c r="S10" s="1448"/>
      <c r="T10" s="457" t="s">
        <v>418</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 xml:space="preserve">Добавить вид теплоносителя (параметры теплоносителя)</v>
      </c>
      <c r="AQ10" s="670"/>
      <c r="AR10" s="670"/>
      <c r="AS10" s="1325">
        <v>0</v>
      </c>
    </row>
    <row r="11" ht="11.25" hidden="1" customHeight="1">
      <c r="A11" s="1533"/>
      <c r="B11" s="1533"/>
      <c r="C11" s="1533"/>
      <c r="D11" s="1533"/>
      <c r="E11" s="2429"/>
      <c r="F11" s="2429"/>
      <c r="G11" s="2429"/>
      <c r="H11" s="2429"/>
      <c r="I11" s="2426"/>
      <c r="J11" s="1533"/>
      <c r="K11" s="1533"/>
      <c r="L11" s="1534"/>
      <c r="M11" s="707"/>
      <c r="P11" s="2427"/>
      <c r="Q11" s="1501"/>
      <c r="R11" s="526"/>
      <c r="S11" s="1448"/>
      <c r="T11" s="535" t="s">
        <v>419</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 xml:space="preserve">Добавить группу потребителей</v>
      </c>
      <c r="AQ11" s="670"/>
      <c r="AR11" s="670"/>
      <c r="AS11" s="1325">
        <v>0</v>
      </c>
    </row>
    <row r="12" ht="14.25" hidden="1" customHeight="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r="13" s="9218" customFormat="1" ht="14.25" hidden="1" customHeight="1">
      <c r="A13" s="1484"/>
      <c r="B13" s="1484"/>
      <c r="C13" s="1484"/>
      <c r="D13" s="1484"/>
      <c r="E13" s="2429"/>
      <c r="F13" s="2429"/>
      <c r="G13" s="2428"/>
      <c r="H13" s="1484"/>
      <c r="I13" s="1484"/>
      <c r="J13" s="1484"/>
      <c r="K13" s="1484"/>
      <c r="L13" s="1509"/>
      <c r="M13" s="1485"/>
      <c r="N13" s="1485"/>
      <c r="P13" s="1486"/>
      <c r="Q13" s="1487"/>
      <c r="R13" s="1486"/>
      <c r="S13" s="1488"/>
      <c r="T13" s="1489" t="s">
        <v>163</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 xml:space="preserve">Добавить источник для дифференциации</v>
      </c>
      <c r="AQ13" s="959"/>
      <c r="AR13" s="959"/>
      <c r="AS13" s="688">
        <v>0</v>
      </c>
    </row>
    <row r="14" s="9218" customFormat="1" ht="14.25" hidden="1" customHeight="1">
      <c r="A14" s="1484"/>
      <c r="B14" s="1484"/>
      <c r="C14" s="1484"/>
      <c r="D14" s="1484"/>
      <c r="E14" s="2429"/>
      <c r="F14" s="2428"/>
      <c r="G14" s="1484"/>
      <c r="H14" s="1484"/>
      <c r="I14" s="1484"/>
      <c r="J14" s="1484"/>
      <c r="K14" s="1484"/>
      <c r="L14" s="1509"/>
      <c r="M14" s="1491"/>
      <c r="N14" s="1491"/>
      <c r="P14" s="1486"/>
      <c r="Q14" s="1487"/>
      <c r="R14" s="1486"/>
      <c r="S14" s="1492"/>
      <c r="T14" s="1493" t="s">
        <v>164</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 xml:space="preserve">Добавить централизованную систему для дифференциации</v>
      </c>
      <c r="AQ14" s="959"/>
      <c r="AR14" s="959"/>
      <c r="AS14" s="688">
        <v>0</v>
      </c>
    </row>
    <row r="15" s="9218" customFormat="1" ht="14.25" hidden="1" customHeight="1">
      <c r="A15" s="1484"/>
      <c r="B15" s="1484"/>
      <c r="C15" s="1484"/>
      <c r="D15" s="1484"/>
      <c r="E15" s="2428"/>
      <c r="F15" s="1484"/>
      <c r="G15" s="1484"/>
      <c r="H15" s="1484"/>
      <c r="I15" s="1484"/>
      <c r="J15" s="1484"/>
      <c r="K15" s="1484"/>
      <c r="L15" s="1509"/>
      <c r="M15" s="1491"/>
      <c r="N15" s="1491"/>
      <c r="P15" s="1486"/>
      <c r="Q15" s="1487"/>
      <c r="R15" s="1486"/>
      <c r="S15" s="1492"/>
      <c r="T15" s="1495" t="s">
        <v>165</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 xml:space="preserve">Добавить территорию для дифференциации</v>
      </c>
      <c r="AQ15" s="959"/>
      <c r="AR15" s="959"/>
      <c r="AS15" s="688">
        <v>0</v>
      </c>
    </row>
    <row r="16" ht="14.25" hidden="1" customHeight="1">
      <c r="AC16" s="497"/>
      <c r="AK16" s="497"/>
      <c r="AS16" s="1325">
        <v>0</v>
      </c>
    </row>
    <row r="17" ht="14.25" hidden="1" customHeight="1">
      <c r="AD17" s="1530"/>
      <c r="AE17" s="1530"/>
      <c r="AF17" s="1530"/>
      <c r="AG17" s="1531"/>
      <c r="AH17" s="2437"/>
      <c r="AI17" s="2438" t="s">
        <v>67</v>
      </c>
      <c r="AJ17" s="2437"/>
      <c r="AK17" s="2438" t="s">
        <v>67</v>
      </c>
      <c r="AS17" s="1325">
        <v>0</v>
      </c>
    </row>
    <row r="18" ht="14.25" hidden="1" customHeight="1">
      <c r="AD18" s="1530"/>
      <c r="AE18" s="1530"/>
      <c r="AF18" s="1530"/>
      <c r="AG18" s="498" t="str">
        <f>AH17&amp;"-"&amp;AJ17</f>
        <v>-</v>
      </c>
      <c r="AH18" s="2438"/>
      <c r="AI18" s="2438"/>
      <c r="AJ18" s="2438"/>
      <c r="AK18" s="2438"/>
      <c r="AS18" s="1325">
        <v>0</v>
      </c>
    </row>
    <row r="19" ht="14.25" hidden="1" customHeight="1">
      <c r="AK19" s="497"/>
      <c r="AS19" s="1325">
        <v>0</v>
      </c>
    </row>
    <row r="20" s="9217" customFormat="1" ht="22.5" hidden="1" customHeight="1">
      <c r="L20" s="1499"/>
      <c r="M20" s="1532"/>
      <c r="N20" s="1532"/>
      <c r="O20" s="1537" t="s">
        <v>421</v>
      </c>
      <c r="P20" s="1532"/>
      <c r="Q20" s="1541"/>
      <c r="R20" s="1541"/>
      <c r="S20" s="899"/>
      <c r="Z20" s="1537"/>
      <c r="AB20" s="1537"/>
      <c r="AC20" s="1536"/>
      <c r="AH20" s="1537"/>
      <c r="AJ20" s="1537"/>
      <c r="AK20" s="1536"/>
      <c r="AN20" s="681"/>
      <c r="AO20" s="681"/>
      <c r="AP20" s="681"/>
      <c r="AQ20" s="681"/>
      <c r="AR20" s="681"/>
      <c r="AS20" s="1330">
        <v>0</v>
      </c>
    </row>
    <row r="21" s="9217" customFormat="1" ht="14.25" hidden="1" customHeight="1">
      <c r="L21" s="1499"/>
      <c r="M21" s="1532"/>
      <c r="N21" s="1532"/>
      <c r="O21" s="1532"/>
      <c r="P21" s="1532"/>
      <c r="Q21" s="1541"/>
      <c r="R21" s="1541"/>
      <c r="S21" s="899"/>
      <c r="AC21" s="1536"/>
      <c r="AK21" s="1536"/>
      <c r="AN21" s="681"/>
      <c r="AO21" s="681"/>
      <c r="AP21" s="681"/>
      <c r="AQ21" s="681"/>
      <c r="AR21" s="681"/>
      <c r="AS21" s="1330">
        <v>0</v>
      </c>
    </row>
    <row r="22" s="9217" customFormat="1" ht="14.25" hidden="1" customHeight="1">
      <c r="L22" s="1499"/>
      <c r="M22" s="1532"/>
      <c r="N22" s="1532"/>
      <c r="O22" s="1534" t="s">
        <v>422</v>
      </c>
      <c r="P22" s="1532"/>
      <c r="Q22" s="1541"/>
      <c r="R22" s="1541"/>
      <c r="S22" s="899"/>
      <c r="T22" s="1330" t="s">
        <v>423</v>
      </c>
      <c r="AA22" s="356" t="s">
        <v>424</v>
      </c>
      <c r="AC22" s="356" t="s">
        <v>425</v>
      </c>
      <c r="AD22" s="1330" t="s">
        <v>423</v>
      </c>
      <c r="AI22" s="356" t="s">
        <v>426</v>
      </c>
      <c r="AK22" s="356" t="s">
        <v>425</v>
      </c>
      <c r="AN22" s="681"/>
      <c r="AO22" s="681"/>
      <c r="AP22" s="681"/>
      <c r="AQ22" s="681"/>
      <c r="AR22" s="681"/>
      <c r="AS22" s="1330">
        <v>0</v>
      </c>
    </row>
    <row r="23" ht="14.25" hidden="1" customHeight="1">
      <c r="O23" s="1534"/>
      <c r="AS23" s="1325">
        <v>0</v>
      </c>
    </row>
    <row r="24" ht="14.25" hidden="1" customHeight="1">
      <c r="O24" s="1534"/>
      <c r="AS24" s="1325">
        <v>0</v>
      </c>
    </row>
    <row r="25" ht="14.65" customHeight="1">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r="26" ht="53.5" customHeight="1">
      <c r="Q26" s="546"/>
      <c r="R26" s="546"/>
      <c r="S26" s="2418" t="str">
        <f>IF(TEMPLATE_GROUP="P",PT_P_FORM_HEAT_5_NAME_FORM,PT_R_FORM_HEAT_22_NAME_FORM)</f>
        <v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r="27" ht="14.65" customHeight="1">
      <c r="Q27" s="546"/>
      <c r="R27" s="546"/>
      <c r="S27" s="2419" t="str">
        <f>IF(org=0,"Не определено",org)</f>
        <v xml:space="preserve">АО "ДГК" СП "Биробиджанская ТЭЦ"</v>
      </c>
      <c r="T27" s="2419"/>
      <c r="U27" s="2419"/>
      <c r="V27" s="2419"/>
      <c r="W27" s="2419"/>
      <c r="X27" s="2419"/>
      <c r="Y27" s="2419"/>
      <c r="Z27" s="2419"/>
      <c r="AA27" s="2419"/>
      <c r="AB27" s="2419"/>
      <c r="AC27" s="2419"/>
      <c r="AD27" s="2419"/>
      <c r="AE27" s="2419"/>
      <c r="AF27" s="2419"/>
      <c r="AG27" s="2419"/>
      <c r="AH27" s="2419"/>
      <c r="AI27" s="2419"/>
      <c r="AJ27" s="2419"/>
      <c r="AK27" s="1413"/>
      <c r="AS27" s="1325">
        <v>14</v>
      </c>
    </row>
    <row r="28" ht="14.25" hidden="1" customHeight="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r="29" s="9344" customFormat="1" ht="25.5" hidden="1" customHeight="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427</v>
      </c>
      <c r="T30" s="2420"/>
      <c r="U30" s="1542"/>
      <c r="V30" s="2434" t="str">
        <f>IF(TITLE_DATE_PR_CHANGE="",IF(TITLE_DATE_PR="","",TITLE_DATE_PR),TITLE_DATE_PR_CHANGE)</f>
        <v>45646</v>
      </c>
      <c r="W30" s="2434"/>
      <c r="X30" s="2434"/>
      <c r="Y30" s="2434"/>
      <c r="Z30" s="2434"/>
      <c r="AA30" s="2434"/>
      <c r="AB30" s="2434"/>
      <c r="AC30" s="496"/>
      <c r="AD30" s="2434" t="str">
        <f>IF(TITLE_DATE_PR_CHANGE="",IF(TITLE_DATE_PR="","",TITLE_DATE_PR),TITLE_DATE_PR_CHANGE)</f>
        <v>45646</v>
      </c>
      <c r="AE30" s="2434"/>
      <c r="AF30" s="2434"/>
      <c r="AG30" s="2434"/>
      <c r="AH30" s="2434"/>
      <c r="AI30" s="2434"/>
      <c r="AJ30" s="2434"/>
      <c r="AK30" s="496"/>
      <c r="AL30" s="496"/>
      <c r="AM30" s="450"/>
      <c r="AN30" s="538"/>
      <c r="AO30" s="538"/>
      <c r="AP30" s="538"/>
      <c r="AQ30" s="538"/>
      <c r="AR30" s="538"/>
      <c r="AS30" s="588">
        <v>0</v>
      </c>
    </row>
    <row r="31" s="9344" customFormat="1" ht="18.75" hidden="1" customHeight="1">
      <c r="A31" s="1538"/>
      <c r="B31" s="1538"/>
      <c r="C31" s="1538"/>
      <c r="D31" s="1538"/>
      <c r="E31" s="1538"/>
      <c r="F31" s="1538"/>
      <c r="G31" s="1538"/>
      <c r="H31" s="1538"/>
      <c r="I31" s="1538"/>
      <c r="J31" s="1538"/>
      <c r="K31" s="1538"/>
      <c r="L31" s="1539"/>
      <c r="M31" s="1538"/>
      <c r="N31" s="1538"/>
      <c r="O31" s="1538"/>
      <c r="S31" s="2420" t="s">
        <v>428</v>
      </c>
      <c r="T31" s="2420"/>
      <c r="U31" s="1542"/>
      <c r="V31" s="2421" t="str">
        <f>IF(TITLE_NUMBER_PR_CHANGE="",IF(TITLE_NUMBER_PR="","",TITLE_NUMBER_PR),TITLE_NUMBER_PR_CHANGE)</f>
        <v>ДГК-01.1/22560</v>
      </c>
      <c r="W31" s="2421"/>
      <c r="X31" s="2421"/>
      <c r="Y31" s="2421"/>
      <c r="Z31" s="2421"/>
      <c r="AA31" s="2421"/>
      <c r="AB31" s="2421"/>
      <c r="AC31" s="496"/>
      <c r="AD31" s="2421" t="str">
        <f>IF(TITLE_NUMBER_PR_CHANGE="",IF(TITLE_NUMBER_PR="","",TITLE_NUMBER_PR),TITLE_NUMBER_PR_CHANGE)</f>
        <v>ДГК-01.1/22560</v>
      </c>
      <c r="AE31" s="2421"/>
      <c r="AF31" s="2421"/>
      <c r="AG31" s="2421"/>
      <c r="AH31" s="2421"/>
      <c r="AI31" s="2421"/>
      <c r="AJ31" s="2421"/>
      <c r="AK31" s="496"/>
      <c r="AL31" s="496"/>
      <c r="AM31" s="450"/>
      <c r="AN31" s="538"/>
      <c r="AO31" s="538"/>
      <c r="AP31" s="538"/>
      <c r="AQ31" s="538"/>
      <c r="AR31" s="538"/>
      <c r="AS31" s="588">
        <v>0</v>
      </c>
    </row>
    <row r="32" s="9344" customFormat="1" ht="18.75" hidden="1" customHeight="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r="33" ht="14.25" customHeight="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r="34" s="9344" customFormat="1" ht="18.75" customHeight="1">
      <c r="A34" s="1538"/>
      <c r="B34" s="1538"/>
      <c r="C34" s="1538"/>
      <c r="D34" s="1538"/>
      <c r="E34" s="1538"/>
      <c r="F34" s="1538"/>
      <c r="G34" s="1538"/>
      <c r="H34" s="1538"/>
      <c r="I34" s="1538"/>
      <c r="J34" s="1538"/>
      <c r="K34" s="1538"/>
      <c r="L34" s="1539"/>
      <c r="M34" s="1538"/>
      <c r="N34" s="1538"/>
      <c r="O34" s="1538"/>
      <c r="S34" s="2420" t="s">
        <v>429</v>
      </c>
      <c r="T34" s="2420"/>
      <c r="U34" s="1542"/>
      <c r="V34" s="2434" t="str">
        <f>IF(TITLE_DATE_PR_CHANGE="",IF(TITLE_DATE_PR="","",TITLE_DATE_PR),TITLE_DATE_PR_CHANGE)</f>
        <v>45646</v>
      </c>
      <c r="W34" s="2434"/>
      <c r="X34" s="2434"/>
      <c r="Y34" s="2434"/>
      <c r="Z34" s="2434"/>
      <c r="AA34" s="2434"/>
      <c r="AB34" s="2434"/>
      <c r="AC34" s="496"/>
      <c r="AD34" s="2434" t="str">
        <f>IF(TITLE_DATE_PR_CHANGE="",IF(TITLE_DATE_PR="","",TITLE_DATE_PR),TITLE_DATE_PR_CHANGE)</f>
        <v>45646</v>
      </c>
      <c r="AE34" s="2434"/>
      <c r="AF34" s="2434"/>
      <c r="AG34" s="2434"/>
      <c r="AH34" s="2434"/>
      <c r="AI34" s="2434"/>
      <c r="AJ34" s="2434"/>
      <c r="AK34" s="496"/>
      <c r="AL34" s="496"/>
      <c r="AM34" s="450"/>
      <c r="AN34" s="538"/>
      <c r="AO34" s="538"/>
      <c r="AP34" s="538"/>
      <c r="AQ34" s="538"/>
      <c r="AR34" s="538"/>
      <c r="AS34" s="588">
        <v>0</v>
      </c>
    </row>
    <row r="35" s="9344" customFormat="1" ht="25.5" customHeight="1">
      <c r="A35" s="1538"/>
      <c r="B35" s="1538"/>
      <c r="C35" s="1538"/>
      <c r="D35" s="1538"/>
      <c r="E35" s="1538"/>
      <c r="F35" s="1538"/>
      <c r="G35" s="1538"/>
      <c r="H35" s="1538"/>
      <c r="I35" s="1538"/>
      <c r="J35" s="1538"/>
      <c r="K35" s="1538"/>
      <c r="L35" s="1539"/>
      <c r="M35" s="1538"/>
      <c r="N35" s="1538"/>
      <c r="O35" s="1538"/>
      <c r="S35" s="2420" t="s">
        <v>430</v>
      </c>
      <c r="T35" s="2420"/>
      <c r="U35" s="1542"/>
      <c r="V35" s="2421" t="str">
        <f>IF(TITLE_NUMBER_PR_CHANGE="",IF(TITLE_NUMBER_PR="","",TITLE_NUMBER_PR),TITLE_NUMBER_PR_CHANGE)</f>
        <v>ДГК-01.1/22560</v>
      </c>
      <c r="W35" s="2421"/>
      <c r="X35" s="2421"/>
      <c r="Y35" s="2421"/>
      <c r="Z35" s="2421"/>
      <c r="AA35" s="2421"/>
      <c r="AB35" s="2421"/>
      <c r="AC35" s="496"/>
      <c r="AD35" s="2421" t="str">
        <f>IF(TITLE_NUMBER_PR_CHANGE="",IF(TITLE_NUMBER_PR="","",TITLE_NUMBER_PR),TITLE_NUMBER_PR_CHANGE)</f>
        <v>ДГК-01.1/22560</v>
      </c>
      <c r="AE35" s="2421"/>
      <c r="AF35" s="2421"/>
      <c r="AG35" s="2421"/>
      <c r="AH35" s="2421"/>
      <c r="AI35" s="2421"/>
      <c r="AJ35" s="2421"/>
      <c r="AK35" s="496"/>
      <c r="AL35" s="496"/>
      <c r="AM35" s="450"/>
      <c r="AN35" s="538"/>
      <c r="AO35" s="538"/>
      <c r="AP35" s="538"/>
      <c r="AQ35" s="538"/>
      <c r="AR35" s="538"/>
      <c r="AS35" s="588">
        <v>0</v>
      </c>
    </row>
    <row r="36" s="9344" customFormat="1" ht="0" customHeight="1">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431</v>
      </c>
      <c r="AD36" s="496"/>
      <c r="AE36" s="496"/>
      <c r="AF36" s="496"/>
      <c r="AG36" s="496"/>
      <c r="AH36" s="496"/>
      <c r="AI36" s="496"/>
      <c r="AJ36" s="496"/>
      <c r="AK36" s="448" t="s">
        <v>431</v>
      </c>
      <c r="AN36" s="538"/>
      <c r="AO36" s="538"/>
      <c r="AP36" s="538"/>
      <c r="AQ36" s="538"/>
      <c r="AR36" s="538"/>
      <c r="AS36" s="588">
        <v>0</v>
      </c>
    </row>
    <row r="37" ht="14.65" customHeight="1">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r="38" ht="14.65" customHeight="1">
      <c r="Q38" s="546"/>
      <c r="R38" s="546"/>
      <c r="S38" s="2297" t="s">
        <v>307</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308</v>
      </c>
      <c r="AS38" s="1325">
        <v>14</v>
      </c>
    </row>
    <row r="39" ht="14.65" customHeight="1">
      <c r="Q39" s="546"/>
      <c r="R39" s="546"/>
      <c r="S39" s="2443" t="s">
        <v>89</v>
      </c>
      <c r="T39" s="2379" t="s">
        <v>433</v>
      </c>
      <c r="U39" s="471"/>
      <c r="V39" s="2444" t="s">
        <v>434</v>
      </c>
      <c r="W39" s="2445"/>
      <c r="X39" s="2445"/>
      <c r="Y39" s="2445"/>
      <c r="Z39" s="2445"/>
      <c r="AA39" s="2445"/>
      <c r="AB39" s="2446"/>
      <c r="AC39" s="2447" t="s">
        <v>435</v>
      </c>
      <c r="AD39" s="2444" t="s">
        <v>434</v>
      </c>
      <c r="AE39" s="2445"/>
      <c r="AF39" s="2445"/>
      <c r="AG39" s="2445"/>
      <c r="AH39" s="2445"/>
      <c r="AI39" s="2445"/>
      <c r="AJ39" s="2446"/>
      <c r="AK39" s="2447" t="s">
        <v>436</v>
      </c>
      <c r="AL39" s="2450" t="s">
        <v>437</v>
      </c>
      <c r="AM39" s="2297"/>
      <c r="AS39" s="1325">
        <v>14</v>
      </c>
    </row>
    <row r="40" ht="35.649999999999999" customHeight="1">
      <c r="Q40" s="546"/>
      <c r="R40" s="546"/>
      <c r="S40" s="2443"/>
      <c r="T40" s="2379"/>
      <c r="U40" s="1201"/>
      <c r="V40" s="2430" t="s">
        <v>438</v>
      </c>
      <c r="W40" s="2453"/>
      <c r="X40" s="2432" t="s">
        <v>440</v>
      </c>
      <c r="Y40" s="2433"/>
      <c r="Z40" s="2432" t="s">
        <v>441</v>
      </c>
      <c r="AA40" s="2439"/>
      <c r="AB40" s="2433"/>
      <c r="AC40" s="2448"/>
      <c r="AD40" s="2430" t="s">
        <v>456</v>
      </c>
      <c r="AE40" s="2453"/>
      <c r="AF40" s="2432" t="s">
        <v>440</v>
      </c>
      <c r="AG40" s="2433"/>
      <c r="AH40" s="2432" t="s">
        <v>441</v>
      </c>
      <c r="AI40" s="2439"/>
      <c r="AJ40" s="2433"/>
      <c r="AK40" s="2448"/>
      <c r="AL40" s="2451"/>
      <c r="AM40" s="2297"/>
      <c r="AS40" s="1325">
        <v>34</v>
      </c>
    </row>
    <row r="41" ht="35.649999999999999" customHeight="1">
      <c r="A41" s="1540"/>
      <c r="B41" s="1540" t="s">
        <v>135</v>
      </c>
      <c r="C41" s="1540" t="s">
        <v>136</v>
      </c>
      <c r="D41" s="1540" t="s">
        <v>137</v>
      </c>
      <c r="E41" s="1534" t="s">
        <v>442</v>
      </c>
      <c r="F41" s="1534" t="s">
        <v>443</v>
      </c>
      <c r="G41" s="1534" t="s">
        <v>444</v>
      </c>
      <c r="H41" s="1534" t="s">
        <v>445</v>
      </c>
      <c r="I41" s="1534" t="s">
        <v>446</v>
      </c>
      <c r="J41" s="1534" t="s">
        <v>447</v>
      </c>
      <c r="K41" s="1534" t="s">
        <v>448</v>
      </c>
      <c r="L41" s="1534" t="s">
        <v>422</v>
      </c>
      <c r="Q41" s="546"/>
      <c r="R41" s="546"/>
      <c r="S41" s="2443"/>
      <c r="T41" s="2379"/>
      <c r="U41" s="472"/>
      <c r="V41" s="2431"/>
      <c r="W41" s="2454"/>
      <c r="X41" s="1392" t="s">
        <v>449</v>
      </c>
      <c r="Y41" s="1392" t="s">
        <v>450</v>
      </c>
      <c r="Z41" s="1508" t="s">
        <v>451</v>
      </c>
      <c r="AA41" s="2440" t="s">
        <v>452</v>
      </c>
      <c r="AB41" s="2441"/>
      <c r="AC41" s="2449"/>
      <c r="AD41" s="2431"/>
      <c r="AE41" s="2454"/>
      <c r="AF41" s="1392" t="s">
        <v>449</v>
      </c>
      <c r="AG41" s="1392" t="s">
        <v>450</v>
      </c>
      <c r="AH41" s="1508" t="s">
        <v>451</v>
      </c>
      <c r="AI41" s="2440" t="s">
        <v>452</v>
      </c>
      <c r="AJ41" s="2441"/>
      <c r="AK41" s="2449"/>
      <c r="AL41" s="2452"/>
      <c r="AM41" s="2297"/>
      <c r="AS41" s="1325">
        <v>34</v>
      </c>
    </row>
    <row r="42" s="9831" customFormat="1" ht="11.25" hidden="1" customHeight="1">
      <c r="A42" s="1540"/>
      <c r="B42" s="1540"/>
      <c r="C42" s="1540"/>
      <c r="D42" s="1540"/>
      <c r="E42" s="1540"/>
      <c r="F42" s="1540"/>
      <c r="G42" s="1540"/>
      <c r="H42" s="1540"/>
      <c r="I42" s="1540"/>
      <c r="J42" s="1540"/>
      <c r="K42" s="1540"/>
      <c r="L42" s="1534"/>
      <c r="M42" s="1532"/>
      <c r="N42" s="1532"/>
      <c r="O42" s="1532"/>
      <c r="P42" s="1416"/>
      <c r="Q42" s="1417"/>
      <c r="R42" s="1424">
        <v>1</v>
      </c>
      <c r="S42" s="1447" t="s">
        <v>110</v>
      </c>
      <c r="T42" s="1425" t="s">
        <v>111</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r="43" ht="22" customHeight="1">
      <c r="A43" s="1533" t="s">
        <v>195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 xml:space="preserve">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 xml:space="preserve">Наименование тарифа</v>
      </c>
      <c r="AQ43" s="670"/>
      <c r="AR43" s="670"/>
      <c r="AS43" s="1325">
        <v>21</v>
      </c>
    </row>
    <row r="44" ht="22" customHeight="1">
      <c r="A44" s="1533" t="s">
        <v>195</v>
      </c>
      <c r="B44" s="1533" t="s">
        <v>196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404</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405</v>
      </c>
      <c r="AO44" s="670"/>
      <c r="AP44" s="670" t="str">
        <f>IF(T44="","",T44)</f>
        <v xml:space="preserve">Территория действия тарифа</v>
      </c>
      <c r="AQ44" s="670"/>
      <c r="AR44" s="670"/>
      <c r="AS44" s="1325">
        <v>21</v>
      </c>
    </row>
    <row r="45" ht="24" customHeight="1">
      <c r="A45" s="1533" t="s">
        <v>195</v>
      </c>
      <c r="B45" s="1533" t="s">
        <v>196</v>
      </c>
      <c r="C45" s="1533" t="s">
        <v>197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406</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407</v>
      </c>
      <c r="AO45" s="670"/>
      <c r="AP45" s="670" t="str">
        <f>IF(T45="","",T45)</f>
        <v xml:space="preserve">Наименование системы теплоснабжения</v>
      </c>
      <c r="AQ45" s="670"/>
      <c r="AR45" s="670"/>
      <c r="AS45" s="1325">
        <v>23</v>
      </c>
    </row>
    <row r="46" ht="22" customHeight="1">
      <c r="A46" s="1533" t="s">
        <v>195</v>
      </c>
      <c r="B46" s="1533" t="s">
        <v>196</v>
      </c>
      <c r="C46" s="1533" t="s">
        <v>197</v>
      </c>
      <c r="D46" s="1533" t="s">
        <v>198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408</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409</v>
      </c>
      <c r="AO46" s="670"/>
      <c r="AP46" s="670" t="str">
        <f>IF(T46="","",T46)</f>
        <v xml:space="preserve">Источник тепловой энергии</v>
      </c>
      <c r="AQ46" s="670"/>
      <c r="AR46" s="670"/>
      <c r="AS46" s="1325">
        <v>21</v>
      </c>
    </row>
    <row r="47" s="9218" customFormat="1" ht="0" customHeight="1">
      <c r="A47" s="1513" t="s">
        <v>195</v>
      </c>
      <c r="B47" s="1513" t="s">
        <v>196</v>
      </c>
      <c r="C47" s="1513" t="s">
        <v>197</v>
      </c>
      <c r="D47" s="1513" t="s">
        <v>198</v>
      </c>
      <c r="E47" s="2429"/>
      <c r="F47" s="2429"/>
      <c r="G47" s="2429"/>
      <c r="H47" s="2429"/>
      <c r="I47" s="2426" t="str">
        <f>S46&amp;".1"</f>
        <v>....1</v>
      </c>
      <c r="J47" s="1513"/>
      <c r="K47" s="1513"/>
      <c r="L47" s="1516" t="s">
        <v>410</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r="48" ht="22" customHeight="1">
      <c r="A48" s="1533" t="s">
        <v>195</v>
      </c>
      <c r="B48" s="1533" t="s">
        <v>196</v>
      </c>
      <c r="C48" s="1533" t="s">
        <v>197</v>
      </c>
      <c r="D48" s="1533" t="s">
        <v>198</v>
      </c>
      <c r="E48" s="2429"/>
      <c r="F48" s="2429"/>
      <c r="G48" s="2429"/>
      <c r="H48" s="2429"/>
      <c r="I48" s="2456"/>
      <c r="J48" s="2426" t="str">
        <f>S46&amp;".1"</f>
        <v>....1</v>
      </c>
      <c r="K48" s="1533"/>
      <c r="L48" s="1534" t="s">
        <v>413</v>
      </c>
      <c r="P48" s="2427"/>
      <c r="Q48" s="2427">
        <v>1</v>
      </c>
      <c r="R48" s="527"/>
      <c r="S48" s="1506" t="str">
        <f>$J48</f>
        <v>....1</v>
      </c>
      <c r="T48" s="456" t="s">
        <v>414</v>
      </c>
      <c r="U48" s="470"/>
      <c r="V48" s="2415"/>
      <c r="W48" s="2416"/>
      <c r="X48" s="2416"/>
      <c r="Y48" s="2416"/>
      <c r="Z48" s="2416"/>
      <c r="AA48" s="2416"/>
      <c r="AB48" s="2416"/>
      <c r="AC48" s="2417"/>
      <c r="AD48" s="2415"/>
      <c r="AE48" s="2416"/>
      <c r="AF48" s="2416"/>
      <c r="AG48" s="2416"/>
      <c r="AH48" s="2416"/>
      <c r="AI48" s="2416"/>
      <c r="AJ48" s="2416"/>
      <c r="AK48" s="2416"/>
      <c r="AL48" s="2417"/>
      <c r="AM48" s="1428" t="s">
        <v>415</v>
      </c>
      <c r="AO48" s="670"/>
      <c r="AP48" s="670" t="str">
        <f>IF(T48="","",T48)</f>
        <v xml:space="preserve">Группа потребителей</v>
      </c>
      <c r="AQ48" s="670"/>
      <c r="AR48" s="670"/>
      <c r="AS48" s="1325">
        <v>21</v>
      </c>
    </row>
    <row r="49" ht="22" customHeight="1">
      <c r="A49" s="1533" t="s">
        <v>195</v>
      </c>
      <c r="B49" s="1533" t="s">
        <v>196</v>
      </c>
      <c r="C49" s="1533" t="s">
        <v>197</v>
      </c>
      <c r="D49" s="1533" t="s">
        <v>198</v>
      </c>
      <c r="E49" s="2429"/>
      <c r="F49" s="2429"/>
      <c r="G49" s="2429"/>
      <c r="H49" s="2429"/>
      <c r="I49" s="2456"/>
      <c r="J49" s="2456"/>
      <c r="K49" s="2426" t="str">
        <f>J48&amp;".1"</f>
        <v>....1.1</v>
      </c>
      <c r="L49" s="1534" t="s">
        <v>416</v>
      </c>
      <c r="P49" s="2427"/>
      <c r="Q49" s="2427"/>
      <c r="R49" s="527">
        <v>1</v>
      </c>
      <c r="S49" s="1506" t="str">
        <f>$K49</f>
        <v>....1.1</v>
      </c>
      <c r="T49" s="1517"/>
      <c r="U49" s="470"/>
      <c r="V49" s="921"/>
      <c r="W49" s="495"/>
      <c r="X49" s="921"/>
      <c r="Y49" s="1427"/>
      <c r="Z49" s="2435"/>
      <c r="AA49" s="2277" t="s">
        <v>67</v>
      </c>
      <c r="AB49" s="2435"/>
      <c r="AC49" s="2277" t="s">
        <v>67</v>
      </c>
      <c r="AD49" s="921"/>
      <c r="AE49" s="495"/>
      <c r="AF49" s="921"/>
      <c r="AG49" s="1427"/>
      <c r="AH49" s="2435"/>
      <c r="AI49" s="2277" t="s">
        <v>67</v>
      </c>
      <c r="AJ49" s="2457"/>
      <c r="AK49" s="2277" t="s">
        <v>67</v>
      </c>
      <c r="AL49" s="1518"/>
      <c r="AM49" s="2423" t="s">
        <v>457</v>
      </c>
      <c r="AN49" s="681">
        <f>STRCHECKDATE(V50:AL50)</f>
      </c>
      <c r="AO49" s="670"/>
      <c r="AP49" s="670" t="str">
        <f>IF(T49="","",T49)</f>
        <v/>
      </c>
      <c r="AQ49" s="670"/>
      <c r="AR49" s="670"/>
      <c r="AS49" s="1325">
        <v>21</v>
      </c>
    </row>
    <row r="50" ht="0" customHeight="1">
      <c r="A50" s="1533" t="s">
        <v>195</v>
      </c>
      <c r="B50" s="1533" t="s">
        <v>196</v>
      </c>
      <c r="C50" s="1533" t="s">
        <v>197</v>
      </c>
      <c r="D50" s="1533" t="s">
        <v>198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r="51" ht="11.5" customHeight="1">
      <c r="A51" s="1533" t="s">
        <v>195</v>
      </c>
      <c r="B51" s="1533" t="s">
        <v>196</v>
      </c>
      <c r="C51" s="1533" t="s">
        <v>197</v>
      </c>
      <c r="D51" s="1533" t="s">
        <v>198</v>
      </c>
      <c r="E51" s="2429"/>
      <c r="F51" s="2429"/>
      <c r="G51" s="2429"/>
      <c r="H51" s="2429"/>
      <c r="I51" s="2456"/>
      <c r="J51" s="2426"/>
      <c r="K51" s="1533"/>
      <c r="L51" s="1534"/>
      <c r="P51" s="2427"/>
      <c r="Q51" s="2427"/>
      <c r="R51" s="526"/>
      <c r="S51" s="1448"/>
      <c r="T51" s="457" t="s">
        <v>418</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 xml:space="preserve">Добавить вид теплоносителя (параметры теплоносителя)</v>
      </c>
      <c r="AQ51" s="670"/>
      <c r="AR51" s="670"/>
      <c r="AS51" s="1325">
        <v>11</v>
      </c>
    </row>
    <row r="52" ht="11.5" customHeight="1">
      <c r="A52" s="1533" t="s">
        <v>195</v>
      </c>
      <c r="B52" s="1533" t="s">
        <v>196</v>
      </c>
      <c r="C52" s="1533" t="s">
        <v>197</v>
      </c>
      <c r="D52" s="1533" t="s">
        <v>198</v>
      </c>
      <c r="E52" s="2429"/>
      <c r="F52" s="2429"/>
      <c r="G52" s="2429"/>
      <c r="H52" s="2429"/>
      <c r="I52" s="2426"/>
      <c r="J52" s="1533"/>
      <c r="K52" s="1533"/>
      <c r="L52" s="1534"/>
      <c r="P52" s="2427"/>
      <c r="Q52" s="1501"/>
      <c r="R52" s="526"/>
      <c r="S52" s="1448"/>
      <c r="T52" s="535" t="s">
        <v>419</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 xml:space="preserve">Добавить группу потребителей</v>
      </c>
      <c r="AQ52" s="670"/>
      <c r="AR52" s="670"/>
      <c r="AS52" s="1325">
        <v>11</v>
      </c>
    </row>
    <row r="53" ht="0" customHeight="1">
      <c r="A53" s="1533" t="s">
        <v>195</v>
      </c>
      <c r="B53" s="1533" t="s">
        <v>196</v>
      </c>
      <c r="C53" s="1533" t="s">
        <v>197</v>
      </c>
      <c r="D53" s="1533" t="s">
        <v>198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r="54" s="9218" customFormat="1" ht="0" customHeight="1">
      <c r="A54" s="1513" t="s">
        <v>195</v>
      </c>
      <c r="B54" s="1513" t="s">
        <v>196</v>
      </c>
      <c r="C54" s="1513" t="s">
        <v>197</v>
      </c>
      <c r="D54" s="1484"/>
      <c r="E54" s="2429"/>
      <c r="F54" s="2429"/>
      <c r="G54" s="2428"/>
      <c r="H54" s="1484"/>
      <c r="I54" s="1484"/>
      <c r="J54" s="1484"/>
      <c r="K54" s="1484"/>
      <c r="L54" s="1509"/>
      <c r="M54" s="1485"/>
      <c r="N54" s="1485"/>
      <c r="P54" s="1486"/>
      <c r="Q54" s="1487"/>
      <c r="R54" s="1486"/>
      <c r="S54" s="1492"/>
      <c r="T54" s="1495" t="s">
        <v>163</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 xml:space="preserve">Добавить источник для дифференциации</v>
      </c>
      <c r="AQ54" s="959"/>
      <c r="AR54" s="959"/>
      <c r="AS54" s="688">
        <v>0</v>
      </c>
    </row>
    <row r="55" s="9218" customFormat="1" ht="0" customHeight="1">
      <c r="A55" s="1513" t="s">
        <v>195</v>
      </c>
      <c r="B55" s="1513" t="s">
        <v>196</v>
      </c>
      <c r="C55" s="1484"/>
      <c r="D55" s="1484"/>
      <c r="E55" s="2429"/>
      <c r="F55" s="2428"/>
      <c r="G55" s="1484"/>
      <c r="H55" s="1484"/>
      <c r="I55" s="1484"/>
      <c r="J55" s="1484"/>
      <c r="K55" s="1484"/>
      <c r="L55" s="1509"/>
      <c r="M55" s="1491"/>
      <c r="N55" s="1491"/>
      <c r="P55" s="1486"/>
      <c r="Q55" s="1487"/>
      <c r="R55" s="1486"/>
      <c r="S55" s="1492"/>
      <c r="T55" s="1495" t="s">
        <v>164</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 xml:space="preserve">Добавить централизованную систему для дифференциации</v>
      </c>
      <c r="AQ55" s="959"/>
      <c r="AR55" s="959"/>
      <c r="AS55" s="688">
        <v>0</v>
      </c>
    </row>
    <row r="56" s="9218" customFormat="1" ht="0" customHeight="1">
      <c r="A56" s="1513" t="s">
        <v>195</v>
      </c>
      <c r="B56" s="1513"/>
      <c r="C56" s="1513"/>
      <c r="D56" s="1513"/>
      <c r="E56" s="2428"/>
      <c r="F56" s="1513"/>
      <c r="G56" s="1513"/>
      <c r="H56" s="1513"/>
      <c r="I56" s="1513"/>
      <c r="J56" s="1513"/>
      <c r="K56" s="1513"/>
      <c r="L56" s="1516"/>
      <c r="M56" s="1491"/>
      <c r="N56" s="1491"/>
      <c r="O56" s="688"/>
      <c r="P56" s="550"/>
      <c r="Q56" s="1514"/>
      <c r="R56" s="550"/>
      <c r="S56" s="1492"/>
      <c r="T56" s="1495" t="s">
        <v>165</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 xml:space="preserve">Добавить территорию для дифференциации</v>
      </c>
      <c r="AQ56" s="670"/>
      <c r="AR56" s="670"/>
      <c r="AS56" s="681">
        <v>0</v>
      </c>
    </row>
    <row r="57" s="9218" customFormat="1" ht="4.2000000000000002" customHeight="1">
      <c r="A57" s="1484"/>
      <c r="B57" s="1484"/>
      <c r="C57" s="1484"/>
      <c r="D57" s="1484"/>
      <c r="E57" s="1513"/>
      <c r="F57" s="1484"/>
      <c r="G57" s="1484"/>
      <c r="H57" s="1484"/>
      <c r="I57" s="1484"/>
      <c r="J57" s="1484"/>
      <c r="K57" s="1484"/>
      <c r="L57" s="1509"/>
      <c r="M57" s="1491"/>
      <c r="N57" s="1491"/>
      <c r="P57" s="1486"/>
      <c r="Q57" s="1487"/>
      <c r="R57" s="1486"/>
      <c r="S57" s="1492"/>
      <c r="T57" s="1495" t="s">
        <v>166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 xml:space="preserve">Добавить наименование тарифа</v>
      </c>
      <c r="AQ57" s="959"/>
      <c r="AR57" s="959"/>
      <c r="AS57" s="688">
        <v>4</v>
      </c>
    </row>
    <row r="58" ht="11.5" customHeight="1">
      <c r="M58" s="1330"/>
      <c r="N58" s="1330"/>
      <c r="O58" s="707"/>
      <c r="P58" s="1325"/>
      <c r="Q58" s="1325"/>
      <c r="R58" s="1325"/>
      <c r="S58" s="1325"/>
      <c r="AN58" s="1325"/>
      <c r="AO58" s="1325"/>
      <c r="AP58" s="1325"/>
      <c r="AQ58" s="1325"/>
      <c r="AR58" s="1325"/>
      <c r="AS58" s="1325">
        <v>11</v>
      </c>
    </row>
    <row r="59" ht="14.65" customHeight="1">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r="60" ht="14.65" customHeight="1">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r="61" ht="14.65" customHeight="1">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r="62" ht="14.65" customHeight="1">
      <c r="O62" s="707"/>
      <c r="AS62" s="1325">
        <v>14</v>
      </c>
    </row>
    <row r="63" ht="14.65" customHeight="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r="64" ht="14.65" customHeight="1">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r="65" ht="14.65" customHeight="1">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r="66" ht="22.5" hidden="1" customHeight="1">
      <c r="A66" s="1330" t="s">
        <v>83</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autoFilter="0" deleteColumns="1" deleteRows="1" formatColumns="0" formatRows="0" insertColumns="1" insertRows="1" sheet="1" sort="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4">
    <dataValidation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allowBlank="1" prompt="Для выбора выполните двойной щелчок левой клавиши мыши по соответствующей ячейке." showErrorMessage="1" showInputMessage="1"/>
    <dataValidation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llowBlank="1" promptTitle="checkPeriodRange"/>
    <dataValidation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3:AM131129 S196659:AM196665 S262195:AM262201 S327731:AM327737 S393267:AM393273 S458803:AM458809 S524339:AM524345 S589875:AM589881 S655411:AM655417 S720947:AM720953 S786483:AM786489 S852019:AM852025 S917555:AM917561 S983091:AM983097 S65587:AM6559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44001E-0000-4C3A-9019-00DE008B007B}" type="list" allowBlank="1" error="Выберите значение из списка" errorTitle="Ошибка" showErrorMessage="1" showInputMessage="1">
          <x14:formula1>
            <xm:f>kind_of_heat_transfer</xm:f>
          </x14:formula1>
          <xm:sqref>T65585 T131121 T196657 T262193 T327729 T393265 T458801 T524337 T589873 T655409 T720945 T786481 T852017 T917553 T983089</xm:sqref>
        </x14:dataValidation>
        <x14:dataValidation xr:uid="{00AF0051-00D5-4656-99C6-00160086002A}" type="textLength" allowBlank="1" error="Допускается ввод не более 900 символов!" errorTitle="Ошибка" operator="lessThanOrEqual" showErrorMessage="1" showInputMessage="1">
          <x14:formula1>
            <xm:f>900</xm:f>
          </x14:formula1>
          <xm:sqref>AM65579:AM65586 AM131115:AM131122 AM196651:AM196658 AM262187:AM262194 AM327723:AM327730 AM393259:AM393266 AM458795:AM458802 AM524331:AM524338 AM589867:AM589874 AM655403:AM655410 AM720939:AM720946 AM786475:AM786482 AM852011:AM852018 AM917547:AM917554 AM983083:AM983090</xm:sqref>
        </x14:dataValidation>
        <x14:dataValidation xr:uid="{0013003D-00CA-4AB0-B037-00A500720082}" type="list" allowBlank="1" error="Выберите значение из списка" errorTitle="Ошибка" prompt="Выберите значение из списка" showInputMessage="1">
          <x14:formula1>
            <xm:f>kind_of_cons</xm:f>
          </x14:formula1>
          <xm:sqref>V983088:AL983088 V65584:AL65584 V131120:AL131120 V196656:AL196656 V262192:AL262192 V327728:AL327728 V393264:AL393264 V458800:AL458800 V524336:AL524336 V589872:AL589872 V655408:AL655408 V720944:AL720944 V786480:AL786480 V852016:AL852016 V917552:AL917552</xm:sqref>
        </x14:dataValidation>
        <x14:dataValidation xr:uid="{00240058-00BC-40A9-A54E-004900400095}" type="list" allowBlank="1" error="Выберите значение из списка" errorTitle="Ошибка" showErrorMessage="1" showInputMessage="1">
          <x14:formula1>
            <xm:f>kind_of_scheme_in</xm:f>
          </x14:formula1>
          <xm: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defaultRowHeight="14.25" customHeight="1"/>
  <cols>
    <col hidden="1" min="1" max="1" style="9138" width="10.57421875"/>
    <col customWidth="1" hidden="1" min="2" max="2" style="9138" width="11.00390625"/>
    <col hidden="1" min="3" max="3" style="9138" width="10.57421875"/>
    <col customWidth="1" hidden="1" min="4" max="4" style="9138" width="11.8515625"/>
    <col customWidth="1" hidden="1" min="5" max="5" style="9138" width="10.00390625"/>
    <col customWidth="1" hidden="1" min="6" max="6" style="9138" width="8.7109375"/>
    <col customWidth="1" hidden="1" min="7" max="7" style="9138" width="7.57421875"/>
    <col customWidth="1" hidden="1" min="8" max="8" style="9138" width="11.421875"/>
    <col customWidth="1" hidden="1" min="9" max="9" style="9138" width="12.00390625"/>
    <col customWidth="1" hidden="1" min="10" max="10" style="9138" width="9.8515625"/>
    <col customWidth="1" hidden="1" min="11" max="12" style="9138" width="11.421875"/>
    <col customWidth="1" hidden="1" min="13" max="13" style="9215" width="19.140625"/>
    <col customWidth="1" hidden="1" min="14" max="15" style="10313" width="12.28125"/>
    <col customWidth="1" hidden="1" min="16" max="16" style="10313" width="23.421875"/>
    <col customWidth="1" hidden="1" min="17" max="17" style="10313" width="3.7109375"/>
    <col customWidth="1" min="18" max="20" style="10314" width="3.00390625"/>
    <col customWidth="1" min="21" max="21" style="10315" width="12.00390625"/>
    <col customWidth="1" min="22" max="22" style="9138" width="31.00390625"/>
    <col customWidth="1" min="23" max="23" style="9138" width="0.140625"/>
    <col customWidth="1" hidden="1" min="24" max="28" style="9138" width="21.7109375"/>
    <col customWidth="1" hidden="1" min="29" max="29" style="9138" width="11.7109375"/>
    <col customWidth="1" hidden="1" min="30" max="30" style="9138" width="3.7109375"/>
    <col customWidth="1" hidden="1" min="31" max="31" style="9138" width="11.7109375"/>
    <col customWidth="1" hidden="1" min="32" max="32" style="9138" width="8.57421875"/>
    <col customWidth="1" min="33" max="33" style="9138" width="21.7109375"/>
    <col customWidth="1" min="34" max="37" style="9138" width="21.00390625"/>
    <col customWidth="1" min="38" max="38" style="9138" width="11.00390625"/>
    <col customWidth="1" min="39" max="39" style="9138" width="3.7109375"/>
    <col customWidth="1" min="40" max="40" style="9138" width="11.00390625"/>
    <col customWidth="1" hidden="1" min="41" max="41" style="9138" width="8.57421875"/>
    <col customWidth="1" min="42" max="42" style="9138" width="4.00390625"/>
    <col customWidth="1" min="43" max="43" style="9138" width="115.00390625"/>
    <col customWidth="1" min="44" max="48" style="9218" width="10.00390625"/>
    <col hidden="1" min="49" max="49" style="9138" width="10.57421875"/>
  </cols>
  <sheetData>
    <row r="1" ht="22.5" hidden="1" customHeight="1">
      <c r="AB1" s="497"/>
      <c r="AC1" s="497"/>
      <c r="AK1" s="497"/>
      <c r="AL1" s="497"/>
      <c r="AW1" s="1325" t="s">
        <v>14</v>
      </c>
    </row>
    <row r="2" ht="21" hidden="1" customHeight="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403</v>
      </c>
      <c r="AS2" s="670"/>
      <c r="AT2" s="670" t="str">
        <f>IF(V2="","",V2)</f>
        <v xml:space="preserve">Наименование тарифа</v>
      </c>
      <c r="AU2" s="670"/>
      <c r="AV2" s="670"/>
      <c r="AW2" s="1325">
        <v>0</v>
      </c>
    </row>
    <row r="3" ht="21" hidden="1" customHeight="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404</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405</v>
      </c>
      <c r="AS3" s="670"/>
      <c r="AT3" s="670" t="str">
        <f>IF(V3="","",V3)</f>
        <v xml:space="preserve">Территория действия тарифа</v>
      </c>
      <c r="AU3" s="670"/>
      <c r="AV3" s="670"/>
      <c r="AW3" s="1325">
        <v>0</v>
      </c>
    </row>
    <row r="4" ht="22.5" hidden="1" customHeight="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406</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407</v>
      </c>
      <c r="AS4" s="670"/>
      <c r="AT4" s="670" t="str">
        <f>IF(V4="","",V4)</f>
        <v xml:space="preserve">Наименование системы теплоснабжения</v>
      </c>
      <c r="AU4" s="670"/>
      <c r="AV4" s="670"/>
      <c r="AW4" s="1325">
        <v>0</v>
      </c>
    </row>
    <row r="5" ht="21" hidden="1" customHeight="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408</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409</v>
      </c>
      <c r="AS5" s="670"/>
      <c r="AT5" s="670" t="str">
        <f>IF(V5="","",V5)</f>
        <v xml:space="preserve">Источник тепловой энергии</v>
      </c>
      <c r="AU5" s="670"/>
      <c r="AV5" s="670"/>
      <c r="AW5" s="1325">
        <v>0</v>
      </c>
    </row>
    <row r="6" ht="14.25" hidden="1" customHeight="1">
      <c r="A6" s="1437"/>
      <c r="B6" s="1437"/>
      <c r="C6" s="1437"/>
      <c r="D6" s="1437"/>
      <c r="E6" s="2460"/>
      <c r="F6" s="2460"/>
      <c r="G6" s="2460"/>
      <c r="H6" s="2460"/>
      <c r="I6" s="2297">
        <f>U5&amp;".1"</f>
      </c>
      <c r="J6" s="1437"/>
      <c r="K6" s="1437"/>
      <c r="L6" s="1437"/>
      <c r="M6" s="1480" t="s">
        <v>410</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r="7" ht="21" hidden="1" customHeight="1">
      <c r="A7" s="1437"/>
      <c r="B7" s="1437"/>
      <c r="C7" s="1437"/>
      <c r="D7" s="1437"/>
      <c r="E7" s="2460"/>
      <c r="F7" s="2460"/>
      <c r="G7" s="2460"/>
      <c r="H7" s="2460"/>
      <c r="I7" s="2271"/>
      <c r="J7" s="2297">
        <f>I6&amp;".1"</f>
      </c>
      <c r="K7" s="1437"/>
      <c r="L7" s="1437"/>
      <c r="M7" s="1480" t="s">
        <v>413</v>
      </c>
      <c r="N7" s="679"/>
      <c r="O7" s="497"/>
      <c r="Q7" s="2427"/>
      <c r="R7" s="2427">
        <v>1</v>
      </c>
      <c r="S7" s="688"/>
      <c r="T7" s="527"/>
      <c r="U7" s="1506">
        <f>$J7</f>
      </c>
      <c r="V7" s="456" t="s">
        <v>414</v>
      </c>
      <c r="W7" s="470"/>
      <c r="X7" s="2415"/>
      <c r="Y7" s="2416"/>
      <c r="Z7" s="2416"/>
      <c r="AA7" s="2416"/>
      <c r="AB7" s="2416"/>
      <c r="AC7" s="2405"/>
      <c r="AD7" s="2405"/>
      <c r="AE7" s="2405"/>
      <c r="AF7" s="2478"/>
      <c r="AG7" s="2415"/>
      <c r="AH7" s="2416"/>
      <c r="AI7" s="2416"/>
      <c r="AJ7" s="2416"/>
      <c r="AK7" s="2416"/>
      <c r="AL7" s="2416"/>
      <c r="AM7" s="2416"/>
      <c r="AN7" s="2416"/>
      <c r="AO7" s="2416"/>
      <c r="AP7" s="2417"/>
      <c r="AQ7" s="1428" t="s">
        <v>415</v>
      </c>
      <c r="AS7" s="670"/>
      <c r="AT7" s="670" t="str">
        <f>IF(V7="","",V7)</f>
        <v xml:space="preserve">Группа потребителей</v>
      </c>
      <c r="AU7" s="670"/>
      <c r="AV7" s="670"/>
      <c r="AW7" s="1325">
        <v>0</v>
      </c>
    </row>
    <row r="8" ht="21" hidden="1" customHeight="1">
      <c r="A8" s="1437"/>
      <c r="B8" s="1437"/>
      <c r="C8" s="1437"/>
      <c r="D8" s="1437"/>
      <c r="E8" s="2460"/>
      <c r="F8" s="2460"/>
      <c r="G8" s="2460"/>
      <c r="H8" s="2460"/>
      <c r="I8" s="2271"/>
      <c r="J8" s="2271"/>
      <c r="K8" s="2297">
        <f>J7&amp;".1"</f>
      </c>
      <c r="L8" s="309"/>
      <c r="M8" s="1480" t="s">
        <v>416</v>
      </c>
      <c r="N8" s="679"/>
      <c r="O8" s="497"/>
      <c r="P8" s="497"/>
      <c r="Q8" s="2427"/>
      <c r="R8" s="2427"/>
      <c r="S8" s="2427">
        <v>1</v>
      </c>
      <c r="T8" s="527"/>
      <c r="U8" s="1506">
        <f>$K8</f>
      </c>
      <c r="V8" s="1517"/>
      <c r="W8" s="470"/>
      <c r="X8" s="921"/>
      <c r="Y8" s="921"/>
      <c r="Z8" s="921"/>
      <c r="AA8" s="921"/>
      <c r="AB8" s="1575"/>
      <c r="AC8" s="2435"/>
      <c r="AD8" s="2277" t="s">
        <v>67</v>
      </c>
      <c r="AE8" s="2435"/>
      <c r="AF8" s="2277" t="s">
        <v>67</v>
      </c>
      <c r="AG8" s="1577"/>
      <c r="AH8" s="921"/>
      <c r="AI8" s="921"/>
      <c r="AJ8" s="921"/>
      <c r="AK8" s="1427"/>
      <c r="AL8" s="2435"/>
      <c r="AM8" s="2277" t="s">
        <v>67</v>
      </c>
      <c r="AN8" s="2435"/>
      <c r="AO8" s="2277" t="s">
        <v>67</v>
      </c>
      <c r="AP8" s="495"/>
      <c r="AQ8" s="1477" t="s">
        <v>458</v>
      </c>
      <c r="AR8" s="681">
        <f>STRCHECKDATE(X10:AP10)</f>
      </c>
      <c r="AS8" s="670"/>
      <c r="AT8" s="670" t="str">
        <f>IF(V8="","",V8)</f>
        <v/>
      </c>
      <c r="AU8" s="670"/>
      <c r="AV8" s="670"/>
      <c r="AW8" s="1325">
        <v>0</v>
      </c>
    </row>
    <row r="9" ht="21" hidden="1" customHeight="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459</v>
      </c>
      <c r="AS9" s="670"/>
      <c r="AT9" s="670"/>
      <c r="AU9" s="670"/>
      <c r="AV9" s="670"/>
      <c r="AW9" s="1325">
        <v>0</v>
      </c>
    </row>
    <row r="10" ht="14.25" hidden="1" customHeight="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r="11" ht="11.25" hidden="1" customHeight="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460</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r="12" ht="15" hidden="1" customHeight="1">
      <c r="A12" s="1437"/>
      <c r="B12" s="1437"/>
      <c r="C12" s="1437"/>
      <c r="D12" s="1437"/>
      <c r="E12" s="2460"/>
      <c r="F12" s="2460"/>
      <c r="G12" s="2460"/>
      <c r="H12" s="2460"/>
      <c r="I12" s="2271"/>
      <c r="J12" s="2297"/>
      <c r="K12" s="1437"/>
      <c r="L12" s="1437"/>
      <c r="M12" s="1480"/>
      <c r="N12" s="679"/>
      <c r="O12" s="497"/>
      <c r="Q12" s="2427"/>
      <c r="R12" s="2427"/>
      <c r="S12" s="1501"/>
      <c r="T12" s="526"/>
      <c r="U12" s="1448"/>
      <c r="V12" s="457" t="s">
        <v>418</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 xml:space="preserve">Добавить вид теплоносителя (параметры теплоносителя)</v>
      </c>
      <c r="AU12" s="670"/>
      <c r="AV12" s="670"/>
      <c r="AW12" s="1325">
        <v>0</v>
      </c>
    </row>
    <row r="13" ht="11.25" hidden="1" customHeight="1">
      <c r="A13" s="1437"/>
      <c r="B13" s="1437"/>
      <c r="C13" s="1437"/>
      <c r="D13" s="1437"/>
      <c r="E13" s="2460"/>
      <c r="F13" s="2460"/>
      <c r="G13" s="2460"/>
      <c r="H13" s="2460"/>
      <c r="I13" s="2297"/>
      <c r="J13" s="1437"/>
      <c r="K13" s="1437"/>
      <c r="L13" s="1437"/>
      <c r="M13" s="1480"/>
      <c r="N13" s="679"/>
      <c r="Q13" s="2427"/>
      <c r="R13" s="1501"/>
      <c r="S13" s="1501"/>
      <c r="T13" s="526"/>
      <c r="U13" s="1448"/>
      <c r="V13" s="535" t="s">
        <v>419</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 xml:space="preserve">Добавить группу потребителей</v>
      </c>
      <c r="AU13" s="670"/>
      <c r="AV13" s="670"/>
      <c r="AW13" s="1325">
        <v>0</v>
      </c>
    </row>
    <row r="14" ht="14.25" hidden="1" customHeight="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r="15" s="9218" customFormat="1" ht="14.25" hidden="1" customHeight="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163</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 xml:space="preserve">Добавить источник для дифференциации</v>
      </c>
      <c r="AU15" s="959"/>
      <c r="AV15" s="959"/>
      <c r="AW15" s="688">
        <v>0</v>
      </c>
    </row>
    <row r="16" s="9218" customFormat="1" ht="14.25" hidden="1" customHeight="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164</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 xml:space="preserve">Добавить централизованную систему для дифференциации</v>
      </c>
      <c r="AU16" s="959"/>
      <c r="AV16" s="959"/>
      <c r="AW16" s="688">
        <v>0</v>
      </c>
    </row>
    <row r="17" s="9218" customFormat="1" ht="14.25" hidden="1" customHeight="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165</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 xml:space="preserve">Добавить территорию для дифференциации</v>
      </c>
      <c r="AU17" s="959"/>
      <c r="AV17" s="959"/>
      <c r="AW17" s="688">
        <v>0</v>
      </c>
    </row>
    <row r="18" ht="14.25" hidden="1" customHeight="1">
      <c r="AF18" s="497"/>
      <c r="AO18" s="497"/>
      <c r="AW18" s="1325">
        <v>0</v>
      </c>
    </row>
    <row r="19" ht="14.25" hidden="1" customHeight="1">
      <c r="AG19" s="1530"/>
      <c r="AH19" s="1530"/>
      <c r="AI19" s="1530"/>
      <c r="AJ19" s="1530"/>
      <c r="AK19" s="1531"/>
      <c r="AL19" s="2437"/>
      <c r="AM19" s="2438" t="s">
        <v>67</v>
      </c>
      <c r="AN19" s="2437"/>
      <c r="AO19" s="2438" t="s">
        <v>67</v>
      </c>
      <c r="AW19" s="1325">
        <v>0</v>
      </c>
    </row>
    <row r="20" ht="14.25" hidden="1" customHeight="1">
      <c r="AG20" s="1530"/>
      <c r="AH20" s="1530"/>
      <c r="AI20" s="1530"/>
      <c r="AJ20" s="1530"/>
      <c r="AK20" s="1531"/>
      <c r="AL20" s="2437"/>
      <c r="AM20" s="2438"/>
      <c r="AN20" s="2437"/>
      <c r="AO20" s="2438"/>
      <c r="AW20" s="1325">
        <v>0</v>
      </c>
    </row>
    <row r="21" ht="14.25" hidden="1" customHeight="1">
      <c r="AG21" s="1530"/>
      <c r="AH21" s="1530"/>
      <c r="AI21" s="1530"/>
      <c r="AJ21" s="1530"/>
      <c r="AK21" s="1531"/>
      <c r="AL21" s="2437"/>
      <c r="AM21" s="2438"/>
      <c r="AN21" s="2437"/>
      <c r="AO21" s="2438"/>
      <c r="AW21" s="1325">
        <v>0</v>
      </c>
    </row>
    <row r="22" ht="14.25" hidden="1" customHeight="1">
      <c r="AG22" s="1530"/>
      <c r="AH22" s="1530"/>
      <c r="AI22" s="1530"/>
      <c r="AJ22" s="1530"/>
      <c r="AK22" s="498" t="str">
        <f>AL19&amp;"-"&amp;AN19</f>
        <v>-</v>
      </c>
      <c r="AL22" s="2438"/>
      <c r="AM22" s="2438"/>
      <c r="AN22" s="2438"/>
      <c r="AO22" s="2438"/>
      <c r="AW22" s="1325">
        <v>0</v>
      </c>
    </row>
    <row r="23" ht="14.25" hidden="1" customHeight="1">
      <c r="AO23" s="497"/>
      <c r="AW23" s="1325">
        <v>0</v>
      </c>
    </row>
    <row r="24" s="9217" customFormat="1" ht="22.5" hidden="1" customHeight="1">
      <c r="A24" s="1325"/>
      <c r="B24" s="1325"/>
      <c r="C24" s="1325"/>
      <c r="D24" s="1325"/>
      <c r="E24" s="1325"/>
      <c r="F24" s="1325"/>
      <c r="G24" s="1325"/>
      <c r="H24" s="1325"/>
      <c r="I24" s="1325"/>
      <c r="J24" s="1325"/>
      <c r="K24" s="1325"/>
      <c r="L24" s="1325"/>
      <c r="M24" s="1497"/>
      <c r="N24" s="1498"/>
      <c r="O24" s="1498"/>
      <c r="P24" s="1515" t="s">
        <v>421</v>
      </c>
      <c r="Q24" s="1532"/>
      <c r="R24" s="1541"/>
      <c r="S24" s="1541"/>
      <c r="T24" s="1541"/>
      <c r="U24" s="899"/>
      <c r="AC24" s="1537"/>
      <c r="AE24" s="1537"/>
      <c r="AF24" s="1536"/>
      <c r="AL24" s="1537"/>
      <c r="AN24" s="1537"/>
      <c r="AO24" s="1536"/>
      <c r="AR24" s="681"/>
      <c r="AS24" s="681"/>
      <c r="AT24" s="681"/>
      <c r="AU24" s="681"/>
      <c r="AV24" s="681"/>
      <c r="AW24" s="1330">
        <v>0</v>
      </c>
    </row>
    <row r="25" s="9217" customFormat="1" ht="14.25" hidden="1" customHeight="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r="26" s="9217" customFormat="1" ht="14.25" hidden="1" customHeight="1">
      <c r="A26" s="1325"/>
      <c r="B26" s="1325"/>
      <c r="C26" s="1325"/>
      <c r="D26" s="1325"/>
      <c r="E26" s="1325"/>
      <c r="F26" s="1325"/>
      <c r="G26" s="1325"/>
      <c r="H26" s="1325"/>
      <c r="I26" s="1325"/>
      <c r="J26" s="1325"/>
      <c r="K26" s="1325"/>
      <c r="L26" s="1325"/>
      <c r="M26" s="1497"/>
      <c r="N26" s="1498"/>
      <c r="O26" s="1498"/>
      <c r="P26" s="1480" t="s">
        <v>422</v>
      </c>
      <c r="Q26" s="1532"/>
      <c r="R26" s="1541"/>
      <c r="S26" s="1541"/>
      <c r="T26" s="1541"/>
      <c r="U26" s="899"/>
      <c r="V26" s="1330" t="s">
        <v>423</v>
      </c>
      <c r="AD26" s="356" t="s">
        <v>424</v>
      </c>
      <c r="AF26" s="356" t="s">
        <v>425</v>
      </c>
      <c r="AG26" s="1330" t="s">
        <v>423</v>
      </c>
      <c r="AM26" s="356" t="s">
        <v>426</v>
      </c>
      <c r="AO26" s="356" t="s">
        <v>425</v>
      </c>
      <c r="AR26" s="681"/>
      <c r="AS26" s="681"/>
      <c r="AT26" s="681"/>
      <c r="AU26" s="681"/>
      <c r="AV26" s="681"/>
      <c r="AW26" s="1330">
        <v>0</v>
      </c>
    </row>
    <row r="27" ht="14.25" hidden="1" customHeight="1">
      <c r="P27" s="1480"/>
      <c r="AW27" s="1325">
        <v>0</v>
      </c>
    </row>
    <row r="28" ht="14.25" hidden="1" customHeight="1">
      <c r="P28" s="1480"/>
      <c r="AW28" s="1325">
        <v>0</v>
      </c>
    </row>
    <row r="29" ht="14.65" customHeight="1">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r="30" ht="56.700000000000003" customHeight="1">
      <c r="R30" s="546"/>
      <c r="S30" s="546"/>
      <c r="T30" s="546"/>
      <c r="U30" s="2418" t="str">
        <f>IF(TEMPLATE_GROUP="P",PT_P_FORM_HEAT_6_NAME_FORM,PT_R_FORM_HEAT_23_NAME_FORM)</f>
        <v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r="31" ht="14.65" customHeight="1">
      <c r="R31" s="546"/>
      <c r="S31" s="546"/>
      <c r="T31" s="546"/>
      <c r="U31" s="2419" t="str">
        <f>IF(org=0,"Не определено",org)</f>
        <v xml:space="preserve">АО "ДГК" СП "Биробиджанская ТЭЦ"</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r="32" ht="14.25" hidden="1" customHeight="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r="33" s="9344" customFormat="1" ht="25.5" hidden="1" customHeight="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r="34" s="9344" customFormat="1" ht="18.75" hidden="1" customHeight="1">
      <c r="A34" s="1418"/>
      <c r="B34" s="1418"/>
      <c r="C34" s="1418"/>
      <c r="D34" s="1418"/>
      <c r="E34" s="1418"/>
      <c r="F34" s="1418"/>
      <c r="G34" s="1418"/>
      <c r="H34" s="1418"/>
      <c r="I34" s="1418"/>
      <c r="J34" s="1418"/>
      <c r="K34" s="1418"/>
      <c r="L34" s="1418"/>
      <c r="M34" s="1550"/>
      <c r="N34" s="1418"/>
      <c r="O34" s="1418"/>
      <c r="P34" s="1418"/>
      <c r="U34" s="2420" t="s">
        <v>427</v>
      </c>
      <c r="V34" s="2420"/>
      <c r="W34" s="1542"/>
      <c r="X34" s="2434" t="str">
        <f>IF(TITLE_DATE_PR_CHANGE="",IF(TITLE_DATE_PR="","",TITLE_DATE_PR),TITLE_DATE_PR_CHANGE)</f>
        <v>45646</v>
      </c>
      <c r="Y34" s="2434"/>
      <c r="Z34" s="2434"/>
      <c r="AA34" s="2434"/>
      <c r="AB34" s="2434"/>
      <c r="AC34" s="2434"/>
      <c r="AD34" s="2434"/>
      <c r="AE34" s="2434"/>
      <c r="AF34" s="496"/>
      <c r="AG34" s="2434" t="str">
        <f>IF(TITLE_DATE_PR_CHANGE="",IF(TITLE_DATE_PR="","",TITLE_DATE_PR),TITLE_DATE_PR_CHANGE)</f>
        <v>45646</v>
      </c>
      <c r="AH34" s="2434"/>
      <c r="AI34" s="2434"/>
      <c r="AJ34" s="2434"/>
      <c r="AK34" s="2434"/>
      <c r="AL34" s="2434"/>
      <c r="AM34" s="2434"/>
      <c r="AN34" s="2434"/>
      <c r="AO34" s="496"/>
      <c r="AP34" s="496"/>
      <c r="AQ34" s="450"/>
      <c r="AR34" s="538"/>
      <c r="AS34" s="538"/>
      <c r="AT34" s="538"/>
      <c r="AU34" s="538"/>
      <c r="AV34" s="538"/>
      <c r="AW34" s="588">
        <v>0</v>
      </c>
    </row>
    <row r="35" s="9344" customFormat="1" ht="18.75" hidden="1" customHeight="1">
      <c r="A35" s="1418"/>
      <c r="B35" s="1418"/>
      <c r="C35" s="1418"/>
      <c r="D35" s="1418"/>
      <c r="E35" s="1418"/>
      <c r="F35" s="1418"/>
      <c r="G35" s="1418"/>
      <c r="H35" s="1418"/>
      <c r="I35" s="1418"/>
      <c r="J35" s="1418"/>
      <c r="K35" s="1418"/>
      <c r="L35" s="1418"/>
      <c r="M35" s="1550"/>
      <c r="N35" s="1418"/>
      <c r="O35" s="1418"/>
      <c r="P35" s="1418"/>
      <c r="U35" s="2420" t="s">
        <v>428</v>
      </c>
      <c r="V35" s="2420"/>
      <c r="W35" s="1542"/>
      <c r="X35" s="2421" t="str">
        <f>IF(TITLE_NUMBER_PR_CHANGE="",IF(TITLE_NUMBER_PR="","",TITLE_NUMBER_PR),TITLE_NUMBER_PR_CHANGE)</f>
        <v>ДГК-01.1/22560</v>
      </c>
      <c r="Y35" s="2421"/>
      <c r="Z35" s="2421"/>
      <c r="AA35" s="2421"/>
      <c r="AB35" s="2421"/>
      <c r="AC35" s="2421"/>
      <c r="AD35" s="2421"/>
      <c r="AE35" s="2421"/>
      <c r="AF35" s="496"/>
      <c r="AG35" s="2421" t="str">
        <f>IF(TITLE_NUMBER_PR_CHANGE="",IF(TITLE_NUMBER_PR="","",TITLE_NUMBER_PR),TITLE_NUMBER_PR_CHANGE)</f>
        <v>ДГК-01.1/22560</v>
      </c>
      <c r="AH35" s="2421"/>
      <c r="AI35" s="2421"/>
      <c r="AJ35" s="2421"/>
      <c r="AK35" s="2421"/>
      <c r="AL35" s="2421"/>
      <c r="AM35" s="2421"/>
      <c r="AN35" s="2421"/>
      <c r="AO35" s="496"/>
      <c r="AP35" s="496"/>
      <c r="AQ35" s="450"/>
      <c r="AR35" s="538"/>
      <c r="AS35" s="538"/>
      <c r="AT35" s="538"/>
      <c r="AU35" s="538"/>
      <c r="AV35" s="538"/>
      <c r="AW35" s="588">
        <v>0</v>
      </c>
    </row>
    <row r="36" s="9344" customFormat="1" ht="18.75" hidden="1" customHeight="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r="37" ht="14.25" customHeight="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r="38" s="9344" customFormat="1" ht="18.75" customHeight="1">
      <c r="A38" s="1418"/>
      <c r="B38" s="1418"/>
      <c r="C38" s="1418"/>
      <c r="D38" s="1418"/>
      <c r="E38" s="1418"/>
      <c r="F38" s="1418"/>
      <c r="G38" s="1418"/>
      <c r="H38" s="1418"/>
      <c r="I38" s="1418"/>
      <c r="J38" s="1418"/>
      <c r="K38" s="1418"/>
      <c r="L38" s="1418"/>
      <c r="M38" s="1550"/>
      <c r="N38" s="1418"/>
      <c r="O38" s="1418"/>
      <c r="P38" s="1418"/>
      <c r="U38" s="2420" t="s">
        <v>429</v>
      </c>
      <c r="V38" s="2420"/>
      <c r="W38" s="1542"/>
      <c r="X38" s="2434" t="str">
        <f>IF(TITLE_DATE_PR_CHANGE="",IF(TITLE_DATE_PR="","",TITLE_DATE_PR),TITLE_DATE_PR_CHANGE)</f>
        <v>45646</v>
      </c>
      <c r="Y38" s="2434"/>
      <c r="Z38" s="2434"/>
      <c r="AA38" s="2434"/>
      <c r="AB38" s="2434"/>
      <c r="AC38" s="2434"/>
      <c r="AD38" s="2434"/>
      <c r="AE38" s="2434"/>
      <c r="AF38" s="496"/>
      <c r="AG38" s="2434" t="str">
        <f>IF(TITLE_DATE_PR_CHANGE="",IF(TITLE_DATE_PR="","",TITLE_DATE_PR),TITLE_DATE_PR_CHANGE)</f>
        <v>45646</v>
      </c>
      <c r="AH38" s="2434"/>
      <c r="AI38" s="2434"/>
      <c r="AJ38" s="2434"/>
      <c r="AK38" s="2434"/>
      <c r="AL38" s="2434"/>
      <c r="AM38" s="2434"/>
      <c r="AN38" s="2434"/>
      <c r="AO38" s="496"/>
      <c r="AP38" s="496"/>
      <c r="AQ38" s="450"/>
      <c r="AR38" s="538"/>
      <c r="AS38" s="538"/>
      <c r="AT38" s="538"/>
      <c r="AU38" s="538"/>
      <c r="AV38" s="538"/>
      <c r="AW38" s="588">
        <v>0</v>
      </c>
    </row>
    <row r="39" s="9344" customFormat="1" ht="18.75" customHeight="1">
      <c r="A39" s="1418"/>
      <c r="B39" s="1418"/>
      <c r="C39" s="1418"/>
      <c r="D39" s="1418"/>
      <c r="E39" s="1418"/>
      <c r="F39" s="1418"/>
      <c r="G39" s="1418"/>
      <c r="H39" s="1418"/>
      <c r="I39" s="1418"/>
      <c r="J39" s="1418"/>
      <c r="K39" s="1418"/>
      <c r="L39" s="1418"/>
      <c r="M39" s="1550"/>
      <c r="N39" s="1418"/>
      <c r="O39" s="1418"/>
      <c r="P39" s="1418"/>
      <c r="U39" s="2420" t="s">
        <v>430</v>
      </c>
      <c r="V39" s="2420"/>
      <c r="W39" s="1542"/>
      <c r="X39" s="2421" t="str">
        <f>IF(TITLE_NUMBER_PR_CHANGE="",IF(TITLE_NUMBER_PR="","",TITLE_NUMBER_PR),TITLE_NUMBER_PR_CHANGE)</f>
        <v>ДГК-01.1/22560</v>
      </c>
      <c r="Y39" s="2421"/>
      <c r="Z39" s="2421"/>
      <c r="AA39" s="2421"/>
      <c r="AB39" s="2421"/>
      <c r="AC39" s="2421"/>
      <c r="AD39" s="2421"/>
      <c r="AE39" s="2421"/>
      <c r="AF39" s="496"/>
      <c r="AG39" s="2421" t="str">
        <f>IF(TITLE_NUMBER_PR_CHANGE="",IF(TITLE_NUMBER_PR="","",TITLE_NUMBER_PR),TITLE_NUMBER_PR_CHANGE)</f>
        <v>ДГК-01.1/22560</v>
      </c>
      <c r="AH39" s="2421"/>
      <c r="AI39" s="2421"/>
      <c r="AJ39" s="2421"/>
      <c r="AK39" s="2421"/>
      <c r="AL39" s="2421"/>
      <c r="AM39" s="2421"/>
      <c r="AN39" s="2421"/>
      <c r="AO39" s="496"/>
      <c r="AP39" s="496"/>
      <c r="AQ39" s="450"/>
      <c r="AR39" s="538"/>
      <c r="AS39" s="538"/>
      <c r="AT39" s="538"/>
      <c r="AU39" s="538"/>
      <c r="AV39" s="538"/>
      <c r="AW39" s="588">
        <v>0</v>
      </c>
    </row>
    <row r="40" s="9344" customFormat="1" ht="0" customHeight="1">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431</v>
      </c>
      <c r="AG40" s="496"/>
      <c r="AH40" s="496"/>
      <c r="AI40" s="496"/>
      <c r="AJ40" s="496"/>
      <c r="AK40" s="496"/>
      <c r="AL40" s="496"/>
      <c r="AM40" s="496"/>
      <c r="AN40" s="496"/>
      <c r="AO40" s="448" t="s">
        <v>431</v>
      </c>
      <c r="AR40" s="538"/>
      <c r="AS40" s="538"/>
      <c r="AT40" s="538"/>
      <c r="AU40" s="538"/>
      <c r="AV40" s="538"/>
      <c r="AW40" s="588">
        <v>0</v>
      </c>
    </row>
    <row r="41" ht="14.65" customHeight="1">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r="42" ht="14.65" customHeight="1">
      <c r="R42" s="546"/>
      <c r="S42" s="546"/>
      <c r="T42" s="546"/>
      <c r="U42" s="2297" t="s">
        <v>307</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308</v>
      </c>
      <c r="AW42" s="1325">
        <v>14</v>
      </c>
    </row>
    <row r="43" ht="14.65" customHeight="1">
      <c r="R43" s="546"/>
      <c r="S43" s="546"/>
      <c r="T43" s="546"/>
      <c r="U43" s="2443" t="s">
        <v>89</v>
      </c>
      <c r="V43" s="2379" t="s">
        <v>433</v>
      </c>
      <c r="W43" s="471"/>
      <c r="X43" s="2444" t="s">
        <v>434</v>
      </c>
      <c r="Y43" s="2461"/>
      <c r="Z43" s="2461"/>
      <c r="AA43" s="2461"/>
      <c r="AB43" s="2461"/>
      <c r="AC43" s="2445"/>
      <c r="AD43" s="2445"/>
      <c r="AE43" s="2446"/>
      <c r="AF43" s="2447" t="s">
        <v>435</v>
      </c>
      <c r="AG43" s="2444" t="s">
        <v>434</v>
      </c>
      <c r="AH43" s="2461"/>
      <c r="AI43" s="2461"/>
      <c r="AJ43" s="2461"/>
      <c r="AK43" s="2461"/>
      <c r="AL43" s="2445"/>
      <c r="AM43" s="2445"/>
      <c r="AN43" s="2446"/>
      <c r="AO43" s="2447" t="s">
        <v>436</v>
      </c>
      <c r="AP43" s="2450" t="s">
        <v>437</v>
      </c>
      <c r="AQ43" s="2297"/>
      <c r="AW43" s="1325">
        <v>14</v>
      </c>
    </row>
    <row r="44" ht="35.649999999999999" customHeight="1">
      <c r="R44" s="546"/>
      <c r="S44" s="546"/>
      <c r="T44" s="546"/>
      <c r="U44" s="2443"/>
      <c r="V44" s="2379"/>
      <c r="W44" s="1201"/>
      <c r="X44" s="2464" t="s">
        <v>461</v>
      </c>
      <c r="Y44" s="2482" t="s">
        <v>462</v>
      </c>
      <c r="Z44" s="2482"/>
      <c r="AA44" s="2482"/>
      <c r="AB44" s="2482"/>
      <c r="AC44" s="2464" t="s">
        <v>441</v>
      </c>
      <c r="AD44" s="2781"/>
      <c r="AE44" s="2484"/>
      <c r="AF44" s="2448"/>
      <c r="AG44" s="2464" t="s">
        <v>461</v>
      </c>
      <c r="AH44" s="2482" t="s">
        <v>462</v>
      </c>
      <c r="AI44" s="2482"/>
      <c r="AJ44" s="2482"/>
      <c r="AK44" s="2482"/>
      <c r="AL44" s="2464" t="s">
        <v>441</v>
      </c>
      <c r="AM44" s="2781"/>
      <c r="AN44" s="2484"/>
      <c r="AO44" s="2448"/>
      <c r="AP44" s="2451"/>
      <c r="AQ44" s="2297"/>
      <c r="AW44" s="1325">
        <v>34</v>
      </c>
    </row>
    <row r="45" ht="14.65" customHeight="1">
      <c r="R45" s="546"/>
      <c r="S45" s="546"/>
      <c r="T45" s="546"/>
      <c r="U45" s="2443"/>
      <c r="V45" s="2379"/>
      <c r="W45" s="1201"/>
      <c r="X45" s="2495"/>
      <c r="Y45" s="2487" t="s">
        <v>463</v>
      </c>
      <c r="Z45" s="2440" t="s">
        <v>464</v>
      </c>
      <c r="AA45" s="2490"/>
      <c r="AB45" s="2441"/>
      <c r="AC45" s="2465"/>
      <c r="AD45" s="2782"/>
      <c r="AE45" s="2486"/>
      <c r="AF45" s="2448"/>
      <c r="AG45" s="2495"/>
      <c r="AH45" s="2487" t="s">
        <v>463</v>
      </c>
      <c r="AI45" s="2440" t="s">
        <v>464</v>
      </c>
      <c r="AJ45" s="2490"/>
      <c r="AK45" s="2441"/>
      <c r="AL45" s="2465"/>
      <c r="AM45" s="2782"/>
      <c r="AN45" s="2486"/>
      <c r="AO45" s="2448"/>
      <c r="AP45" s="2451"/>
      <c r="AQ45" s="2297"/>
      <c r="AW45" s="1325">
        <v>14</v>
      </c>
    </row>
    <row r="46" ht="27.300000000000001" customHeight="1">
      <c r="R46" s="546"/>
      <c r="S46" s="546"/>
      <c r="T46" s="546"/>
      <c r="U46" s="2443"/>
      <c r="V46" s="2379"/>
      <c r="W46" s="1201"/>
      <c r="X46" s="2495"/>
      <c r="Y46" s="2488"/>
      <c r="Z46" s="2487" t="s">
        <v>465</v>
      </c>
      <c r="AA46" s="2440" t="s">
        <v>466</v>
      </c>
      <c r="AB46" s="2441"/>
      <c r="AC46" s="2487" t="s">
        <v>451</v>
      </c>
      <c r="AD46" s="2491" t="s">
        <v>452</v>
      </c>
      <c r="AE46" s="2492"/>
      <c r="AF46" s="2448"/>
      <c r="AG46" s="2495"/>
      <c r="AH46" s="2488"/>
      <c r="AI46" s="2487" t="s">
        <v>465</v>
      </c>
      <c r="AJ46" s="2440" t="s">
        <v>466</v>
      </c>
      <c r="AK46" s="2441"/>
      <c r="AL46" s="2487" t="s">
        <v>451</v>
      </c>
      <c r="AM46" s="2491" t="s">
        <v>452</v>
      </c>
      <c r="AN46" s="2492"/>
      <c r="AO46" s="2448"/>
      <c r="AP46" s="2451"/>
      <c r="AQ46" s="2297"/>
      <c r="AW46" s="1325">
        <v>26</v>
      </c>
    </row>
    <row r="47" ht="65.25" customHeight="1">
      <c r="A47" s="1429"/>
      <c r="B47" s="1429" t="s">
        <v>135</v>
      </c>
      <c r="C47" s="1429" t="s">
        <v>136</v>
      </c>
      <c r="D47" s="1429" t="s">
        <v>137</v>
      </c>
      <c r="E47" s="1480" t="s">
        <v>442</v>
      </c>
      <c r="F47" s="1480" t="s">
        <v>443</v>
      </c>
      <c r="G47" s="1480" t="s">
        <v>444</v>
      </c>
      <c r="H47" s="1480" t="s">
        <v>445</v>
      </c>
      <c r="I47" s="1480" t="s">
        <v>446</v>
      </c>
      <c r="J47" s="1480" t="s">
        <v>447</v>
      </c>
      <c r="K47" s="1480" t="s">
        <v>448</v>
      </c>
      <c r="L47" s="1480" t="s">
        <v>467</v>
      </c>
      <c r="M47" s="1480" t="s">
        <v>422</v>
      </c>
      <c r="R47" s="546"/>
      <c r="S47" s="546"/>
      <c r="T47" s="546"/>
      <c r="U47" s="2443"/>
      <c r="V47" s="2379"/>
      <c r="W47" s="472"/>
      <c r="X47" s="2465"/>
      <c r="Y47" s="2489"/>
      <c r="Z47" s="2489"/>
      <c r="AA47" s="1392" t="s">
        <v>468</v>
      </c>
      <c r="AB47" s="1392" t="s">
        <v>469</v>
      </c>
      <c r="AC47" s="2489"/>
      <c r="AD47" s="2493"/>
      <c r="AE47" s="2494"/>
      <c r="AF47" s="2449"/>
      <c r="AG47" s="2465"/>
      <c r="AH47" s="2489"/>
      <c r="AI47" s="2489"/>
      <c r="AJ47" s="1392" t="s">
        <v>468</v>
      </c>
      <c r="AK47" s="1392" t="s">
        <v>469</v>
      </c>
      <c r="AL47" s="2489"/>
      <c r="AM47" s="2493"/>
      <c r="AN47" s="2494"/>
      <c r="AO47" s="2449"/>
      <c r="AP47" s="2452"/>
      <c r="AQ47" s="2297"/>
      <c r="AW47" s="1325">
        <v>62</v>
      </c>
    </row>
    <row r="48" s="9831" customFormat="1" ht="11.25" hidden="1" customHeight="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110</v>
      </c>
      <c r="V48" s="1425" t="s">
        <v>111</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r="49" ht="22" customHeight="1">
      <c r="A49" s="1437" t="s">
        <v>183</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 xml:space="preserve">Наименование тарифа</v>
      </c>
      <c r="AU49" s="670"/>
      <c r="AV49" s="670"/>
      <c r="AW49" s="1325">
        <v>21</v>
      </c>
    </row>
    <row r="50" ht="22" customHeight="1">
      <c r="A50" s="1437" t="s">
        <v>183</v>
      </c>
      <c r="B50" s="1437" t="s">
        <v>184</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404</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405</v>
      </c>
      <c r="AS50" s="670"/>
      <c r="AT50" s="670" t="str">
        <f>IF(V50="","",V50)</f>
        <v xml:space="preserve">Территория действия тарифа</v>
      </c>
      <c r="AU50" s="670"/>
      <c r="AV50" s="670"/>
      <c r="AW50" s="1325">
        <v>21</v>
      </c>
    </row>
    <row r="51" ht="24" customHeight="1">
      <c r="A51" s="1437" t="s">
        <v>183</v>
      </c>
      <c r="B51" s="1437" t="s">
        <v>184</v>
      </c>
      <c r="C51" s="1437" t="s">
        <v>185</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406</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407</v>
      </c>
      <c r="AS51" s="670"/>
      <c r="AT51" s="670" t="str">
        <f>IF(V51="","",V51)</f>
        <v xml:space="preserve">Наименование системы теплоснабжения</v>
      </c>
      <c r="AU51" s="670"/>
      <c r="AV51" s="670"/>
      <c r="AW51" s="1325">
        <v>23</v>
      </c>
    </row>
    <row r="52" ht="22" customHeight="1">
      <c r="A52" s="1437" t="s">
        <v>183</v>
      </c>
      <c r="B52" s="1437" t="s">
        <v>184</v>
      </c>
      <c r="C52" s="1437" t="s">
        <v>185</v>
      </c>
      <c r="D52" s="1437" t="s">
        <v>186</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408</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409</v>
      </c>
      <c r="AS52" s="670"/>
      <c r="AT52" s="670" t="str">
        <f>IF(V52="","",V52)</f>
        <v xml:space="preserve">Источник тепловой энергии</v>
      </c>
      <c r="AU52" s="670"/>
      <c r="AV52" s="670"/>
      <c r="AW52" s="1325">
        <v>21</v>
      </c>
    </row>
    <row r="53" s="9218" customFormat="1" ht="0" customHeight="1">
      <c r="A53" s="1545" t="s">
        <v>183</v>
      </c>
      <c r="B53" s="1545" t="s">
        <v>184</v>
      </c>
      <c r="C53" s="1545" t="s">
        <v>185</v>
      </c>
      <c r="D53" s="1545" t="s">
        <v>186</v>
      </c>
      <c r="E53" s="2460"/>
      <c r="F53" s="2460"/>
      <c r="G53" s="2460"/>
      <c r="H53" s="2481"/>
      <c r="I53" s="2297" t="str">
        <f>U52&amp;".1"</f>
        <v>....1</v>
      </c>
      <c r="J53" s="1545"/>
      <c r="K53" s="1545"/>
      <c r="L53" s="1545"/>
      <c r="M53" s="1551" t="s">
        <v>410</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r="54" ht="22" customHeight="1">
      <c r="A54" s="1437" t="s">
        <v>183</v>
      </c>
      <c r="B54" s="1437" t="s">
        <v>184</v>
      </c>
      <c r="C54" s="1437" t="s">
        <v>185</v>
      </c>
      <c r="D54" s="1437" t="s">
        <v>186</v>
      </c>
      <c r="E54" s="2460"/>
      <c r="F54" s="2460"/>
      <c r="G54" s="2460"/>
      <c r="H54" s="2481"/>
      <c r="I54" s="2271"/>
      <c r="J54" s="2297" t="str">
        <f>I53&amp;".1"</f>
        <v>....1.1</v>
      </c>
      <c r="K54" s="1437"/>
      <c r="L54" s="1437"/>
      <c r="M54" s="1480" t="s">
        <v>413</v>
      </c>
      <c r="Q54" s="2427"/>
      <c r="R54" s="2427">
        <v>1</v>
      </c>
      <c r="S54" s="688"/>
      <c r="T54" s="527"/>
      <c r="U54" s="1506" t="str">
        <f>$J54</f>
        <v>....1.1</v>
      </c>
      <c r="V54" s="456" t="s">
        <v>414</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415</v>
      </c>
      <c r="AS54" s="670"/>
      <c r="AT54" s="670" t="str">
        <f>IF(V54="","",V54)</f>
        <v xml:space="preserve">Группа потребителей</v>
      </c>
      <c r="AU54" s="670"/>
      <c r="AV54" s="670"/>
      <c r="AW54" s="1325">
        <v>21</v>
      </c>
    </row>
    <row r="55" ht="22" customHeight="1">
      <c r="A55" s="1437" t="s">
        <v>183</v>
      </c>
      <c r="B55" s="1437" t="s">
        <v>184</v>
      </c>
      <c r="C55" s="1437" t="s">
        <v>185</v>
      </c>
      <c r="D55" s="1437" t="s">
        <v>186</v>
      </c>
      <c r="E55" s="2460"/>
      <c r="F55" s="2460"/>
      <c r="G55" s="2460"/>
      <c r="H55" s="2481"/>
      <c r="I55" s="2271"/>
      <c r="J55" s="2271"/>
      <c r="K55" s="2297" t="str">
        <f>J54&amp;".1"</f>
        <v>....1.1.1</v>
      </c>
      <c r="L55" s="309"/>
      <c r="M55" s="1480" t="s">
        <v>416</v>
      </c>
      <c r="Q55" s="2427"/>
      <c r="R55" s="2427"/>
      <c r="S55" s="688">
        <v>1</v>
      </c>
      <c r="T55" s="527"/>
      <c r="U55" s="1506" t="str">
        <f>$K55</f>
        <v>....1.1.1</v>
      </c>
      <c r="V55" s="1517"/>
      <c r="W55" s="470"/>
      <c r="X55" s="921"/>
      <c r="Y55" s="921"/>
      <c r="Z55" s="921"/>
      <c r="AA55" s="921"/>
      <c r="AB55" s="1575"/>
      <c r="AC55" s="2435"/>
      <c r="AD55" s="2277" t="s">
        <v>67</v>
      </c>
      <c r="AE55" s="2435"/>
      <c r="AF55" s="2277" t="s">
        <v>67</v>
      </c>
      <c r="AG55" s="1577"/>
      <c r="AH55" s="921"/>
      <c r="AI55" s="921"/>
      <c r="AJ55" s="921"/>
      <c r="AK55" s="1427"/>
      <c r="AL55" s="2435"/>
      <c r="AM55" s="2277" t="s">
        <v>67</v>
      </c>
      <c r="AN55" s="2435"/>
      <c r="AO55" s="2277" t="s">
        <v>67</v>
      </c>
      <c r="AP55" s="1518"/>
      <c r="AQ55" s="1477" t="s">
        <v>458</v>
      </c>
      <c r="AR55" s="681">
        <f>STRCHECKDATE(X57:AP57)</f>
      </c>
      <c r="AS55" s="670"/>
      <c r="AT55" s="670" t="str">
        <f>IF(V55="","",V55)</f>
        <v/>
      </c>
      <c r="AU55" s="670"/>
      <c r="AV55" s="670"/>
      <c r="AW55" s="1325">
        <v>21</v>
      </c>
    </row>
    <row r="56" ht="11.5" customHeight="1">
      <c r="A56" s="1437" t="s">
        <v>183</v>
      </c>
      <c r="B56" s="1437" t="s">
        <v>184</v>
      </c>
      <c r="C56" s="1437" t="s">
        <v>185</v>
      </c>
      <c r="D56" s="1437" t="s">
        <v>186</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459</v>
      </c>
      <c r="AR56" s="681">
        <f>STRCHECKDATE(X58:AP58)</f>
      </c>
      <c r="AS56" s="670"/>
      <c r="AT56" s="670" t="str">
        <f>IF(V56="","",V56)</f>
        <v/>
      </c>
      <c r="AU56" s="670"/>
      <c r="AV56" s="670"/>
      <c r="AW56" s="1325">
        <v>11</v>
      </c>
    </row>
    <row r="57" ht="0" customHeight="1">
      <c r="A57" s="1437" t="s">
        <v>183</v>
      </c>
      <c r="B57" s="1437" t="s">
        <v>184</v>
      </c>
      <c r="C57" s="1437" t="s">
        <v>185</v>
      </c>
      <c r="D57" s="1437" t="s">
        <v>186</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r="58" ht="11.5" customHeight="1">
      <c r="A58" s="1437" t="s">
        <v>183</v>
      </c>
      <c r="B58" s="1437" t="s">
        <v>184</v>
      </c>
      <c r="C58" s="1437" t="s">
        <v>185</v>
      </c>
      <c r="D58" s="1437" t="s">
        <v>186</v>
      </c>
      <c r="E58" s="2460"/>
      <c r="F58" s="2460"/>
      <c r="G58" s="2460"/>
      <c r="H58" s="2481"/>
      <c r="I58" s="2271"/>
      <c r="J58" s="2271"/>
      <c r="K58" s="2297"/>
      <c r="L58" s="1437"/>
      <c r="M58" s="1480"/>
      <c r="Q58" s="2427"/>
      <c r="R58" s="2427"/>
      <c r="S58" s="1501"/>
      <c r="T58" s="526"/>
      <c r="U58" s="1448"/>
      <c r="V58" s="458" t="s">
        <v>460</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 xml:space="preserve">Добавить наименование поставщика</v>
      </c>
      <c r="AU58" s="670"/>
      <c r="AV58" s="670"/>
      <c r="AW58" s="1325">
        <v>11</v>
      </c>
    </row>
    <row r="59" ht="11.5" customHeight="1">
      <c r="A59" s="1437" t="s">
        <v>183</v>
      </c>
      <c r="B59" s="1437" t="s">
        <v>184</v>
      </c>
      <c r="C59" s="1437" t="s">
        <v>185</v>
      </c>
      <c r="D59" s="1437" t="s">
        <v>186</v>
      </c>
      <c r="E59" s="2460"/>
      <c r="F59" s="2460"/>
      <c r="G59" s="2460"/>
      <c r="H59" s="2481"/>
      <c r="I59" s="2271"/>
      <c r="J59" s="2297"/>
      <c r="K59" s="1437"/>
      <c r="L59" s="1437"/>
      <c r="M59" s="1480"/>
      <c r="Q59" s="2427"/>
      <c r="R59" s="2427"/>
      <c r="S59" s="1501"/>
      <c r="T59" s="526"/>
      <c r="U59" s="1448"/>
      <c r="V59" s="457" t="s">
        <v>418</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 xml:space="preserve">Добавить вид теплоносителя (параметры теплоносителя)</v>
      </c>
      <c r="AU59" s="670"/>
      <c r="AV59" s="670"/>
      <c r="AW59" s="1325">
        <v>11</v>
      </c>
    </row>
    <row r="60" ht="11.5" customHeight="1">
      <c r="A60" s="1437" t="s">
        <v>183</v>
      </c>
      <c r="B60" s="1437" t="s">
        <v>184</v>
      </c>
      <c r="C60" s="1437" t="s">
        <v>185</v>
      </c>
      <c r="D60" s="1437" t="s">
        <v>186</v>
      </c>
      <c r="E60" s="2460"/>
      <c r="F60" s="2460"/>
      <c r="G60" s="2460"/>
      <c r="H60" s="2481"/>
      <c r="I60" s="2297"/>
      <c r="J60" s="1437"/>
      <c r="K60" s="1437"/>
      <c r="L60" s="1437"/>
      <c r="M60" s="1480"/>
      <c r="Q60" s="2427"/>
      <c r="R60" s="1501"/>
      <c r="S60" s="1501"/>
      <c r="T60" s="526"/>
      <c r="U60" s="1448"/>
      <c r="V60" s="535" t="s">
        <v>419</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 xml:space="preserve">Добавить группу потребителей</v>
      </c>
      <c r="AU60" s="670"/>
      <c r="AV60" s="670"/>
      <c r="AW60" s="1325">
        <v>11</v>
      </c>
    </row>
    <row r="61" ht="0" customHeight="1">
      <c r="A61" s="1437" t="s">
        <v>183</v>
      </c>
      <c r="B61" s="1437" t="s">
        <v>184</v>
      </c>
      <c r="C61" s="1437" t="s">
        <v>185</v>
      </c>
      <c r="D61" s="1437" t="s">
        <v>186</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r="62" s="9218" customFormat="1" ht="0" customHeight="1">
      <c r="A62" s="1545" t="s">
        <v>183</v>
      </c>
      <c r="B62" s="1545" t="s">
        <v>184</v>
      </c>
      <c r="C62" s="1545" t="s">
        <v>185</v>
      </c>
      <c r="D62" s="1544"/>
      <c r="E62" s="2460"/>
      <c r="F62" s="2460"/>
      <c r="G62" s="2459"/>
      <c r="H62" s="1544"/>
      <c r="I62" s="1544"/>
      <c r="J62" s="1544"/>
      <c r="K62" s="1544"/>
      <c r="L62" s="1544"/>
      <c r="M62" s="1547"/>
      <c r="N62" s="1548"/>
      <c r="O62" s="1548"/>
      <c r="P62" s="521"/>
      <c r="Q62" s="1486"/>
      <c r="R62" s="1487"/>
      <c r="S62" s="1486"/>
      <c r="T62" s="1486"/>
      <c r="U62" s="1492"/>
      <c r="V62" s="1495" t="s">
        <v>163</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 xml:space="preserve">Добавить источник для дифференциации</v>
      </c>
      <c r="AU62" s="959"/>
      <c r="AV62" s="959"/>
      <c r="AW62" s="688">
        <v>0</v>
      </c>
    </row>
    <row r="63" s="9218" customFormat="1" ht="0" customHeight="1">
      <c r="A63" s="1545" t="s">
        <v>183</v>
      </c>
      <c r="B63" s="1545" t="s">
        <v>184</v>
      </c>
      <c r="C63" s="1544"/>
      <c r="D63" s="1544"/>
      <c r="E63" s="2460"/>
      <c r="F63" s="2459"/>
      <c r="G63" s="1544"/>
      <c r="H63" s="1544"/>
      <c r="I63" s="1544"/>
      <c r="J63" s="1544"/>
      <c r="K63" s="1544"/>
      <c r="L63" s="1544"/>
      <c r="M63" s="1547"/>
      <c r="N63" s="1549"/>
      <c r="O63" s="1549"/>
      <c r="P63" s="521"/>
      <c r="Q63" s="1486"/>
      <c r="R63" s="1487"/>
      <c r="S63" s="1486"/>
      <c r="T63" s="1486"/>
      <c r="U63" s="1492"/>
      <c r="V63" s="1495" t="s">
        <v>164</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 xml:space="preserve">Добавить централизованную систему для дифференциации</v>
      </c>
      <c r="AU63" s="959"/>
      <c r="AV63" s="959"/>
      <c r="AW63" s="688">
        <v>0</v>
      </c>
    </row>
    <row r="64" s="9218" customFormat="1" ht="0" customHeight="1">
      <c r="A64" s="1545" t="s">
        <v>183</v>
      </c>
      <c r="B64" s="1545"/>
      <c r="C64" s="1545"/>
      <c r="D64" s="1545"/>
      <c r="E64" s="2459"/>
      <c r="F64" s="1545"/>
      <c r="G64" s="1545"/>
      <c r="H64" s="1545"/>
      <c r="I64" s="1545"/>
      <c r="J64" s="1545"/>
      <c r="K64" s="1545"/>
      <c r="L64" s="1545"/>
      <c r="M64" s="1551"/>
      <c r="N64" s="1549"/>
      <c r="O64" s="1549"/>
      <c r="P64" s="521"/>
      <c r="Q64" s="550"/>
      <c r="R64" s="1514"/>
      <c r="S64" s="550"/>
      <c r="T64" s="550"/>
      <c r="U64" s="1492"/>
      <c r="V64" s="1495" t="s">
        <v>165</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 xml:space="preserve">Добавить территорию для дифференциации</v>
      </c>
      <c r="AU64" s="670"/>
      <c r="AV64" s="670"/>
      <c r="AW64" s="681">
        <v>0</v>
      </c>
    </row>
    <row r="65" s="9218" customFormat="1" ht="4.2000000000000002" customHeight="1">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166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 xml:space="preserve">Добавить наименование тарифа</v>
      </c>
      <c r="AU65" s="959"/>
      <c r="AV65" s="959"/>
      <c r="AW65" s="688">
        <v>4</v>
      </c>
    </row>
    <row r="66" ht="11.5" customHeight="1">
      <c r="N66" s="1325"/>
      <c r="O66" s="1325"/>
      <c r="P66" s="679"/>
      <c r="Q66" s="1325"/>
      <c r="R66" s="1325"/>
      <c r="S66" s="1325"/>
      <c r="T66" s="1325"/>
      <c r="U66" s="1325"/>
      <c r="AR66" s="1325"/>
      <c r="AS66" s="1325"/>
      <c r="AT66" s="1325"/>
      <c r="AU66" s="1325"/>
      <c r="AV66" s="1325"/>
      <c r="AW66" s="1325">
        <v>11</v>
      </c>
    </row>
    <row r="67" ht="35.649999999999999" customHeight="1">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r="68" ht="21" customHeight="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r="69" ht="14.65" customHeight="1">
      <c r="P69" s="679"/>
      <c r="AW69" s="1325">
        <v>14</v>
      </c>
    </row>
    <row r="70" ht="28.5" customHeight="1">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r="71" ht="18.75" customHeight="1">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r="72" ht="22.5" hidden="1" customHeight="1">
      <c r="A72" s="1325" t="s">
        <v>83</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autoFilter="0" deleteColumns="1" deleteRows="1" formatColumns="0" formatRows="0" insertColumns="1" insertRows="1" sheet="1" sort="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4">
    <dataValidation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allowBlank="1" prompt="Для выбора выполните двойной щелчок левой клавиши мыши по соответствующей ячейке." showErrorMessage="1" showInputMessage="1"/>
    <dataValidation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allowBlank="1" promptTitle="checkPeriodRange"/>
    <dataValidation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U131130:AQ131136 U196666:AQ196672 U262202:AQ262208 U327738:AQ327744 U393274:AQ393280 U458810:AQ458816 U524346:AQ524352 U589882:AQ589888 U655418:AQ655424 U720954:AQ720960 U786490:AQ786496 U852026:AQ852032 U917562:AQ917568 U983098:AQ983104 U65594:AQ65600"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6100C6-00D0-4B37-92CF-00B200370047}" type="textLength" allowBlank="1" error="Допускается ввод не более 900 символов!" errorTitle="Ошибка" operator="lessThanOrEqual" showErrorMessage="1" showInputMessage="1">
          <x14:formula1>
            <xm:f>900</xm:f>
          </x14:formula1>
          <xm:sqref>AQ65586:AQ65593 AQ131122:AQ131129 AQ196658:AQ196665 AQ262194:AQ262201 AQ327730:AQ327737 AQ393266:AQ393273 AQ458802:AQ458809 AQ524338:AQ524345 AQ589874:AQ589881 AQ655410:AQ655417 AQ720946:AQ720953 AQ786482:AQ786489 AQ852018:AQ852025 AQ917554:AQ917561 AQ983090:AQ983097</xm:sqref>
        </x14:dataValidation>
        <x14:dataValidation xr:uid="{0033005C-00B3-4CB1-8D82-006200DC0057}" type="list" allowBlank="1" error="Выберите значение из списка" errorTitle="Ошибка" prompt="Выберите значение из списка" showInputMessage="1">
          <x14:formula1>
            <xm:f>kind_of_cons</xm:f>
          </x14:formula1>
          <xm:sqref>X983095:AP983095 X65591:AP65591 X131127:AP131127 X196663:AP196663 X262199:AP262199 X327735:AP327735 X393271:AP393271 X458807:AP458807 X524343:AP524343 X589879:AP589879 X655415:AP655415 X720951:AP720951 X786487:AP786487 X852023:AP852023 X917559:AP917559</xm:sqref>
        </x14:dataValidation>
        <x14:dataValidation xr:uid="{006200E9-00A9-4ECC-B727-006B00020025}" type="list" allowBlank="1" error="Выберите значение из списка" errorTitle="Ошибка" showErrorMessage="1" showInputMessage="1">
          <x14:formula1>
            <xm:f>kind_of_scheme_in</xm:f>
          </x14:formula1>
          <xm: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xm:sqref>
        </x14:dataValidation>
        <x14:dataValidation xr:uid="{003600B6-00A9-41EF-8AF8-0051003200E9}" type="list" allowBlank="1" error="Выберите значение из списка" errorTitle="Ошибка" showErrorMessage="1" showInputMessage="1">
          <x14:formula1>
            <xm:f>kind_of_heat_transfer</xm:f>
          </x14:formula1>
          <xm:sqref>V65592 V131128 V196664 V262200 V327736 V393272 V458808 V524344 V589880 V655416 V720952 V786488 V852024 V917560 V983096</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min="16" max="16" style="10312" width="3.00390625"/>
    <col customWidth="1" min="17" max="17" style="10692" width="3.00390625"/>
    <col customWidth="1" min="18" max="18" style="10314" width="3.00390625"/>
    <col customWidth="1" min="19" max="19" style="10315" width="12.00390625"/>
    <col customWidth="1" min="20" max="20" style="9138" width="31.00390625"/>
    <col customWidth="1" min="21" max="21" style="9138" width="0.140625"/>
    <col customWidth="1" hidden="1" min="22" max="23" style="9138" width="21.7109375"/>
    <col customWidth="1" hidden="1" min="24" max="24" style="9138" width="11.7109375"/>
    <col customWidth="1" hidden="1" min="25" max="25" style="9138" width="3.7109375"/>
    <col customWidth="1" hidden="1" min="26" max="26" style="9138" width="11.7109375"/>
    <col customWidth="1" hidden="1" min="27" max="27" style="9138" width="8.57421875"/>
    <col customWidth="1" min="28" max="28" style="9138" width="5.421875"/>
    <col customWidth="1" min="29" max="30" style="9138" width="3.00390625"/>
    <col customWidth="1" min="31" max="31" style="9138" width="24.00390625"/>
    <col customWidth="1" min="32" max="32" style="9138" width="3.7109375"/>
    <col customWidth="1" min="33" max="34" style="9138" width="3.00390625"/>
    <col customWidth="1" min="35" max="35" style="9138" width="24.00390625"/>
    <col customWidth="1" min="36" max="36" style="9138" width="3.7109375"/>
    <col customWidth="1" min="37" max="38" style="9138" width="3.00390625"/>
    <col customWidth="1" min="39" max="39" style="9138" width="18.00390625"/>
    <col customWidth="1" min="40" max="41" style="9138" width="21.00390625"/>
    <col customWidth="1" min="42" max="42" style="9138" width="11.00390625"/>
    <col customWidth="1" min="43" max="43" style="9138" width="3.7109375"/>
    <col customWidth="1" min="44" max="44" style="9138" width="11.00390625"/>
    <col customWidth="1" hidden="1" min="45" max="45" style="9138" width="8.57421875"/>
    <col customWidth="1" min="46" max="46" style="9138" width="4.00390625"/>
    <col customWidth="1" min="47" max="47" style="9138" width="115.00390625"/>
    <col customWidth="1" min="48" max="52" style="9218" width="10.00390625"/>
    <col hidden="1" min="53" max="53" style="9138" width="10.57421875"/>
  </cols>
  <sheetData>
    <row r="1" ht="22.5" hidden="1" customHeight="1">
      <c r="W1" s="497"/>
      <c r="X1" s="497"/>
      <c r="AO1" s="497"/>
      <c r="AP1" s="497"/>
      <c r="BA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403</v>
      </c>
      <c r="AW2" s="670"/>
      <c r="AX2" s="670" t="str">
        <f>IF(T2="","",T2)</f>
        <v xml:space="preserve">Наименование тарифа</v>
      </c>
      <c r="AY2" s="670"/>
      <c r="AZ2" s="670"/>
      <c r="BA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404</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405</v>
      </c>
      <c r="AW3" s="670"/>
      <c r="AX3" s="670" t="str">
        <f>IF(T3="","",T3)</f>
        <v xml:space="preserve">Территория действия тарифа</v>
      </c>
      <c r="AY3" s="670"/>
      <c r="AZ3" s="670"/>
      <c r="BA3" s="1325">
        <v>0</v>
      </c>
    </row>
    <row r="4" ht="22.5" hidden="1" customHeight="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406</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407</v>
      </c>
      <c r="AW4" s="670"/>
      <c r="AX4" s="670" t="str">
        <f>IF(T4="","",T4)</f>
        <v xml:space="preserve">Наименование системы теплоснабжения</v>
      </c>
      <c r="AY4" s="670"/>
      <c r="AZ4" s="670"/>
      <c r="BA4" s="1325">
        <v>0</v>
      </c>
    </row>
    <row r="5" ht="21" hidden="1" customHeight="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408</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409</v>
      </c>
      <c r="AW5" s="670"/>
      <c r="AX5" s="670" t="str">
        <f>IF(T5="","",T5)</f>
        <v xml:space="preserve">Источник тепловой энергии</v>
      </c>
      <c r="AY5" s="670"/>
      <c r="AZ5" s="670"/>
      <c r="BA5" s="1325">
        <v>0</v>
      </c>
    </row>
    <row r="6" s="9218" customFormat="1" ht="0.75" hidden="1" customHeight="1">
      <c r="A6" s="1513"/>
      <c r="B6" s="1513"/>
      <c r="C6" s="1513"/>
      <c r="D6" s="1513"/>
      <c r="E6" s="2429"/>
      <c r="F6" s="2429"/>
      <c r="G6" s="2429"/>
      <c r="H6" s="2429"/>
      <c r="I6" s="2426">
        <f>S5&amp;".1"</f>
      </c>
      <c r="J6" s="1513"/>
      <c r="K6" s="1513"/>
      <c r="L6" s="1516" t="s">
        <v>410</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r="7" s="9218" customFormat="1" ht="0.75" hidden="1" customHeight="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r="8" ht="21" hidden="1" customHeight="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67</v>
      </c>
      <c r="Z8" s="2435"/>
      <c r="AA8" s="2277" t="s">
        <v>67</v>
      </c>
      <c r="AB8" s="2277" t="s">
        <v>19</v>
      </c>
      <c r="AC8" s="2496"/>
      <c r="AD8" s="2375">
        <v>1</v>
      </c>
      <c r="AE8" s="2497"/>
      <c r="AF8" s="2277" t="s">
        <v>19</v>
      </c>
      <c r="AG8" s="2496"/>
      <c r="AH8" s="2375">
        <v>1</v>
      </c>
      <c r="AI8" s="2497"/>
      <c r="AJ8" s="2277" t="s">
        <v>19</v>
      </c>
      <c r="AK8" s="481"/>
      <c r="AL8" s="1507">
        <v>1</v>
      </c>
      <c r="AM8" s="1568"/>
      <c r="AN8" s="921"/>
      <c r="AO8" s="1427"/>
      <c r="AP8" s="1904"/>
      <c r="AQ8" s="1629" t="s">
        <v>67</v>
      </c>
      <c r="AR8" s="1904"/>
      <c r="AS8" s="1629" t="s">
        <v>67</v>
      </c>
      <c r="AT8" s="1518"/>
      <c r="AU8" s="2423" t="s">
        <v>470</v>
      </c>
      <c r="AV8" s="681">
        <f>STRCHECKDATE(V11:AT11)</f>
      </c>
      <c r="AW8" s="670"/>
      <c r="AX8" s="670" t="str">
        <f>IF(T8="","",T8)</f>
        <v/>
      </c>
      <c r="AY8" s="670"/>
      <c r="AZ8" s="670"/>
      <c r="BA8" s="1325">
        <v>0</v>
      </c>
    </row>
    <row r="9" ht="11.25" hidden="1" customHeight="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471</v>
      </c>
      <c r="AN9" s="1563"/>
      <c r="AO9" s="1666"/>
      <c r="AP9" s="1563"/>
      <c r="AQ9" s="1563"/>
      <c r="AR9" s="1563"/>
      <c r="AS9" s="1563"/>
      <c r="AT9" s="1560"/>
      <c r="AU9" s="2424"/>
      <c r="AW9" s="670"/>
      <c r="AX9" s="670"/>
      <c r="AY9" s="670"/>
      <c r="AZ9" s="670"/>
      <c r="BA9" s="1325">
        <v>0</v>
      </c>
    </row>
    <row r="10" ht="11.25" hidden="1" customHeight="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472</v>
      </c>
      <c r="AJ10" s="1563"/>
      <c r="AK10" s="1563"/>
      <c r="AL10" s="1563"/>
      <c r="AM10" s="1563"/>
      <c r="AN10" s="1563"/>
      <c r="AO10" s="1666"/>
      <c r="AP10" s="1563"/>
      <c r="AQ10" s="1563"/>
      <c r="AR10" s="1563"/>
      <c r="AS10" s="1563"/>
      <c r="AT10" s="1560"/>
      <c r="AU10" s="2424"/>
      <c r="AW10" s="670"/>
      <c r="AX10" s="670"/>
      <c r="AY10" s="670"/>
      <c r="AZ10" s="670"/>
      <c r="BA10" s="1325">
        <v>0</v>
      </c>
    </row>
    <row r="11" ht="11.25" hidden="1" customHeight="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473</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r="12" ht="11.25" hidden="1" customHeight="1">
      <c r="A12" s="1533"/>
      <c r="B12" s="1533"/>
      <c r="C12" s="1533"/>
      <c r="D12" s="1533"/>
      <c r="E12" s="2429"/>
      <c r="F12" s="2429"/>
      <c r="G12" s="2429"/>
      <c r="H12" s="2429"/>
      <c r="I12" s="2456"/>
      <c r="J12" s="2426"/>
      <c r="K12" s="1533"/>
      <c r="L12" s="1534"/>
      <c r="P12" s="2427"/>
      <c r="Q12" s="2427"/>
      <c r="R12" s="526"/>
      <c r="S12" s="1448"/>
      <c r="T12" s="457" t="s">
        <v>474</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 xml:space="preserve">Добавить строку</v>
      </c>
      <c r="AY12" s="670"/>
      <c r="AZ12" s="670"/>
      <c r="BA12" s="1325">
        <v>0</v>
      </c>
    </row>
    <row r="13" s="9218" customFormat="1" ht="0.75" hidden="1" customHeight="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r="14" s="9218" customFormat="1" ht="0.75" hidden="1" customHeight="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r="15" s="9218" customFormat="1" ht="0.75" hidden="1" customHeight="1">
      <c r="A15" s="1513"/>
      <c r="B15" s="1513"/>
      <c r="C15" s="1513"/>
      <c r="D15" s="1484"/>
      <c r="E15" s="2429"/>
      <c r="F15" s="2429"/>
      <c r="G15" s="2428"/>
      <c r="H15" s="1484"/>
      <c r="I15" s="1484"/>
      <c r="J15" s="1484"/>
      <c r="K15" s="1484"/>
      <c r="L15" s="1509"/>
      <c r="M15" s="1485"/>
      <c r="N15" s="1485"/>
      <c r="P15" s="1486"/>
      <c r="Q15" s="1487"/>
      <c r="R15" s="1486"/>
      <c r="S15" s="1492"/>
      <c r="T15" s="1495" t="s">
        <v>163</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 xml:space="preserve">Добавить источник для дифференциации</v>
      </c>
      <c r="AY15" s="959"/>
      <c r="AZ15" s="959"/>
      <c r="BA15" s="688">
        <v>0</v>
      </c>
    </row>
    <row r="16" s="9218" customFormat="1" ht="0.75" hidden="1" customHeight="1">
      <c r="A16" s="1513"/>
      <c r="B16" s="1513"/>
      <c r="C16" s="1484"/>
      <c r="D16" s="1484"/>
      <c r="E16" s="2429"/>
      <c r="F16" s="2428"/>
      <c r="G16" s="1484"/>
      <c r="H16" s="1484"/>
      <c r="I16" s="1484"/>
      <c r="J16" s="1484"/>
      <c r="K16" s="1484"/>
      <c r="L16" s="1509"/>
      <c r="M16" s="1491"/>
      <c r="N16" s="1491"/>
      <c r="P16" s="1486"/>
      <c r="Q16" s="1487"/>
      <c r="R16" s="1486"/>
      <c r="S16" s="1492"/>
      <c r="T16" s="1495" t="s">
        <v>164</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 xml:space="preserve">Добавить централизованную систему для дифференциации</v>
      </c>
      <c r="AY16" s="959"/>
      <c r="AZ16" s="959"/>
      <c r="BA16" s="688">
        <v>0</v>
      </c>
    </row>
    <row r="17" s="9218" customFormat="1" ht="0.75" hidden="1" customHeight="1">
      <c r="A17" s="1513"/>
      <c r="B17" s="1513"/>
      <c r="C17" s="1513"/>
      <c r="D17" s="1513"/>
      <c r="E17" s="2428"/>
      <c r="F17" s="1513"/>
      <c r="G17" s="1513"/>
      <c r="H17" s="1513"/>
      <c r="I17" s="1513"/>
      <c r="J17" s="1513"/>
      <c r="K17" s="1513"/>
      <c r="L17" s="1516"/>
      <c r="M17" s="1491"/>
      <c r="N17" s="1491"/>
      <c r="O17" s="688"/>
      <c r="P17" s="550"/>
      <c r="Q17" s="1514"/>
      <c r="R17" s="550"/>
      <c r="S17" s="1492"/>
      <c r="T17" s="1495" t="s">
        <v>165</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 xml:space="preserve">Добавить территорию для дифференциации</v>
      </c>
      <c r="AY17" s="670"/>
      <c r="AZ17" s="670"/>
      <c r="BA17" s="681">
        <v>0</v>
      </c>
    </row>
    <row r="18" ht="14.25" hidden="1" customHeight="1">
      <c r="AA18" s="497"/>
      <c r="AS18" s="497"/>
      <c r="BA18" s="1325">
        <v>0</v>
      </c>
    </row>
    <row r="19" ht="14.25" hidden="1" customHeight="1">
      <c r="AB19" s="1494" t="s">
        <v>19</v>
      </c>
      <c r="AC19" s="1671"/>
      <c r="AD19" s="718">
        <v>1</v>
      </c>
      <c r="AE19" s="1672"/>
      <c r="AF19" s="1494" t="s">
        <v>19</v>
      </c>
      <c r="AG19" s="1671"/>
      <c r="AH19" s="718">
        <v>1</v>
      </c>
      <c r="AI19" s="1672"/>
      <c r="AJ19" s="1494" t="s">
        <v>19</v>
      </c>
      <c r="AK19" s="1673"/>
      <c r="AL19" s="718">
        <v>1</v>
      </c>
      <c r="AM19" s="1676"/>
      <c r="AN19" s="1573"/>
      <c r="AO19" s="1574"/>
      <c r="AP19" s="1906"/>
      <c r="AQ19" s="1630" t="s">
        <v>67</v>
      </c>
      <c r="AR19" s="1906"/>
      <c r="AS19" s="1630" t="s">
        <v>67</v>
      </c>
      <c r="BA19" s="1325">
        <v>0</v>
      </c>
    </row>
    <row r="20" ht="14.25" hidden="1" customHeight="1">
      <c r="AV20" s="666"/>
      <c r="AW20" s="666"/>
      <c r="AX20" s="666"/>
      <c r="AY20" s="666"/>
      <c r="AZ20" s="666"/>
      <c r="BA20" s="1325">
        <v>0</v>
      </c>
    </row>
    <row r="21" ht="14.25" hidden="1" customHeight="1">
      <c r="O21" s="1537" t="s">
        <v>421</v>
      </c>
      <c r="X21" s="1515"/>
      <c r="Z21" s="1515"/>
      <c r="AA21" s="497"/>
      <c r="AP21" s="1515"/>
      <c r="AR21" s="1515"/>
      <c r="AS21" s="497"/>
      <c r="AV21" s="666"/>
      <c r="AW21" s="666"/>
      <c r="AX21" s="666"/>
      <c r="AY21" s="666"/>
      <c r="AZ21" s="666"/>
      <c r="BA21" s="1325">
        <v>0</v>
      </c>
    </row>
    <row r="22" ht="14.25" hidden="1" customHeight="1">
      <c r="AA22" s="497"/>
      <c r="AS22" s="497"/>
      <c r="AV22" s="666"/>
      <c r="AW22" s="666"/>
      <c r="AX22" s="666"/>
      <c r="AY22" s="666"/>
      <c r="AZ22" s="666"/>
      <c r="BA22" s="1325">
        <v>0</v>
      </c>
    </row>
    <row r="23" s="10663" customFormat="1" ht="14.25" hidden="1" customHeight="1">
      <c r="M23" s="1678"/>
      <c r="N23" s="1678"/>
      <c r="O23" s="1679" t="s">
        <v>422</v>
      </c>
      <c r="P23" s="1678"/>
      <c r="Q23" s="1680"/>
      <c r="R23" s="1680"/>
      <c r="Y23" s="1677" t="s">
        <v>424</v>
      </c>
      <c r="AA23" s="1677" t="s">
        <v>425</v>
      </c>
      <c r="AB23" s="1677" t="s">
        <v>475</v>
      </c>
      <c r="AE23" s="1677" t="s">
        <v>476</v>
      </c>
      <c r="AF23" s="1677" t="s">
        <v>475</v>
      </c>
      <c r="AI23" s="1677" t="s">
        <v>477</v>
      </c>
      <c r="AJ23" s="1677" t="s">
        <v>475</v>
      </c>
      <c r="AM23" s="1677" t="s">
        <v>478</v>
      </c>
      <c r="AQ23" s="1677" t="s">
        <v>424</v>
      </c>
      <c r="AS23" s="1677" t="s">
        <v>425</v>
      </c>
      <c r="AV23" s="1681"/>
      <c r="AW23" s="1681"/>
      <c r="AX23" s="1681"/>
      <c r="AY23" s="1681"/>
      <c r="AZ23" s="1681"/>
      <c r="BA23" s="1677">
        <v>0</v>
      </c>
    </row>
    <row r="24" ht="14.25" hidden="1" customHeight="1">
      <c r="O24" s="1534"/>
      <c r="AV24" s="666"/>
      <c r="AW24" s="666"/>
      <c r="AX24" s="666"/>
      <c r="AY24" s="666"/>
      <c r="AZ24" s="666"/>
      <c r="BA24" s="1325">
        <v>0</v>
      </c>
    </row>
    <row r="25" ht="14.25" hidden="1" customHeight="1">
      <c r="O25" s="1534"/>
      <c r="AV25" s="666"/>
      <c r="AW25" s="666"/>
      <c r="AX25" s="666"/>
      <c r="AY25" s="666"/>
      <c r="AZ25" s="666"/>
      <c r="BA25" s="1325">
        <v>0</v>
      </c>
    </row>
    <row r="26" ht="14.65" customHeight="1">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r="27" ht="27.300000000000001" customHeight="1">
      <c r="Q27" s="461"/>
      <c r="R27" s="546"/>
      <c r="S27" s="2418"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r="28" ht="14.65" customHeight="1">
      <c r="Q28" s="461"/>
      <c r="R28" s="546"/>
      <c r="S28" s="2419" t="str">
        <f>IF(org=0,"Не определено",org)</f>
        <v xml:space="preserve">АО "ДГК" СП "Биробиджанская ТЭЦ"</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r="29" ht="14.25" hidden="1" customHeight="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r="30" s="9344" customFormat="1" ht="25.5" hidden="1" customHeight="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r="31" s="9344" customFormat="1" ht="18.75" hidden="1" customHeight="1">
      <c r="A31" s="1538"/>
      <c r="B31" s="1538"/>
      <c r="C31" s="1538"/>
      <c r="D31" s="1538"/>
      <c r="E31" s="1538"/>
      <c r="F31" s="1538"/>
      <c r="G31" s="1538"/>
      <c r="H31" s="1538"/>
      <c r="I31" s="1538"/>
      <c r="J31" s="1538"/>
      <c r="K31" s="1538"/>
      <c r="L31" s="1539"/>
      <c r="M31" s="1538"/>
      <c r="N31" s="1538"/>
      <c r="O31" s="1538"/>
      <c r="P31" s="1538"/>
      <c r="Q31" s="1538"/>
      <c r="S31" s="2420" t="s">
        <v>427</v>
      </c>
      <c r="T31" s="2420"/>
      <c r="U31" s="1542"/>
      <c r="V31" s="2434" t="str">
        <f>IF(TITLE_DATE_PR_CHANGE="",IF(TITLE_DATE_PR="","",TITLE_DATE_PR),TITLE_DATE_PR_CHANGE)</f>
        <v>45646</v>
      </c>
      <c r="W31" s="2434"/>
      <c r="X31" s="2434"/>
      <c r="Y31" s="2434"/>
      <c r="Z31" s="2434"/>
      <c r="AA31" s="496"/>
      <c r="AB31" s="2434" t="str">
        <f>IF(TITLE_DATE_PR_CHANGE="",IF(TITLE_DATE_PR="","",TITLE_DATE_PR),TITLE_DATE_PR_CHANGE)</f>
        <v>45646</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r="32" s="9344" customFormat="1" ht="18.75" hidden="1" customHeight="1">
      <c r="A32" s="1538"/>
      <c r="B32" s="1538"/>
      <c r="C32" s="1538"/>
      <c r="D32" s="1538"/>
      <c r="E32" s="1538"/>
      <c r="F32" s="1538"/>
      <c r="G32" s="1538"/>
      <c r="H32" s="1538"/>
      <c r="I32" s="1538"/>
      <c r="J32" s="1538"/>
      <c r="K32" s="1538"/>
      <c r="L32" s="1539"/>
      <c r="M32" s="1538"/>
      <c r="N32" s="1538"/>
      <c r="O32" s="1538"/>
      <c r="P32" s="1538"/>
      <c r="Q32" s="1538"/>
      <c r="S32" s="2420" t="s">
        <v>428</v>
      </c>
      <c r="T32" s="2420"/>
      <c r="U32" s="1542"/>
      <c r="V32" s="2421" t="str">
        <f>IF(TITLE_NUMBER_PR_CHANGE="",IF(TITLE_NUMBER_PR="","",TITLE_NUMBER_PR),TITLE_NUMBER_PR_CHANGE)</f>
        <v>ДГК-01.1/22560</v>
      </c>
      <c r="W32" s="2421"/>
      <c r="X32" s="2421"/>
      <c r="Y32" s="2421"/>
      <c r="Z32" s="2421"/>
      <c r="AA32" s="496"/>
      <c r="AB32" s="2421" t="str">
        <f>IF(TITLE_NUMBER_PR_CHANGE="",IF(TITLE_NUMBER_PR="","",TITLE_NUMBER_PR),TITLE_NUMBER_PR_CHANGE)</f>
        <v>ДГК-01.1/22560</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r="33" s="9344" customFormat="1" ht="18.75" hidden="1" customHeight="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r="34" ht="14.25" customHeight="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r="35" s="9344" customFormat="1" ht="18.75" customHeight="1">
      <c r="A35" s="1538"/>
      <c r="B35" s="1538"/>
      <c r="C35" s="1538"/>
      <c r="D35" s="1538"/>
      <c r="E35" s="1538"/>
      <c r="F35" s="1538"/>
      <c r="G35" s="1538"/>
      <c r="H35" s="1538"/>
      <c r="I35" s="1538"/>
      <c r="J35" s="1538"/>
      <c r="K35" s="1538"/>
      <c r="L35" s="1539"/>
      <c r="M35" s="1538"/>
      <c r="N35" s="1538"/>
      <c r="O35" s="1538"/>
      <c r="P35" s="1538"/>
      <c r="Q35" s="1538"/>
      <c r="S35" s="2420" t="s">
        <v>427</v>
      </c>
      <c r="T35" s="2420"/>
      <c r="U35" s="1542"/>
      <c r="V35" s="2434" t="str">
        <f>IF(TITLE_DATE_PR_CHANGE="",IF(TITLE_DATE_PR="","",TITLE_DATE_PR),TITLE_DATE_PR_CHANGE)</f>
        <v>45646</v>
      </c>
      <c r="W35" s="2434"/>
      <c r="X35" s="2434"/>
      <c r="Y35" s="2434"/>
      <c r="Z35" s="2434"/>
      <c r="AA35" s="496"/>
      <c r="AB35" s="2434" t="str">
        <f>IF(TITLE_DATE_PR_CHANGE="",IF(TITLE_DATE_PR="","",TITLE_DATE_PR),TITLE_DATE_PR_CHANGE)</f>
        <v>45646</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r="36" s="9344" customFormat="1" ht="18" customHeight="1">
      <c r="A36" s="1538"/>
      <c r="B36" s="1538"/>
      <c r="C36" s="1538"/>
      <c r="D36" s="1538"/>
      <c r="E36" s="1538"/>
      <c r="F36" s="1538"/>
      <c r="G36" s="1538"/>
      <c r="H36" s="1538"/>
      <c r="I36" s="1538"/>
      <c r="J36" s="1538"/>
      <c r="K36" s="1538"/>
      <c r="L36" s="1539"/>
      <c r="M36" s="1538"/>
      <c r="N36" s="1538"/>
      <c r="O36" s="1538"/>
      <c r="P36" s="1538"/>
      <c r="Q36" s="1538"/>
      <c r="S36" s="2420" t="s">
        <v>428</v>
      </c>
      <c r="T36" s="2420"/>
      <c r="U36" s="1542"/>
      <c r="V36" s="2421" t="str">
        <f>IF(TITLE_NUMBER_PR_CHANGE="",IF(TITLE_NUMBER_PR="","",TITLE_NUMBER_PR),TITLE_NUMBER_PR_CHANGE)</f>
        <v>ДГК-01.1/22560</v>
      </c>
      <c r="W36" s="2421"/>
      <c r="X36" s="2421"/>
      <c r="Y36" s="2421"/>
      <c r="Z36" s="2421"/>
      <c r="AA36" s="496"/>
      <c r="AB36" s="2421" t="str">
        <f>IF(TITLE_NUMBER_PR_CHANGE="",IF(TITLE_NUMBER_PR="","",TITLE_NUMBER_PR),TITLE_NUMBER_PR_CHANGE)</f>
        <v>ДГК-01.1/22560</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r="37" s="9344" customFormat="1" ht="1.05" customHeight="1">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431</v>
      </c>
      <c r="AB37" s="496"/>
      <c r="AC37" s="496"/>
      <c r="AD37" s="496"/>
      <c r="AE37" s="496"/>
      <c r="AF37" s="496"/>
      <c r="AG37" s="496"/>
      <c r="AH37" s="496"/>
      <c r="AI37" s="496"/>
      <c r="AJ37" s="496"/>
      <c r="AK37" s="496"/>
      <c r="AL37" s="496"/>
      <c r="AM37" s="496"/>
      <c r="AN37" s="496"/>
      <c r="AO37" s="496"/>
      <c r="AP37" s="496"/>
      <c r="AQ37" s="496"/>
      <c r="AR37" s="496"/>
      <c r="AS37" s="448" t="s">
        <v>431</v>
      </c>
      <c r="AV37" s="538"/>
      <c r="AW37" s="538"/>
      <c r="AX37" s="538"/>
      <c r="AY37" s="538"/>
      <c r="AZ37" s="538"/>
      <c r="BA37" s="588">
        <v>1</v>
      </c>
    </row>
    <row r="38" ht="14.65" customHeight="1">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r="39" ht="14.65" customHeight="1">
      <c r="Q39" s="461"/>
      <c r="R39" s="546"/>
      <c r="S39" s="2297" t="s">
        <v>307</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308</v>
      </c>
      <c r="BA39" s="1325">
        <v>14</v>
      </c>
    </row>
    <row r="40" ht="14.65" customHeight="1">
      <c r="Q40" s="461"/>
      <c r="R40" s="546"/>
      <c r="S40" s="2443" t="s">
        <v>89</v>
      </c>
      <c r="T40" s="2379" t="s">
        <v>479</v>
      </c>
      <c r="U40" s="471"/>
      <c r="V40" s="2445"/>
      <c r="W40" s="2445"/>
      <c r="X40" s="2445"/>
      <c r="Y40" s="2445"/>
      <c r="Z40" s="2446"/>
      <c r="AA40" s="2506" t="s">
        <v>435</v>
      </c>
      <c r="AB40" s="2498" t="s">
        <v>480</v>
      </c>
      <c r="AC40" s="2461"/>
      <c r="AD40" s="2461"/>
      <c r="AE40" s="2499"/>
      <c r="AF40" s="2461" t="s">
        <v>481</v>
      </c>
      <c r="AG40" s="2461"/>
      <c r="AH40" s="2461"/>
      <c r="AI40" s="2499"/>
      <c r="AJ40" s="2498" t="s">
        <v>482</v>
      </c>
      <c r="AK40" s="2461"/>
      <c r="AL40" s="2461"/>
      <c r="AM40" s="2499"/>
      <c r="AN40" s="2498" t="s">
        <v>434</v>
      </c>
      <c r="AO40" s="2461"/>
      <c r="AP40" s="2445"/>
      <c r="AQ40" s="2445"/>
      <c r="AR40" s="2446"/>
      <c r="AS40" s="2447" t="s">
        <v>435</v>
      </c>
      <c r="AT40" s="2450" t="s">
        <v>437</v>
      </c>
      <c r="AU40" s="2297"/>
      <c r="BA40" s="1325">
        <v>14</v>
      </c>
    </row>
    <row r="41" ht="35.649999999999999" customHeight="1">
      <c r="Q41" s="461"/>
      <c r="R41" s="546"/>
      <c r="S41" s="2443"/>
      <c r="T41" s="2379"/>
      <c r="U41" s="1201"/>
      <c r="V41" s="2297" t="s">
        <v>483</v>
      </c>
      <c r="W41" s="2297"/>
      <c r="X41" s="2464" t="s">
        <v>441</v>
      </c>
      <c r="Y41" s="2483"/>
      <c r="Z41" s="2484"/>
      <c r="AA41" s="2507"/>
      <c r="AB41" s="2500"/>
      <c r="AC41" s="2501"/>
      <c r="AD41" s="2501"/>
      <c r="AE41" s="2502"/>
      <c r="AF41" s="2501"/>
      <c r="AG41" s="2501"/>
      <c r="AH41" s="2501"/>
      <c r="AI41" s="2502"/>
      <c r="AJ41" s="2500"/>
      <c r="AK41" s="2501"/>
      <c r="AL41" s="2501"/>
      <c r="AM41" s="2501"/>
      <c r="AN41" s="2297" t="s">
        <v>483</v>
      </c>
      <c r="AO41" s="2297"/>
      <c r="AP41" s="2483" t="s">
        <v>441</v>
      </c>
      <c r="AQ41" s="2483"/>
      <c r="AR41" s="2484"/>
      <c r="AS41" s="2448"/>
      <c r="AT41" s="2451"/>
      <c r="AU41" s="2297"/>
      <c r="BA41" s="1325">
        <v>34</v>
      </c>
    </row>
    <row r="42" ht="14.65" customHeight="1">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r="43" ht="14.65" customHeight="1">
      <c r="A43" s="1540"/>
      <c r="B43" s="1540" t="s">
        <v>135</v>
      </c>
      <c r="C43" s="1540" t="s">
        <v>136</v>
      </c>
      <c r="D43" s="1540" t="s">
        <v>137</v>
      </c>
      <c r="E43" s="1534" t="s">
        <v>442</v>
      </c>
      <c r="F43" s="1534" t="s">
        <v>443</v>
      </c>
      <c r="G43" s="1534" t="s">
        <v>444</v>
      </c>
      <c r="H43" s="1534" t="s">
        <v>445</v>
      </c>
      <c r="I43" s="1534" t="s">
        <v>446</v>
      </c>
      <c r="J43" s="1534" t="s">
        <v>447</v>
      </c>
      <c r="K43" s="1534" t="s">
        <v>448</v>
      </c>
      <c r="L43" s="1534" t="s">
        <v>422</v>
      </c>
      <c r="Q43" s="461"/>
      <c r="R43" s="546"/>
      <c r="S43" s="2443"/>
      <c r="T43" s="2379"/>
      <c r="U43" s="472"/>
      <c r="V43" s="1500" t="s">
        <v>484</v>
      </c>
      <c r="W43" s="1500" t="s">
        <v>485</v>
      </c>
      <c r="X43" s="1508" t="s">
        <v>451</v>
      </c>
      <c r="Y43" s="2440" t="s">
        <v>452</v>
      </c>
      <c r="Z43" s="2441"/>
      <c r="AA43" s="2508"/>
      <c r="AB43" s="2503"/>
      <c r="AC43" s="2504"/>
      <c r="AD43" s="2504"/>
      <c r="AE43" s="2505"/>
      <c r="AF43" s="2504"/>
      <c r="AG43" s="2504"/>
      <c r="AH43" s="2504"/>
      <c r="AI43" s="2505"/>
      <c r="AJ43" s="2503"/>
      <c r="AK43" s="2504"/>
      <c r="AL43" s="2504"/>
      <c r="AM43" s="2505"/>
      <c r="AN43" s="2030" t="s">
        <v>484</v>
      </c>
      <c r="AO43" s="2030" t="s">
        <v>485</v>
      </c>
      <c r="AP43" s="1508" t="s">
        <v>451</v>
      </c>
      <c r="AQ43" s="2440" t="s">
        <v>452</v>
      </c>
      <c r="AR43" s="2441"/>
      <c r="AS43" s="2449"/>
      <c r="AT43" s="2452"/>
      <c r="AU43" s="2297"/>
      <c r="BA43" s="1325">
        <v>14</v>
      </c>
    </row>
    <row r="44" s="9831" customFormat="1" ht="11.25" hidden="1" customHeight="1">
      <c r="A44" s="1540"/>
      <c r="B44" s="1540"/>
      <c r="C44" s="1540"/>
      <c r="D44" s="1540"/>
      <c r="E44" s="1540"/>
      <c r="F44" s="1540"/>
      <c r="G44" s="1540"/>
      <c r="H44" s="1540"/>
      <c r="I44" s="1540"/>
      <c r="J44" s="1540"/>
      <c r="K44" s="1540"/>
      <c r="L44" s="1534"/>
      <c r="M44" s="1532"/>
      <c r="N44" s="1532"/>
      <c r="O44" s="1532"/>
      <c r="P44" s="680"/>
      <c r="Q44" s="1424"/>
      <c r="R44" s="1424">
        <v>1</v>
      </c>
      <c r="S44" s="1447" t="s">
        <v>110</v>
      </c>
      <c r="T44" s="1425" t="s">
        <v>111</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r="45" ht="107.25" customHeight="1">
      <c r="A45" s="1533" t="s">
        <v>207</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 xml:space="preserve">Наименование тарифа</v>
      </c>
      <c r="AY45" s="670"/>
      <c r="AZ45" s="670"/>
      <c r="BA45" s="1325">
        <v>102</v>
      </c>
    </row>
    <row r="46" ht="22" customHeight="1">
      <c r="A46" s="1533" t="s">
        <v>207</v>
      </c>
      <c r="B46" s="1533" t="s">
        <v>208</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404</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405</v>
      </c>
      <c r="AW46" s="670"/>
      <c r="AX46" s="670" t="str">
        <f>IF(T46="","",T46)</f>
        <v xml:space="preserve">Территория действия тарифа</v>
      </c>
      <c r="AY46" s="670"/>
      <c r="AZ46" s="670"/>
      <c r="BA46" s="1325">
        <v>21</v>
      </c>
    </row>
    <row r="47" ht="24" customHeight="1">
      <c r="A47" s="1533" t="s">
        <v>207</v>
      </c>
      <c r="B47" s="1533" t="s">
        <v>208</v>
      </c>
      <c r="C47" s="1533" t="s">
        <v>209</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406</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407</v>
      </c>
      <c r="AW47" s="670"/>
      <c r="AX47" s="670" t="str">
        <f>IF(T47="","",T47)</f>
        <v xml:space="preserve">Наименование системы теплоснабжения</v>
      </c>
      <c r="AY47" s="670"/>
      <c r="AZ47" s="670"/>
      <c r="BA47" s="1325">
        <v>23</v>
      </c>
    </row>
    <row r="48" ht="21" customHeight="1">
      <c r="A48" s="1533" t="s">
        <v>207</v>
      </c>
      <c r="B48" s="1533" t="s">
        <v>208</v>
      </c>
      <c r="C48" s="1533" t="s">
        <v>209</v>
      </c>
      <c r="D48" s="1533" t="s">
        <v>210</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408</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409</v>
      </c>
      <c r="AW48" s="670"/>
      <c r="AX48" s="670" t="str">
        <f>IF(T48="","",T48)</f>
        <v xml:space="preserve">Источник тепловой энергии</v>
      </c>
      <c r="AY48" s="670"/>
      <c r="AZ48" s="670"/>
      <c r="BA48" s="1325">
        <v>20</v>
      </c>
    </row>
    <row r="49" s="9218" customFormat="1" ht="1.05" customHeight="1">
      <c r="A49" s="1513" t="s">
        <v>207</v>
      </c>
      <c r="B49" s="1513" t="s">
        <v>208</v>
      </c>
      <c r="C49" s="1513" t="s">
        <v>209</v>
      </c>
      <c r="D49" s="1513" t="s">
        <v>210</v>
      </c>
      <c r="E49" s="2429"/>
      <c r="F49" s="2429"/>
      <c r="G49" s="2429"/>
      <c r="H49" s="2429"/>
      <c r="I49" s="2426" t="str">
        <f>S48&amp;".1"</f>
        <v>....1</v>
      </c>
      <c r="J49" s="1513"/>
      <c r="K49" s="1513"/>
      <c r="L49" s="1516" t="s">
        <v>410</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r="50" s="9218" customFormat="1" ht="1.05" customHeight="1">
      <c r="A50" s="1513" t="s">
        <v>207</v>
      </c>
      <c r="B50" s="1513" t="s">
        <v>208</v>
      </c>
      <c r="C50" s="1513" t="s">
        <v>209</v>
      </c>
      <c r="D50" s="1513" t="s">
        <v>210</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r="51" ht="22" customHeight="1">
      <c r="A51" s="1533" t="s">
        <v>207</v>
      </c>
      <c r="B51" s="1533" t="s">
        <v>208</v>
      </c>
      <c r="C51" s="1533" t="s">
        <v>209</v>
      </c>
      <c r="D51" s="1533" t="s">
        <v>210</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67</v>
      </c>
      <c r="Z51" s="1904"/>
      <c r="AA51" s="1629" t="s">
        <v>67</v>
      </c>
      <c r="AB51" s="2277" t="s">
        <v>19</v>
      </c>
      <c r="AC51" s="2496"/>
      <c r="AD51" s="2375">
        <v>1</v>
      </c>
      <c r="AE51" s="2518" t="s">
        <v>28</v>
      </c>
      <c r="AF51" s="2277" t="s">
        <v>19</v>
      </c>
      <c r="AG51" s="2496"/>
      <c r="AH51" s="2375">
        <v>1</v>
      </c>
      <c r="AI51" s="2518" t="s">
        <v>28</v>
      </c>
      <c r="AJ51" s="2277" t="s">
        <v>19</v>
      </c>
      <c r="AK51" s="481"/>
      <c r="AL51" s="1507">
        <v>1</v>
      </c>
      <c r="AM51" s="1572"/>
      <c r="AN51" s="921"/>
      <c r="AO51" s="1427"/>
      <c r="AP51" s="1904"/>
      <c r="AQ51" s="1629" t="s">
        <v>67</v>
      </c>
      <c r="AR51" s="1904"/>
      <c r="AS51" s="1629" t="s">
        <v>67</v>
      </c>
      <c r="AT51" s="1518"/>
      <c r="AU51" s="2423" t="s">
        <v>486</v>
      </c>
      <c r="AV51" s="681">
        <f>STRCHECKDATE(V54:AT54)</f>
      </c>
      <c r="AW51" s="670"/>
      <c r="AX51" s="670" t="str">
        <f>IF(T51="","",T51)</f>
        <v/>
      </c>
      <c r="AY51" s="670"/>
      <c r="AZ51" s="670"/>
      <c r="BA51" s="1325">
        <v>21</v>
      </c>
    </row>
    <row r="52" ht="11.5" customHeight="1">
      <c r="A52" s="1533" t="s">
        <v>207</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471</v>
      </c>
      <c r="AN52" s="1563"/>
      <c r="AO52" s="1666"/>
      <c r="AP52" s="1563"/>
      <c r="AQ52" s="1563"/>
      <c r="AR52" s="1563"/>
      <c r="AS52" s="1563"/>
      <c r="AT52" s="1560"/>
      <c r="AU52" s="2424"/>
      <c r="AW52" s="670"/>
      <c r="AX52" s="670"/>
      <c r="AY52" s="670"/>
      <c r="AZ52" s="670"/>
      <c r="BA52" s="1325">
        <v>11</v>
      </c>
    </row>
    <row r="53" ht="11.5" customHeight="1">
      <c r="A53" s="1533" t="s">
        <v>207</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472</v>
      </c>
      <c r="AJ53" s="1563"/>
      <c r="AK53" s="1563"/>
      <c r="AL53" s="1563"/>
      <c r="AM53" s="1563"/>
      <c r="AN53" s="1563"/>
      <c r="AO53" s="1666"/>
      <c r="AP53" s="1563"/>
      <c r="AQ53" s="1563"/>
      <c r="AR53" s="1563"/>
      <c r="AS53" s="1563"/>
      <c r="AT53" s="1560"/>
      <c r="AU53" s="2424"/>
      <c r="AW53" s="670"/>
      <c r="AX53" s="670"/>
      <c r="AY53" s="670"/>
      <c r="AZ53" s="670"/>
      <c r="BA53" s="1325">
        <v>11</v>
      </c>
    </row>
    <row r="54" ht="11.5" customHeight="1">
      <c r="A54" s="1533" t="s">
        <v>207</v>
      </c>
      <c r="B54" s="1533" t="s">
        <v>208</v>
      </c>
      <c r="C54" s="1533" t="s">
        <v>209</v>
      </c>
      <c r="D54" s="1533" t="s">
        <v>210</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473</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r="55" ht="11.5" customHeight="1">
      <c r="A55" s="1533" t="s">
        <v>207</v>
      </c>
      <c r="B55" s="1533" t="s">
        <v>208</v>
      </c>
      <c r="C55" s="1533" t="s">
        <v>209</v>
      </c>
      <c r="D55" s="1533" t="s">
        <v>210</v>
      </c>
      <c r="E55" s="2429"/>
      <c r="F55" s="2429"/>
      <c r="G55" s="2429"/>
      <c r="H55" s="2429"/>
      <c r="I55" s="2456"/>
      <c r="J55" s="2426"/>
      <c r="K55" s="1533"/>
      <c r="L55" s="1534"/>
      <c r="P55" s="2427"/>
      <c r="Q55" s="2427"/>
      <c r="R55" s="526"/>
      <c r="S55" s="1448"/>
      <c r="T55" s="457" t="s">
        <v>474</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 xml:space="preserve">Добавить строку</v>
      </c>
      <c r="AY55" s="670"/>
      <c r="AZ55" s="670"/>
      <c r="BA55" s="1325">
        <v>11</v>
      </c>
    </row>
    <row r="56" s="9218" customFormat="1" ht="1.05" customHeight="1">
      <c r="A56" s="1513" t="s">
        <v>207</v>
      </c>
      <c r="B56" s="1513" t="s">
        <v>208</v>
      </c>
      <c r="C56" s="1513" t="s">
        <v>209</v>
      </c>
      <c r="D56" s="1513" t="s">
        <v>210</v>
      </c>
      <c r="E56" s="2429"/>
      <c r="F56" s="2429"/>
      <c r="G56" s="2429"/>
      <c r="H56" s="2429"/>
      <c r="I56" s="2426"/>
      <c r="J56" s="1513"/>
      <c r="K56" s="1513"/>
      <c r="L56" s="1516"/>
      <c r="M56" s="680"/>
      <c r="N56" s="680"/>
      <c r="O56" s="680"/>
      <c r="P56" s="2427"/>
      <c r="Q56" s="1501"/>
      <c r="R56" s="526"/>
      <c r="S56" s="1556"/>
      <c r="T56" s="1557" t="s">
        <v>419</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 xml:space="preserve">Добавить группу потребителей</v>
      </c>
      <c r="AY56" s="670"/>
      <c r="AZ56" s="670"/>
      <c r="BA56" s="681">
        <v>1</v>
      </c>
    </row>
    <row r="57" s="9831" customFormat="1" ht="1.05" customHeight="1">
      <c r="A57" s="1513" t="s">
        <v>207</v>
      </c>
      <c r="B57" s="1513" t="s">
        <v>208</v>
      </c>
      <c r="C57" s="1513" t="s">
        <v>209</v>
      </c>
      <c r="D57" s="1513" t="s">
        <v>210</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r="58" s="9218" customFormat="1" ht="1.05" customHeight="1">
      <c r="A58" s="1513" t="s">
        <v>207</v>
      </c>
      <c r="B58" s="1513" t="s">
        <v>208</v>
      </c>
      <c r="C58" s="1513" t="s">
        <v>209</v>
      </c>
      <c r="D58" s="1484"/>
      <c r="E58" s="2429"/>
      <c r="F58" s="2429"/>
      <c r="G58" s="2428"/>
      <c r="H58" s="1484"/>
      <c r="I58" s="1484"/>
      <c r="J58" s="1484"/>
      <c r="K58" s="1484"/>
      <c r="L58" s="1509"/>
      <c r="M58" s="1485"/>
      <c r="N58" s="1485"/>
      <c r="P58" s="1486"/>
      <c r="Q58" s="1487"/>
      <c r="R58" s="1486"/>
      <c r="S58" s="1492"/>
      <c r="T58" s="1495" t="s">
        <v>163</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 xml:space="preserve">Добавить источник для дифференциации</v>
      </c>
      <c r="AY58" s="959"/>
      <c r="AZ58" s="959"/>
      <c r="BA58" s="688">
        <v>1</v>
      </c>
    </row>
    <row r="59" s="9218" customFormat="1" ht="1.05" customHeight="1">
      <c r="A59" s="1513" t="s">
        <v>207</v>
      </c>
      <c r="B59" s="1513" t="s">
        <v>208</v>
      </c>
      <c r="C59" s="1484"/>
      <c r="D59" s="1484"/>
      <c r="E59" s="2429"/>
      <c r="F59" s="2428"/>
      <c r="G59" s="1484"/>
      <c r="H59" s="1484"/>
      <c r="I59" s="1484"/>
      <c r="J59" s="1484"/>
      <c r="K59" s="1484"/>
      <c r="L59" s="1509"/>
      <c r="M59" s="1491"/>
      <c r="N59" s="1491"/>
      <c r="P59" s="1486"/>
      <c r="Q59" s="1487"/>
      <c r="R59" s="1486"/>
      <c r="S59" s="1492"/>
      <c r="T59" s="1495" t="s">
        <v>164</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 xml:space="preserve">Добавить централизованную систему для дифференциации</v>
      </c>
      <c r="AY59" s="959"/>
      <c r="AZ59" s="959"/>
      <c r="BA59" s="688">
        <v>1</v>
      </c>
    </row>
    <row r="60" s="9218" customFormat="1" ht="1.05" customHeight="1">
      <c r="A60" s="1513" t="s">
        <v>207</v>
      </c>
      <c r="B60" s="1513"/>
      <c r="C60" s="1513"/>
      <c r="D60" s="1513"/>
      <c r="E60" s="2429"/>
      <c r="F60" s="1513"/>
      <c r="G60" s="1513"/>
      <c r="H60" s="1513"/>
      <c r="I60" s="1513"/>
      <c r="J60" s="1513"/>
      <c r="K60" s="1513"/>
      <c r="L60" s="1516"/>
      <c r="M60" s="1491"/>
      <c r="N60" s="1491"/>
      <c r="O60" s="688"/>
      <c r="P60" s="550"/>
      <c r="Q60" s="1514"/>
      <c r="R60" s="550"/>
      <c r="S60" s="1492"/>
      <c r="T60" s="1495" t="s">
        <v>165</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 xml:space="preserve">Добавить территорию для дифференциации</v>
      </c>
      <c r="AY60" s="670"/>
      <c r="AZ60" s="670"/>
      <c r="BA60" s="681">
        <v>1</v>
      </c>
    </row>
    <row r="61" s="9218" customFormat="1" ht="1.05" customHeight="1">
      <c r="A61" s="1513" t="s">
        <v>207</v>
      </c>
      <c r="B61" s="1513"/>
      <c r="C61" s="1513"/>
      <c r="D61" s="1513"/>
      <c r="E61" s="2428"/>
      <c r="F61" s="1513"/>
      <c r="G61" s="1513"/>
      <c r="H61" s="1513"/>
      <c r="I61" s="1513"/>
      <c r="J61" s="1513"/>
      <c r="K61" s="1513"/>
      <c r="L61" s="1516"/>
      <c r="M61" s="1491"/>
      <c r="N61" s="1491"/>
      <c r="O61" s="688"/>
      <c r="P61" s="550"/>
      <c r="Q61" s="1514"/>
      <c r="R61" s="550"/>
      <c r="S61" s="1492"/>
      <c r="T61" s="1495" t="s">
        <v>165</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 xml:space="preserve">Добавить территорию для дифференциации</v>
      </c>
      <c r="AY61" s="670"/>
      <c r="AZ61" s="670"/>
      <c r="BA61" s="681">
        <v>1</v>
      </c>
    </row>
    <row r="62" s="9218" customFormat="1" ht="1.05" customHeight="1">
      <c r="A62" s="1484"/>
      <c r="B62" s="1484"/>
      <c r="C62" s="1484"/>
      <c r="D62" s="1484"/>
      <c r="E62" s="1513"/>
      <c r="F62" s="1484"/>
      <c r="G62" s="1484"/>
      <c r="H62" s="1484"/>
      <c r="I62" s="1484"/>
      <c r="J62" s="1484"/>
      <c r="K62" s="1484"/>
      <c r="L62" s="1509"/>
      <c r="M62" s="1491"/>
      <c r="N62" s="1491"/>
      <c r="P62" s="1486"/>
      <c r="Q62" s="1487"/>
      <c r="R62" s="1486"/>
      <c r="S62" s="1492"/>
      <c r="T62" s="1495" t="s">
        <v>166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 xml:space="preserve">Добавить наименование тарифа</v>
      </c>
      <c r="AY62" s="959"/>
      <c r="AZ62" s="959"/>
      <c r="BA62" s="688">
        <v>1</v>
      </c>
    </row>
    <row r="63" ht="11.5" customHeight="1">
      <c r="M63" s="1330"/>
      <c r="N63" s="1330"/>
      <c r="O63" s="707"/>
      <c r="P63" s="1330"/>
      <c r="Q63" s="1330"/>
      <c r="R63" s="1325"/>
      <c r="S63" s="1325"/>
      <c r="AV63" s="1325"/>
      <c r="AW63" s="1325"/>
      <c r="AX63" s="1325"/>
      <c r="AY63" s="1325"/>
      <c r="AZ63" s="1325"/>
      <c r="BA63" s="1325">
        <v>11</v>
      </c>
    </row>
    <row r="64" ht="19.949999999999999" customHeight="1">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r="65" ht="21" customHeight="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r="66" ht="14.65" customHeight="1">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r="67" ht="19.949999999999999" customHeight="1">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r="68" ht="16.800000000000001" customHeight="1">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r="69" ht="14.65" customHeight="1">
      <c r="O69" s="707"/>
      <c r="BA69" s="1325">
        <v>14</v>
      </c>
    </row>
    <row r="70" ht="22.5" hidden="1" customHeight="1">
      <c r="A70" s="1330" t="s">
        <v>83</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autoFilter="0" deleteColumns="1" deleteRows="1" formatColumns="0" formatRows="0" insertColumns="1" insertRows="1" sheet="1" sort="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5">
    <dataValidation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allowBlank="1" prompt="Для выбора выполните двойной щелчок левой клавиши мыши по соответствующей ячейке." showErrorMessage="1" showInputMessage="1"/>
    <dataValidation sqref="W65591 W131127 W196663 W262199 W327735 W393271 W458807 W524343 W589879 W655415 W720951 W786487 W852023 W917559 W983095 AO54 W11 AO65591 AO131127 AO196663 AO262199 AO327735 AO393271 AO458807 AO524343 AO589879 AO655415 AO720951 AO786487 AO852023 AO917559 AO983095 AO11 W54" allowBlank="1" promptTitle="checkPeriodRange"/>
    <dataValidation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28:AU131134 S196664:AU196670 S262200:AU262206 S327736:AU327742 S393272:AU393278 S458808:AU458814 S524344:AU524350 S589880:AU589886 S655416:AU655422 S720952:AU720958 S786488:AU786494 S852024:AU852030 S917560:AU917566 S983096:AU983102 S65592:AU65598" allowBlank="1"/>
    <dataValidation sqref="V42:W42" allowBlank="1" error="Выберите значение из списка" errorTitle="Ошибка"/>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900079-007E-4D39-B89F-00B8006800E0}" type="textLength" allowBlank="1" error="Допускается ввод не более 900 символов!" errorTitle="Ошибка" operator="lessThanOrEqual" showErrorMessage="1" showInputMessage="1">
          <x14:formula1>
            <xm:f>900</xm:f>
          </x14:formula1>
          <xm:sqref>AU65584:AU65591 AU131120:AU131127 AU196656:AU196663 AU262192:AU262199 AU327728:AU327735 AU393264:AU393271 AU458800:AU458807 AU524336:AU524343 AU589872:AU589879 AU655408:AU655415 AU720944:AU720951 AU786480:AU786487 AU852016:AU852023 AU917552:AU917559 AU983088:AU983095 T8:T11 T51:T54</xm:sqref>
        </x14:dataValidation>
        <x14:dataValidation xr:uid="{00B4003F-0099-468F-A8C9-003D00DB005A}" type="list" allowBlank="1" error="Выберите значение из списка" errorTitle="Ошибка" showErrorMessage="1" showInputMessage="1">
          <x14:formula1>
            <xm:f>kind_of_scheme_in</xm:f>
          </x14:formula1>
          <xm:sqref>AB983092:AM983092 AB65588:AM65588 AB131124:AM131124 AB196660:AM196660 AB262196:AM262196 AB327732:AM327732 AB393268:AM393268 AB458804:AM458804 AB524340:AM524340 AB589876:AM589876 AB655412:AM655412 AB720948:AM720948 AB786484:AM786484 AB852020:AM852020 AB917556:AM917556</xm:sqref>
        </x14:dataValidation>
        <x14:dataValidation xr:uid="{003C00CA-0073-4753-9DFE-008A00AA009B}" type="list" allowBlank="1" error="Выберите значение из списка" errorTitle="Ошибка" showErrorMessage="1" showInputMessage="1">
          <x14:formula1>
            <xm:f>kind_of_heat_transfer</xm:f>
          </x14:formula1>
          <xm:sqref>T65590 T131126 T196662 T262198 T327734 T393270 T458806 T524342 T589878 T655414 T720950 T786486 T852022 T917558 T983094</xm:sqref>
        </x14:dataValidation>
        <x14:dataValidation xr:uid="{00A500CB-0085-4BC4-8FAA-00CE001B00A5}" type="list" allowBlank="1" error="Выберите значение из списка" errorTitle="Ошибка" prompt="Выберите значение из списка" showInputMessage="1">
          <x14:formula1>
            <xm:f>kind_of_cons</xm:f>
          </x14:formula1>
          <xm:sqref>V917557:AT917557 V983093:AT983093 V65589:AT65589 V131125:AT131125 V196661:AT196661 V262197:AT262197 V327733:AT327733 V393269:AT393269 V458805:AT458805 V524341:AT524341 V589877:AT589877 V655413:AT655413 V720949:AT720949 V786485:AT786485 V852021:AT852021</xm:sqref>
        </x14:dataValidation>
        <x14:dataValidation xr:uid="{005C00B6-0036-4E02-9DA8-00BD008300ED}" type="list" allowBlank="1" error="Выберите значение из списка" errorTitle="Ошибка" prompt="Выберите значение из списка" showErrorMessage="1" showInputMessage="1">
          <x14:formula1>
            <xm:f>UNIT_CONNECT_LIST</xm:f>
          </x14:formula1>
          <xm:sqref>AN42:AO42</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4" style="9138" width="24.7109375"/>
    <col customWidth="1" hidden="1" min="25" max="25" style="9138" width="11.7109375"/>
    <col customWidth="1" hidden="1" min="26" max="26" style="9138" width="3.7109375"/>
    <col customWidth="1" hidden="1" min="27" max="27" style="9138" width="11.7109375"/>
    <col customWidth="1" hidden="1" min="28" max="28" style="9138" width="8.57421875"/>
    <col customWidth="1" min="29" max="29" style="9138" width="24.7109375"/>
    <col customWidth="1" min="30" max="31" style="9138" width="24.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592"/>
      <c r="R5" s="526"/>
      <c r="S5" s="1595">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595">
        <f>$J6</f>
      </c>
      <c r="T6" s="456" t="s">
        <v>414</v>
      </c>
      <c r="U6" s="470"/>
      <c r="V6" s="2415"/>
      <c r="W6" s="2416"/>
      <c r="X6" s="2416"/>
      <c r="Y6" s="2416"/>
      <c r="Z6" s="2416"/>
      <c r="AA6" s="2416"/>
      <c r="AB6" s="2417"/>
      <c r="AC6" s="2415"/>
      <c r="AD6" s="2416"/>
      <c r="AE6" s="2416"/>
      <c r="AF6" s="2416"/>
      <c r="AG6" s="2416"/>
      <c r="AH6" s="2416"/>
      <c r="AI6" s="2416"/>
      <c r="AJ6" s="2417"/>
      <c r="AK6" s="1477" t="s">
        <v>491</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592"/>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14.25"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9218" customFormat="1" ht="14.25" hidden="1" customHeight="1">
      <c r="A12" s="1513"/>
      <c r="B12" s="1513"/>
      <c r="C12" s="1484"/>
      <c r="D12" s="1484"/>
      <c r="E12" s="2429"/>
      <c r="F12" s="2428"/>
      <c r="G12" s="1484"/>
      <c r="H12" s="1484"/>
      <c r="I12" s="1484"/>
      <c r="J12" s="1484"/>
      <c r="K12" s="1484"/>
      <c r="L12" s="1596"/>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67</v>
      </c>
      <c r="AH15" s="2437"/>
      <c r="AI15" s="2438" t="s">
        <v>67</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9217" customFormat="1" ht="22.5" hidden="1" customHeight="1">
      <c r="L18" s="1591"/>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9217" customFormat="1" ht="14.25" hidden="1" customHeight="1">
      <c r="L19" s="1591"/>
      <c r="M19" s="1532"/>
      <c r="N19" s="1532"/>
      <c r="O19" s="1532"/>
      <c r="P19" s="1532"/>
      <c r="Q19" s="1541"/>
      <c r="R19" s="1541"/>
      <c r="S19" s="899"/>
      <c r="AB19" s="1536"/>
      <c r="AI19" s="1536"/>
      <c r="AL19" s="681"/>
      <c r="AM19" s="681"/>
      <c r="AN19" s="681"/>
      <c r="AO19" s="681"/>
      <c r="AP19" s="681"/>
      <c r="AQ19" s="1330">
        <v>0</v>
      </c>
    </row>
    <row r="20" s="9217" customFormat="1" ht="12" hidden="1" customHeight="1">
      <c r="L20" s="1591"/>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496"/>
      <c r="AC28" s="2434" t="str">
        <f>IF(TITLE_DATE_PR_CHANGE="",IF(TITLE_DATE_PR="","",TITLE_DATE_PR),TITLE_DATE_PR_CHANGE)</f>
        <v>45646</v>
      </c>
      <c r="AD28" s="2434"/>
      <c r="AE28" s="2434"/>
      <c r="AF28" s="2434"/>
      <c r="AG28" s="2434"/>
      <c r="AH28" s="2434"/>
      <c r="AI28" s="496"/>
      <c r="AJ28" s="496"/>
      <c r="AK28" s="450"/>
      <c r="AL28" s="538"/>
      <c r="AM28" s="538"/>
      <c r="AN28" s="538"/>
      <c r="AO28" s="538"/>
      <c r="AP28" s="538"/>
      <c r="AQ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496"/>
      <c r="AC29" s="2421" t="str">
        <f>IF(TITLE_NUMBER_PR_CHANGE="",IF(TITLE_NUMBER_PR="","",TITLE_NUMBER_PR),TITLE_NUMBER_PR_CHANGE)</f>
        <v>ДГК-01.1/22560</v>
      </c>
      <c r="AD29" s="2421"/>
      <c r="AE29" s="2421"/>
      <c r="AF29" s="2421"/>
      <c r="AG29" s="2421"/>
      <c r="AH29" s="2421"/>
      <c r="AI29" s="496"/>
      <c r="AJ29" s="496"/>
      <c r="AK29" s="450"/>
      <c r="AL29" s="538"/>
      <c r="AM29" s="538"/>
      <c r="AN29" s="538"/>
      <c r="AO29" s="538"/>
      <c r="AP29" s="538"/>
      <c r="AQ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496"/>
      <c r="AC32" s="2434" t="str">
        <f>IF(TITLE_DATE_PR_CHANGE="",IF(TITLE_DATE_PR="","",TITLE_DATE_PR),TITLE_DATE_PR_CHANGE)</f>
        <v>45646</v>
      </c>
      <c r="AD32" s="2434"/>
      <c r="AE32" s="2434"/>
      <c r="AF32" s="2434"/>
      <c r="AG32" s="2434"/>
      <c r="AH32" s="2434"/>
      <c r="AI32" s="496"/>
      <c r="AJ32" s="496"/>
      <c r="AK32" s="450"/>
      <c r="AL32" s="538"/>
      <c r="AM32" s="538"/>
      <c r="AN32" s="538"/>
      <c r="AO32" s="538"/>
      <c r="AP32" s="538"/>
      <c r="AQ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496"/>
      <c r="AC33" s="2421" t="str">
        <f>IF(TITLE_NUMBER_PR_CHANGE="",IF(TITLE_NUMBER_PR="","",TITLE_NUMBER_PR),TITLE_NUMBER_PR_CHANGE)</f>
        <v>ДГК-01.1/22560</v>
      </c>
      <c r="AD33" s="2421"/>
      <c r="AE33" s="2421"/>
      <c r="AF33" s="2421"/>
      <c r="AG33" s="2421"/>
      <c r="AH33" s="2421"/>
      <c r="AI33" s="496"/>
      <c r="AJ33" s="496"/>
      <c r="AK33" s="450"/>
      <c r="AL33" s="538"/>
      <c r="AM33" s="538"/>
      <c r="AN33" s="538"/>
      <c r="AO33" s="538"/>
      <c r="AP33" s="538"/>
      <c r="AQ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89</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r="38" ht="35.649999999999999" customHeight="1">
      <c r="Q38" s="546"/>
      <c r="R38" s="546"/>
      <c r="S38" s="2443"/>
      <c r="T38" s="2379"/>
      <c r="U38" s="1201"/>
      <c r="V38" s="1522" t="s">
        <v>495</v>
      </c>
      <c r="W38" s="2432" t="s">
        <v>440</v>
      </c>
      <c r="X38" s="2433"/>
      <c r="Y38" s="2432" t="s">
        <v>441</v>
      </c>
      <c r="Z38" s="2439"/>
      <c r="AA38" s="2433"/>
      <c r="AB38" s="2448"/>
      <c r="AC38" s="1522" t="s">
        <v>495</v>
      </c>
      <c r="AD38" s="2432" t="s">
        <v>440</v>
      </c>
      <c r="AE38" s="2433"/>
      <c r="AF38" s="2432" t="s">
        <v>441</v>
      </c>
      <c r="AG38" s="2439"/>
      <c r="AH38" s="2433"/>
      <c r="AI38" s="2448"/>
      <c r="AJ38" s="2451"/>
      <c r="AK38" s="2297"/>
      <c r="AQ38" s="1325">
        <v>34</v>
      </c>
    </row>
    <row r="39" ht="35.649999999999999" customHeight="1">
      <c r="A39" s="1540"/>
      <c r="B39" s="1540" t="s">
        <v>135</v>
      </c>
      <c r="C39" s="1540" t="s">
        <v>136</v>
      </c>
      <c r="D39" s="1540" t="s">
        <v>137</v>
      </c>
      <c r="E39" s="1534" t="s">
        <v>442</v>
      </c>
      <c r="F39" s="1534" t="s">
        <v>443</v>
      </c>
      <c r="G39" s="1534" t="s">
        <v>444</v>
      </c>
      <c r="H39" s="1534"/>
      <c r="I39" s="1534" t="s">
        <v>496</v>
      </c>
      <c r="J39" s="1534" t="s">
        <v>447</v>
      </c>
      <c r="K39" s="1534" t="s">
        <v>497</v>
      </c>
      <c r="L39" s="1534" t="s">
        <v>422</v>
      </c>
      <c r="Q39" s="546"/>
      <c r="R39" s="546"/>
      <c r="S39" s="2443"/>
      <c r="T39" s="2379"/>
      <c r="U39" s="472"/>
      <c r="V39" s="1522" t="s">
        <v>498</v>
      </c>
      <c r="W39" s="1392" t="s">
        <v>499</v>
      </c>
      <c r="X39" s="1392" t="s">
        <v>500</v>
      </c>
      <c r="Y39" s="1527" t="s">
        <v>451</v>
      </c>
      <c r="Z39" s="2440" t="s">
        <v>452</v>
      </c>
      <c r="AA39" s="2441"/>
      <c r="AB39" s="2449"/>
      <c r="AC39" s="1522" t="s">
        <v>498</v>
      </c>
      <c r="AD39" s="1392" t="s">
        <v>499</v>
      </c>
      <c r="AE39" s="1392" t="s">
        <v>500</v>
      </c>
      <c r="AF39" s="1527" t="s">
        <v>451</v>
      </c>
      <c r="AG39" s="2440" t="s">
        <v>452</v>
      </c>
      <c r="AH39" s="2441"/>
      <c r="AI39" s="2449"/>
      <c r="AJ39" s="2452"/>
      <c r="AK39" s="2297"/>
      <c r="AQ39" s="1325">
        <v>34</v>
      </c>
    </row>
    <row r="40" s="9831" customFormat="1" ht="11.25" hidden="1" customHeight="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r="41" ht="24" customHeight="1">
      <c r="A41" s="1533" t="s">
        <v>233</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233</v>
      </c>
      <c r="B42" s="1533" t="s">
        <v>234</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233</v>
      </c>
      <c r="B43" s="1533" t="s">
        <v>234</v>
      </c>
      <c r="C43" s="1533" t="s">
        <v>235</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233</v>
      </c>
      <c r="B44" s="1533" t="s">
        <v>234</v>
      </c>
      <c r="C44" s="1533" t="s">
        <v>235</v>
      </c>
      <c r="D44" s="1533" t="s">
        <v>501</v>
      </c>
      <c r="E44" s="2429"/>
      <c r="F44" s="2429"/>
      <c r="G44" s="2429"/>
      <c r="H44" s="2429"/>
      <c r="I44" s="2426" t="str">
        <f>S43&amp;".1"</f>
        <v>...1</v>
      </c>
      <c r="J44" s="1533"/>
      <c r="K44" s="1533"/>
      <c r="L44" s="1534"/>
      <c r="P44" s="2427">
        <v>1</v>
      </c>
      <c r="Q44" s="1524"/>
      <c r="R44" s="526"/>
      <c r="S44" s="1528"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 xml:space="preserve">Наименование признака дифференциации</v>
      </c>
      <c r="AO44" s="670"/>
      <c r="AP44" s="670"/>
      <c r="AQ44" s="1325">
        <v>23</v>
      </c>
    </row>
    <row r="45" ht="24" customHeight="1">
      <c r="A45" s="1533" t="s">
        <v>233</v>
      </c>
      <c r="B45" s="1533" t="s">
        <v>234</v>
      </c>
      <c r="C45" s="1533" t="s">
        <v>235</v>
      </c>
      <c r="D45" s="1533" t="s">
        <v>501</v>
      </c>
      <c r="E45" s="2429"/>
      <c r="F45" s="2429"/>
      <c r="G45" s="2429"/>
      <c r="H45" s="2429"/>
      <c r="I45" s="2456"/>
      <c r="J45" s="2426" t="str">
        <f>I44&amp;".1"</f>
        <v>...1.1</v>
      </c>
      <c r="K45" s="1533"/>
      <c r="L45" s="1534" t="s">
        <v>413</v>
      </c>
      <c r="P45" s="2427"/>
      <c r="Q45" s="2427">
        <v>1</v>
      </c>
      <c r="R45" s="527"/>
      <c r="S45" s="1528" t="str">
        <f>$J45</f>
        <v>...1.1</v>
      </c>
      <c r="T45" s="456" t="s">
        <v>414</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 xml:space="preserve">Группа потребителей</v>
      </c>
      <c r="AO45" s="670"/>
      <c r="AP45" s="670"/>
      <c r="AQ45" s="1325">
        <v>23</v>
      </c>
    </row>
    <row r="46" ht="24" customHeight="1">
      <c r="A46" s="1533" t="s">
        <v>233</v>
      </c>
      <c r="B46" s="1533" t="s">
        <v>234</v>
      </c>
      <c r="C46" s="1533" t="s">
        <v>235</v>
      </c>
      <c r="D46" s="1533" t="s">
        <v>501</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233</v>
      </c>
      <c r="B47" s="1533" t="s">
        <v>234</v>
      </c>
      <c r="C47" s="1533" t="s">
        <v>235</v>
      </c>
      <c r="D47" s="1533" t="s">
        <v>501</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233</v>
      </c>
      <c r="B48" s="1533" t="s">
        <v>234</v>
      </c>
      <c r="C48" s="1533" t="s">
        <v>235</v>
      </c>
      <c r="D48" s="1533" t="s">
        <v>501</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 xml:space="preserve">Добавить значение признака дифференциации</v>
      </c>
      <c r="AO48" s="670"/>
      <c r="AP48" s="670"/>
      <c r="AQ48" s="1325">
        <v>20</v>
      </c>
    </row>
    <row r="49" ht="22" customHeight="1">
      <c r="A49" s="1533" t="s">
        <v>233</v>
      </c>
      <c r="B49" s="1533" t="s">
        <v>234</v>
      </c>
      <c r="C49" s="1533" t="s">
        <v>235</v>
      </c>
      <c r="D49" s="1533" t="s">
        <v>501</v>
      </c>
      <c r="E49" s="2429"/>
      <c r="F49" s="2429"/>
      <c r="G49" s="2429"/>
      <c r="H49" s="2429"/>
      <c r="I49" s="2426"/>
      <c r="J49" s="1533"/>
      <c r="K49" s="1533"/>
      <c r="L49" s="1534"/>
      <c r="P49" s="2427"/>
      <c r="Q49" s="1524"/>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233</v>
      </c>
      <c r="B50" s="1533" t="s">
        <v>234</v>
      </c>
      <c r="C50" s="1533" t="s">
        <v>235</v>
      </c>
      <c r="D50" s="1533" t="s">
        <v>501</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9218" customFormat="1" ht="0" customHeight="1">
      <c r="A51" s="1513" t="s">
        <v>233</v>
      </c>
      <c r="B51" s="1513" t="s">
        <v>234</v>
      </c>
      <c r="C51" s="1484"/>
      <c r="D51" s="1484"/>
      <c r="E51" s="2429"/>
      <c r="F51" s="2428"/>
      <c r="G51" s="1484"/>
      <c r="H51" s="1484"/>
      <c r="I51" s="1484"/>
      <c r="J51" s="1484"/>
      <c r="K51" s="1484"/>
      <c r="L51" s="1596"/>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9218" customFormat="1" ht="0" customHeight="1">
      <c r="A52" s="1513" t="s">
        <v>233</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9218" customFormat="1" ht="0" customHeight="1">
      <c r="A53" s="1484"/>
      <c r="B53" s="1484"/>
      <c r="C53" s="1484"/>
      <c r="D53" s="1484"/>
      <c r="E53" s="1513"/>
      <c r="F53" s="1484"/>
      <c r="G53" s="1484"/>
      <c r="H53" s="1484"/>
      <c r="I53" s="1484"/>
      <c r="J53" s="1484"/>
      <c r="K53" s="1484"/>
      <c r="L53" s="1596"/>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83</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280055-00A7-448D-846E-006800F30012}"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F800E1-005A-4452-B609-009000DF0051}"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2200DF-0057-4135-AB58-008C00B00075}"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E40039-00FF-45D2-847C-0049009C00DB}"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4" style="9138" width="24.7109375"/>
    <col customWidth="1" hidden="1" min="25" max="25" style="9138" width="11.7109375"/>
    <col customWidth="1" hidden="1" min="26" max="26" style="9138" width="3.7109375"/>
    <col customWidth="1" hidden="1" min="27" max="27" style="9138" width="11.7109375"/>
    <col customWidth="1" hidden="1" min="28" max="28" style="9138" width="8.57421875"/>
    <col customWidth="1" min="29" max="29" style="9138" width="24.7109375"/>
    <col customWidth="1" min="30" max="31" style="9138" width="24.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491</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9218" customFormat="1" ht="14.25" hidden="1" customHeight="1">
      <c r="A12" s="1513"/>
      <c r="B12" s="1513"/>
      <c r="C12" s="1484"/>
      <c r="D12" s="1484"/>
      <c r="E12" s="2429"/>
      <c r="F12" s="2428"/>
      <c r="G12" s="1484"/>
      <c r="H12" s="1484"/>
      <c r="I12" s="1484"/>
      <c r="J12" s="1484"/>
      <c r="K12" s="1484"/>
      <c r="L12" s="1628"/>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67</v>
      </c>
      <c r="AH15" s="2437"/>
      <c r="AI15" s="2438" t="s">
        <v>67</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9217" customFormat="1" ht="22.5" hidden="1" customHeight="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9217" customFormat="1" ht="14.25" hidden="1" customHeight="1">
      <c r="L19" s="1617"/>
      <c r="M19" s="1532"/>
      <c r="N19" s="1532"/>
      <c r="O19" s="1532"/>
      <c r="P19" s="1532"/>
      <c r="Q19" s="1541"/>
      <c r="R19" s="1541"/>
      <c r="S19" s="899"/>
      <c r="AB19" s="1536"/>
      <c r="AI19" s="1536"/>
      <c r="AL19" s="681"/>
      <c r="AM19" s="681"/>
      <c r="AN19" s="681"/>
      <c r="AO19" s="681"/>
      <c r="AP19" s="681"/>
      <c r="AQ19" s="1330">
        <v>0</v>
      </c>
    </row>
    <row r="20" s="9217" customFormat="1" ht="12" hidden="1" customHeight="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496"/>
      <c r="AC28" s="2434" t="str">
        <f>IF(TITLE_DATE_PR_CHANGE="",IF(TITLE_DATE_PR="","",TITLE_DATE_PR),TITLE_DATE_PR_CHANGE)</f>
        <v>45646</v>
      </c>
      <c r="AD28" s="2434"/>
      <c r="AE28" s="2434"/>
      <c r="AF28" s="2434"/>
      <c r="AG28" s="2434"/>
      <c r="AH28" s="2434"/>
      <c r="AI28" s="496"/>
      <c r="AJ28" s="496"/>
      <c r="AK28" s="450"/>
      <c r="AL28" s="538"/>
      <c r="AM28" s="538"/>
      <c r="AN28" s="538"/>
      <c r="AO28" s="538"/>
      <c r="AP28" s="538"/>
      <c r="AQ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496"/>
      <c r="AC29" s="2421" t="str">
        <f>IF(TITLE_NUMBER_PR_CHANGE="",IF(TITLE_NUMBER_PR="","",TITLE_NUMBER_PR),TITLE_NUMBER_PR_CHANGE)</f>
        <v>ДГК-01.1/22560</v>
      </c>
      <c r="AD29" s="2421"/>
      <c r="AE29" s="2421"/>
      <c r="AF29" s="2421"/>
      <c r="AG29" s="2421"/>
      <c r="AH29" s="2421"/>
      <c r="AI29" s="496"/>
      <c r="AJ29" s="496"/>
      <c r="AK29" s="450"/>
      <c r="AL29" s="538"/>
      <c r="AM29" s="538"/>
      <c r="AN29" s="538"/>
      <c r="AO29" s="538"/>
      <c r="AP29" s="538"/>
      <c r="AQ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496"/>
      <c r="AC32" s="2434" t="str">
        <f>IF(TITLE_DATE_PR_CHANGE="",IF(TITLE_DATE_PR="","",TITLE_DATE_PR),TITLE_DATE_PR_CHANGE)</f>
        <v>45646</v>
      </c>
      <c r="AD32" s="2434"/>
      <c r="AE32" s="2434"/>
      <c r="AF32" s="2434"/>
      <c r="AG32" s="2434"/>
      <c r="AH32" s="2434"/>
      <c r="AI32" s="496"/>
      <c r="AJ32" s="496"/>
      <c r="AK32" s="450"/>
      <c r="AL32" s="538"/>
      <c r="AM32" s="538"/>
      <c r="AN32" s="538"/>
      <c r="AO32" s="538"/>
      <c r="AP32" s="538"/>
      <c r="AQ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496"/>
      <c r="AC33" s="2421" t="str">
        <f>IF(TITLE_NUMBER_PR_CHANGE="",IF(TITLE_NUMBER_PR="","",TITLE_NUMBER_PR),TITLE_NUMBER_PR_CHANGE)</f>
        <v>ДГК-01.1/22560</v>
      </c>
      <c r="AD33" s="2421"/>
      <c r="AE33" s="2421"/>
      <c r="AF33" s="2421"/>
      <c r="AG33" s="2421"/>
      <c r="AH33" s="2421"/>
      <c r="AI33" s="496"/>
      <c r="AJ33" s="496"/>
      <c r="AK33" s="450"/>
      <c r="AL33" s="538"/>
      <c r="AM33" s="538"/>
      <c r="AN33" s="538"/>
      <c r="AO33" s="538"/>
      <c r="AP33" s="538"/>
      <c r="AQ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89</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r="38" ht="35.649999999999999" customHeight="1">
      <c r="Q38" s="546"/>
      <c r="R38" s="546"/>
      <c r="S38" s="2443"/>
      <c r="T38" s="2379"/>
      <c r="U38" s="1201"/>
      <c r="V38" s="1622" t="s">
        <v>495</v>
      </c>
      <c r="W38" s="2432" t="s">
        <v>440</v>
      </c>
      <c r="X38" s="2433"/>
      <c r="Y38" s="2432" t="s">
        <v>441</v>
      </c>
      <c r="Z38" s="2439"/>
      <c r="AA38" s="2433"/>
      <c r="AB38" s="2448"/>
      <c r="AC38" s="1622" t="s">
        <v>495</v>
      </c>
      <c r="AD38" s="2432" t="s">
        <v>440</v>
      </c>
      <c r="AE38" s="2433"/>
      <c r="AF38" s="2432" t="s">
        <v>441</v>
      </c>
      <c r="AG38" s="2439"/>
      <c r="AH38" s="2433"/>
      <c r="AI38" s="2448"/>
      <c r="AJ38" s="2451"/>
      <c r="AK38" s="2297"/>
      <c r="AQ38" s="1325">
        <v>34</v>
      </c>
    </row>
    <row r="39" ht="35.649999999999999" customHeight="1">
      <c r="A39" s="1540"/>
      <c r="B39" s="1540" t="s">
        <v>135</v>
      </c>
      <c r="C39" s="1540" t="s">
        <v>136</v>
      </c>
      <c r="D39" s="1540" t="s">
        <v>137</v>
      </c>
      <c r="E39" s="1534" t="s">
        <v>442</v>
      </c>
      <c r="F39" s="1534" t="s">
        <v>443</v>
      </c>
      <c r="G39" s="1534" t="s">
        <v>444</v>
      </c>
      <c r="H39" s="1534"/>
      <c r="I39" s="1534" t="s">
        <v>496</v>
      </c>
      <c r="J39" s="1534" t="s">
        <v>447</v>
      </c>
      <c r="K39" s="1534" t="s">
        <v>497</v>
      </c>
      <c r="L39" s="1534" t="s">
        <v>422</v>
      </c>
      <c r="Q39" s="546"/>
      <c r="R39" s="546"/>
      <c r="S39" s="2443"/>
      <c r="T39" s="2379"/>
      <c r="U39" s="472"/>
      <c r="V39" s="1622" t="s">
        <v>498</v>
      </c>
      <c r="W39" s="1392" t="s">
        <v>499</v>
      </c>
      <c r="X39" s="1392" t="s">
        <v>500</v>
      </c>
      <c r="Y39" s="1625" t="s">
        <v>451</v>
      </c>
      <c r="Z39" s="2440" t="s">
        <v>452</v>
      </c>
      <c r="AA39" s="2441"/>
      <c r="AB39" s="2449"/>
      <c r="AC39" s="1622" t="s">
        <v>498</v>
      </c>
      <c r="AD39" s="1392" t="s">
        <v>499</v>
      </c>
      <c r="AE39" s="1392" t="s">
        <v>500</v>
      </c>
      <c r="AF39" s="1625" t="s">
        <v>451</v>
      </c>
      <c r="AG39" s="2440" t="s">
        <v>452</v>
      </c>
      <c r="AH39" s="2441"/>
      <c r="AI39" s="2449"/>
      <c r="AJ39" s="2452"/>
      <c r="AK39" s="2297"/>
      <c r="AQ39" s="1325">
        <v>34</v>
      </c>
    </row>
    <row r="40" s="9831"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r="41" ht="24" customHeight="1">
      <c r="A41" s="1533" t="s">
        <v>238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238</v>
      </c>
      <c r="B42" s="1533" t="s">
        <v>239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238</v>
      </c>
      <c r="B43" s="1533" t="s">
        <v>239</v>
      </c>
      <c r="C43" s="1533" t="s">
        <v>240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238</v>
      </c>
      <c r="B44" s="1533" t="s">
        <v>239</v>
      </c>
      <c r="C44" s="1533" t="s">
        <v>240</v>
      </c>
      <c r="D44" s="1533" t="s">
        <v>502</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 xml:space="preserve">Наименование признака дифференциации</v>
      </c>
      <c r="AO44" s="670"/>
      <c r="AP44" s="670"/>
      <c r="AQ44" s="1325">
        <v>23</v>
      </c>
    </row>
    <row r="45" ht="24" customHeight="1">
      <c r="A45" s="1533" t="s">
        <v>238</v>
      </c>
      <c r="B45" s="1533" t="s">
        <v>239</v>
      </c>
      <c r="C45" s="1533" t="s">
        <v>240</v>
      </c>
      <c r="D45" s="1533" t="s">
        <v>502</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 xml:space="preserve">Группа потребителей</v>
      </c>
      <c r="AO45" s="670"/>
      <c r="AP45" s="670"/>
      <c r="AQ45" s="1325">
        <v>23</v>
      </c>
    </row>
    <row r="46" ht="24" customHeight="1">
      <c r="A46" s="1533" t="s">
        <v>238</v>
      </c>
      <c r="B46" s="1533" t="s">
        <v>239</v>
      </c>
      <c r="C46" s="1533" t="s">
        <v>240</v>
      </c>
      <c r="D46" s="1533" t="s">
        <v>502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238</v>
      </c>
      <c r="B47" s="1533" t="s">
        <v>239</v>
      </c>
      <c r="C47" s="1533" t="s">
        <v>240</v>
      </c>
      <c r="D47" s="1533" t="s">
        <v>502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238</v>
      </c>
      <c r="B48" s="1533" t="s">
        <v>239</v>
      </c>
      <c r="C48" s="1533" t="s">
        <v>240</v>
      </c>
      <c r="D48" s="1533" t="s">
        <v>502</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 xml:space="preserve">Добавить значение признака дифференциации</v>
      </c>
      <c r="AO48" s="670"/>
      <c r="AP48" s="670"/>
      <c r="AQ48" s="1325">
        <v>20</v>
      </c>
    </row>
    <row r="49" ht="22" customHeight="1">
      <c r="A49" s="1533" t="s">
        <v>238</v>
      </c>
      <c r="B49" s="1533" t="s">
        <v>239</v>
      </c>
      <c r="C49" s="1533" t="s">
        <v>240</v>
      </c>
      <c r="D49" s="1533" t="s">
        <v>502</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238</v>
      </c>
      <c r="B50" s="1533" t="s">
        <v>239</v>
      </c>
      <c r="C50" s="1533" t="s">
        <v>240</v>
      </c>
      <c r="D50" s="1533" t="s">
        <v>502</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9218" customFormat="1" ht="0" customHeight="1">
      <c r="A51" s="1513" t="s">
        <v>238</v>
      </c>
      <c r="B51" s="1513" t="s">
        <v>239</v>
      </c>
      <c r="C51" s="1484"/>
      <c r="D51" s="1484"/>
      <c r="E51" s="2429"/>
      <c r="F51" s="2428"/>
      <c r="G51" s="1484"/>
      <c r="H51" s="1484"/>
      <c r="I51" s="1484"/>
      <c r="J51" s="1484"/>
      <c r="K51" s="1484"/>
      <c r="L51" s="1628"/>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9218" customFormat="1" ht="0" customHeight="1">
      <c r="A52" s="1513" t="s">
        <v>238</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9218" customFormat="1" ht="0" customHeight="1">
      <c r="A53" s="1484"/>
      <c r="B53" s="1484"/>
      <c r="C53" s="1484"/>
      <c r="D53" s="1484"/>
      <c r="E53" s="1513"/>
      <c r="F53" s="1484"/>
      <c r="G53" s="1484"/>
      <c r="H53" s="1484"/>
      <c r="I53" s="1484"/>
      <c r="J53" s="1484"/>
      <c r="K53" s="1484"/>
      <c r="L53" s="1628"/>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9A00A8-00DB-4748-A228-008500A100F3}"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090005-0020-4193-B4F8-003F003900BA}"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C40028-0022-46E9-8F29-0043009100D0}"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630075-00DA-4870-99A1-00A1007100BE}"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4" style="9138" width="24.7109375"/>
    <col customWidth="1" hidden="1" min="25" max="25" style="9138" width="11.7109375"/>
    <col customWidth="1" hidden="1" min="26" max="26" style="9138" width="3.7109375"/>
    <col customWidth="1" hidden="1" min="27" max="27" style="9138" width="11.7109375"/>
    <col customWidth="1" hidden="1" min="28" max="28" style="9138" width="8.57421875"/>
    <col customWidth="1" min="29" max="29" style="9138" width="24.7109375"/>
    <col customWidth="1" min="30" max="31" style="9138" width="24.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491</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9218" customFormat="1" ht="14.25" hidden="1" customHeight="1">
      <c r="A12" s="1513"/>
      <c r="B12" s="1513"/>
      <c r="C12" s="1484"/>
      <c r="D12" s="1484"/>
      <c r="E12" s="2429"/>
      <c r="F12" s="2428"/>
      <c r="G12" s="1484"/>
      <c r="H12" s="1484"/>
      <c r="I12" s="1484"/>
      <c r="J12" s="1484"/>
      <c r="K12" s="1484"/>
      <c r="L12" s="1628"/>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67</v>
      </c>
      <c r="AH15" s="2437"/>
      <c r="AI15" s="2438" t="s">
        <v>67</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9217" customFormat="1" ht="22.5" hidden="1" customHeight="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9217" customFormat="1" ht="14.25" hidden="1" customHeight="1">
      <c r="L19" s="1617"/>
      <c r="M19" s="1532"/>
      <c r="N19" s="1532"/>
      <c r="O19" s="1532"/>
      <c r="P19" s="1532"/>
      <c r="Q19" s="1541"/>
      <c r="R19" s="1541"/>
      <c r="S19" s="899"/>
      <c r="AB19" s="1536"/>
      <c r="AI19" s="1536"/>
      <c r="AL19" s="681"/>
      <c r="AM19" s="681"/>
      <c r="AN19" s="681"/>
      <c r="AO19" s="681"/>
      <c r="AP19" s="681"/>
      <c r="AQ19" s="1330">
        <v>0</v>
      </c>
    </row>
    <row r="20" s="9217" customFormat="1" ht="12" hidden="1" customHeight="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496"/>
      <c r="AC28" s="2434" t="str">
        <f>IF(TITLE_DATE_PR_CHANGE="",IF(TITLE_DATE_PR="","",TITLE_DATE_PR),TITLE_DATE_PR_CHANGE)</f>
        <v>45646</v>
      </c>
      <c r="AD28" s="2434"/>
      <c r="AE28" s="2434"/>
      <c r="AF28" s="2434"/>
      <c r="AG28" s="2434"/>
      <c r="AH28" s="2434"/>
      <c r="AI28" s="496"/>
      <c r="AJ28" s="496"/>
      <c r="AK28" s="450"/>
      <c r="AL28" s="538"/>
      <c r="AM28" s="538"/>
      <c r="AN28" s="538"/>
      <c r="AO28" s="538"/>
      <c r="AP28" s="538"/>
      <c r="AQ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496"/>
      <c r="AC29" s="2421" t="str">
        <f>IF(TITLE_NUMBER_PR_CHANGE="",IF(TITLE_NUMBER_PR="","",TITLE_NUMBER_PR),TITLE_NUMBER_PR_CHANGE)</f>
        <v>ДГК-01.1/22560</v>
      </c>
      <c r="AD29" s="2421"/>
      <c r="AE29" s="2421"/>
      <c r="AF29" s="2421"/>
      <c r="AG29" s="2421"/>
      <c r="AH29" s="2421"/>
      <c r="AI29" s="496"/>
      <c r="AJ29" s="496"/>
      <c r="AK29" s="450"/>
      <c r="AL29" s="538"/>
      <c r="AM29" s="538"/>
      <c r="AN29" s="538"/>
      <c r="AO29" s="538"/>
      <c r="AP29" s="538"/>
      <c r="AQ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496"/>
      <c r="AC32" s="2434" t="str">
        <f>IF(TITLE_DATE_PR_CHANGE="",IF(TITLE_DATE_PR="","",TITLE_DATE_PR),TITLE_DATE_PR_CHANGE)</f>
        <v>45646</v>
      </c>
      <c r="AD32" s="2434"/>
      <c r="AE32" s="2434"/>
      <c r="AF32" s="2434"/>
      <c r="AG32" s="2434"/>
      <c r="AH32" s="2434"/>
      <c r="AI32" s="496"/>
      <c r="AJ32" s="496"/>
      <c r="AK32" s="450"/>
      <c r="AL32" s="538"/>
      <c r="AM32" s="538"/>
      <c r="AN32" s="538"/>
      <c r="AO32" s="538"/>
      <c r="AP32" s="538"/>
      <c r="AQ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496"/>
      <c r="AC33" s="2421" t="str">
        <f>IF(TITLE_NUMBER_PR_CHANGE="",IF(TITLE_NUMBER_PR="","",TITLE_NUMBER_PR),TITLE_NUMBER_PR_CHANGE)</f>
        <v>ДГК-01.1/22560</v>
      </c>
      <c r="AD33" s="2421"/>
      <c r="AE33" s="2421"/>
      <c r="AF33" s="2421"/>
      <c r="AG33" s="2421"/>
      <c r="AH33" s="2421"/>
      <c r="AI33" s="496"/>
      <c r="AJ33" s="496"/>
      <c r="AK33" s="450"/>
      <c r="AL33" s="538"/>
      <c r="AM33" s="538"/>
      <c r="AN33" s="538"/>
      <c r="AO33" s="538"/>
      <c r="AP33" s="538"/>
      <c r="AQ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89</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r="38" ht="35.649999999999999" customHeight="1">
      <c r="Q38" s="546"/>
      <c r="R38" s="546"/>
      <c r="S38" s="2443"/>
      <c r="T38" s="2379"/>
      <c r="U38" s="1201"/>
      <c r="V38" s="1622" t="s">
        <v>495</v>
      </c>
      <c r="W38" s="2432" t="s">
        <v>440</v>
      </c>
      <c r="X38" s="2433"/>
      <c r="Y38" s="2432" t="s">
        <v>441</v>
      </c>
      <c r="Z38" s="2439"/>
      <c r="AA38" s="2433"/>
      <c r="AB38" s="2448"/>
      <c r="AC38" s="1622" t="s">
        <v>495</v>
      </c>
      <c r="AD38" s="2432" t="s">
        <v>440</v>
      </c>
      <c r="AE38" s="2433"/>
      <c r="AF38" s="2432" t="s">
        <v>441</v>
      </c>
      <c r="AG38" s="2439"/>
      <c r="AH38" s="2433"/>
      <c r="AI38" s="2448"/>
      <c r="AJ38" s="2451"/>
      <c r="AK38" s="2297"/>
      <c r="AQ38" s="1325">
        <v>34</v>
      </c>
    </row>
    <row r="39" ht="35.649999999999999" customHeight="1">
      <c r="A39" s="1540"/>
      <c r="B39" s="1540" t="s">
        <v>135</v>
      </c>
      <c r="C39" s="1540" t="s">
        <v>136</v>
      </c>
      <c r="D39" s="1540" t="s">
        <v>137</v>
      </c>
      <c r="E39" s="1534" t="s">
        <v>442</v>
      </c>
      <c r="F39" s="1534" t="s">
        <v>443</v>
      </c>
      <c r="G39" s="1534" t="s">
        <v>444</v>
      </c>
      <c r="H39" s="1534"/>
      <c r="I39" s="1534" t="s">
        <v>496</v>
      </c>
      <c r="J39" s="1534" t="s">
        <v>447</v>
      </c>
      <c r="K39" s="1534" t="s">
        <v>497</v>
      </c>
      <c r="L39" s="1534" t="s">
        <v>422</v>
      </c>
      <c r="Q39" s="546"/>
      <c r="R39" s="546"/>
      <c r="S39" s="2443"/>
      <c r="T39" s="2379"/>
      <c r="U39" s="472"/>
      <c r="V39" s="1622" t="s">
        <v>498</v>
      </c>
      <c r="W39" s="1392" t="s">
        <v>499</v>
      </c>
      <c r="X39" s="1392" t="s">
        <v>500</v>
      </c>
      <c r="Y39" s="1625" t="s">
        <v>451</v>
      </c>
      <c r="Z39" s="2440" t="s">
        <v>452</v>
      </c>
      <c r="AA39" s="2441"/>
      <c r="AB39" s="2449"/>
      <c r="AC39" s="1622" t="s">
        <v>498</v>
      </c>
      <c r="AD39" s="1392" t="s">
        <v>499</v>
      </c>
      <c r="AE39" s="1392" t="s">
        <v>500</v>
      </c>
      <c r="AF39" s="1625" t="s">
        <v>451</v>
      </c>
      <c r="AG39" s="2440" t="s">
        <v>452</v>
      </c>
      <c r="AH39" s="2441"/>
      <c r="AI39" s="2449"/>
      <c r="AJ39" s="2452"/>
      <c r="AK39" s="2297"/>
      <c r="AQ39" s="1325">
        <v>34</v>
      </c>
    </row>
    <row r="40" s="9831"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r="41" ht="24" customHeight="1">
      <c r="A41" s="1533" t="s">
        <v>243</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243</v>
      </c>
      <c r="B42" s="1533" t="s">
        <v>244</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243</v>
      </c>
      <c r="B43" s="1533" t="s">
        <v>244</v>
      </c>
      <c r="C43" s="1533" t="s">
        <v>245</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243</v>
      </c>
      <c r="B44" s="1533" t="s">
        <v>244</v>
      </c>
      <c r="C44" s="1533" t="s">
        <v>245</v>
      </c>
      <c r="D44" s="1533" t="s">
        <v>503</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 xml:space="preserve">Наименование признака дифференциации</v>
      </c>
      <c r="AO44" s="670"/>
      <c r="AP44" s="670"/>
      <c r="AQ44" s="1325">
        <v>23</v>
      </c>
    </row>
    <row r="45" ht="24" customHeight="1">
      <c r="A45" s="1533" t="s">
        <v>243</v>
      </c>
      <c r="B45" s="1533" t="s">
        <v>244</v>
      </c>
      <c r="C45" s="1533" t="s">
        <v>245</v>
      </c>
      <c r="D45" s="1533" t="s">
        <v>503</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 xml:space="preserve">Группа потребителей</v>
      </c>
      <c r="AO45" s="670"/>
      <c r="AP45" s="670"/>
      <c r="AQ45" s="1325">
        <v>23</v>
      </c>
    </row>
    <row r="46" ht="24" customHeight="1">
      <c r="A46" s="1533" t="s">
        <v>243</v>
      </c>
      <c r="B46" s="1533" t="s">
        <v>244</v>
      </c>
      <c r="C46" s="1533" t="s">
        <v>245</v>
      </c>
      <c r="D46" s="1533" t="s">
        <v>503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243</v>
      </c>
      <c r="B47" s="1533" t="s">
        <v>244</v>
      </c>
      <c r="C47" s="1533" t="s">
        <v>245</v>
      </c>
      <c r="D47" s="1533" t="s">
        <v>503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243</v>
      </c>
      <c r="B48" s="1533" t="s">
        <v>244</v>
      </c>
      <c r="C48" s="1533" t="s">
        <v>245</v>
      </c>
      <c r="D48" s="1533" t="s">
        <v>503</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 xml:space="preserve">Добавить значение признака дифференциации</v>
      </c>
      <c r="AO48" s="670"/>
      <c r="AP48" s="670"/>
      <c r="AQ48" s="1325">
        <v>20</v>
      </c>
    </row>
    <row r="49" ht="22" customHeight="1">
      <c r="A49" s="1533" t="s">
        <v>243</v>
      </c>
      <c r="B49" s="1533" t="s">
        <v>244</v>
      </c>
      <c r="C49" s="1533" t="s">
        <v>245</v>
      </c>
      <c r="D49" s="1533" t="s">
        <v>503</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243</v>
      </c>
      <c r="B50" s="1533" t="s">
        <v>244</v>
      </c>
      <c r="C50" s="1533" t="s">
        <v>245</v>
      </c>
      <c r="D50" s="1533" t="s">
        <v>503</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9218" customFormat="1" ht="0" customHeight="1">
      <c r="A51" s="1513" t="s">
        <v>243</v>
      </c>
      <c r="B51" s="1513" t="s">
        <v>244</v>
      </c>
      <c r="C51" s="1484"/>
      <c r="D51" s="1484"/>
      <c r="E51" s="2429"/>
      <c r="F51" s="2428"/>
      <c r="G51" s="1484"/>
      <c r="H51" s="1484"/>
      <c r="I51" s="1484"/>
      <c r="J51" s="1484"/>
      <c r="K51" s="1484"/>
      <c r="L51" s="1628"/>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9218" customFormat="1" ht="0" customHeight="1">
      <c r="A52" s="1513" t="s">
        <v>243</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9218" customFormat="1" ht="0" customHeight="1">
      <c r="A53" s="1484"/>
      <c r="B53" s="1484"/>
      <c r="C53" s="1484"/>
      <c r="D53" s="1484"/>
      <c r="E53" s="1513"/>
      <c r="F53" s="1484"/>
      <c r="G53" s="1484"/>
      <c r="H53" s="1484"/>
      <c r="I53" s="1484"/>
      <c r="J53" s="1484"/>
      <c r="K53" s="1484"/>
      <c r="L53" s="1628"/>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90005E-008C-48D5-8106-00E300FA007C}"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8E0061-00A2-44BE-916F-009D009D00C5}"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8400E0-00BC-48C6-8285-009400A40033}"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D80001-008A-4A5C-8CDE-00150081002D}"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4" style="9138" width="24.7109375"/>
    <col customWidth="1" hidden="1" min="25" max="25" style="9138" width="11.7109375"/>
    <col customWidth="1" hidden="1" min="26" max="26" style="9138" width="3.7109375"/>
    <col customWidth="1" hidden="1" min="27" max="27" style="9138" width="11.7109375"/>
    <col customWidth="1" hidden="1" min="28" max="28" style="9138" width="8.57421875"/>
    <col customWidth="1" min="29" max="29" style="9138" width="24.7109375"/>
    <col customWidth="1" min="30" max="31" style="9138" width="24.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487</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488</v>
      </c>
      <c r="AM4" s="670"/>
      <c r="AN4" s="670" t="str">
        <f>IF(T4="","",T4)</f>
        <v xml:space="preserve">Наименование централизованной системы холодного водоснабжения</v>
      </c>
      <c r="AO4" s="670"/>
      <c r="AP4" s="670"/>
      <c r="AQ4" s="1325">
        <v>0</v>
      </c>
    </row>
    <row r="5" ht="23.25" hidden="1" customHeight="1">
      <c r="A5" s="1533"/>
      <c r="B5" s="1533"/>
      <c r="C5" s="1533"/>
      <c r="D5" s="1533"/>
      <c r="E5" s="2429"/>
      <c r="F5" s="2429"/>
      <c r="G5" s="2429"/>
      <c r="H5" s="2429"/>
      <c r="I5" s="2426">
        <f>S4&amp;".1"</f>
      </c>
      <c r="J5" s="1533"/>
      <c r="K5" s="1533"/>
      <c r="L5" s="1534"/>
      <c r="P5" s="2427">
        <v>1</v>
      </c>
      <c r="Q5" s="1620"/>
      <c r="R5" s="526"/>
      <c r="S5" s="1627">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27">
        <f>$J6</f>
      </c>
      <c r="T6" s="456" t="s">
        <v>414</v>
      </c>
      <c r="U6" s="470"/>
      <c r="V6" s="2415"/>
      <c r="W6" s="2416"/>
      <c r="X6" s="2416"/>
      <c r="Y6" s="2416"/>
      <c r="Z6" s="2416"/>
      <c r="AA6" s="2416"/>
      <c r="AB6" s="2417"/>
      <c r="AC6" s="2415"/>
      <c r="AD6" s="2416"/>
      <c r="AE6" s="2416"/>
      <c r="AF6" s="2416"/>
      <c r="AG6" s="2416"/>
      <c r="AH6" s="2416"/>
      <c r="AI6" s="2416"/>
      <c r="AJ6" s="2417"/>
      <c r="AK6" s="1477" t="s">
        <v>491</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20"/>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9218" customFormat="1" ht="14.25" hidden="1" customHeight="1">
      <c r="A12" s="1513"/>
      <c r="B12" s="1513"/>
      <c r="C12" s="1484"/>
      <c r="D12" s="1484"/>
      <c r="E12" s="2429"/>
      <c r="F12" s="2428"/>
      <c r="G12" s="1484"/>
      <c r="H12" s="1484"/>
      <c r="I12" s="1484"/>
      <c r="J12" s="1484"/>
      <c r="K12" s="1484"/>
      <c r="L12" s="1628"/>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67</v>
      </c>
      <c r="AH15" s="2437"/>
      <c r="AI15" s="2438" t="s">
        <v>67</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9217" customFormat="1" ht="22.5" hidden="1" customHeight="1">
      <c r="L18" s="1617"/>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9217" customFormat="1" ht="14.25" hidden="1" customHeight="1">
      <c r="L19" s="1617"/>
      <c r="M19" s="1532"/>
      <c r="N19" s="1532"/>
      <c r="O19" s="1532"/>
      <c r="P19" s="1532"/>
      <c r="Q19" s="1541"/>
      <c r="R19" s="1541"/>
      <c r="S19" s="899"/>
      <c r="AB19" s="1536"/>
      <c r="AI19" s="1536"/>
      <c r="AL19" s="681"/>
      <c r="AM19" s="681"/>
      <c r="AN19" s="681"/>
      <c r="AO19" s="681"/>
      <c r="AP19" s="681"/>
      <c r="AQ19" s="1330">
        <v>0</v>
      </c>
    </row>
    <row r="20" s="9217" customFormat="1" ht="12" hidden="1" customHeight="1">
      <c r="L20" s="1617"/>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IF(TEMPLATE_GROUP="P",PT_P_FORM_COLDVSNA_4_NAME_FORM,PT_R_FORM_COLDVSNA_16_NAME_FORM)</f>
        <v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496"/>
      <c r="AC28" s="2434" t="str">
        <f>IF(TITLE_DATE_PR_CHANGE="",IF(TITLE_DATE_PR="","",TITLE_DATE_PR),TITLE_DATE_PR_CHANGE)</f>
        <v>45646</v>
      </c>
      <c r="AD28" s="2434"/>
      <c r="AE28" s="2434"/>
      <c r="AF28" s="2434"/>
      <c r="AG28" s="2434"/>
      <c r="AH28" s="2434"/>
      <c r="AI28" s="496"/>
      <c r="AJ28" s="496"/>
      <c r="AK28" s="450"/>
      <c r="AL28" s="538"/>
      <c r="AM28" s="538"/>
      <c r="AN28" s="538"/>
      <c r="AO28" s="538"/>
      <c r="AP28" s="538"/>
      <c r="AQ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496"/>
      <c r="AC29" s="2421" t="str">
        <f>IF(TITLE_NUMBER_PR_CHANGE="",IF(TITLE_NUMBER_PR="","",TITLE_NUMBER_PR),TITLE_NUMBER_PR_CHANGE)</f>
        <v>ДГК-01.1/22560</v>
      </c>
      <c r="AD29" s="2421"/>
      <c r="AE29" s="2421"/>
      <c r="AF29" s="2421"/>
      <c r="AG29" s="2421"/>
      <c r="AH29" s="2421"/>
      <c r="AI29" s="496"/>
      <c r="AJ29" s="496"/>
      <c r="AK29" s="450"/>
      <c r="AL29" s="538"/>
      <c r="AM29" s="538"/>
      <c r="AN29" s="538"/>
      <c r="AO29" s="538"/>
      <c r="AP29" s="538"/>
      <c r="AQ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496"/>
      <c r="AC32" s="2434" t="str">
        <f>IF(TITLE_DATE_PR_CHANGE="",IF(TITLE_DATE_PR="","",TITLE_DATE_PR),TITLE_DATE_PR_CHANGE)</f>
        <v>45646</v>
      </c>
      <c r="AD32" s="2434"/>
      <c r="AE32" s="2434"/>
      <c r="AF32" s="2434"/>
      <c r="AG32" s="2434"/>
      <c r="AH32" s="2434"/>
      <c r="AI32" s="496"/>
      <c r="AJ32" s="496"/>
      <c r="AK32" s="450"/>
      <c r="AL32" s="538"/>
      <c r="AM32" s="538"/>
      <c r="AN32" s="538"/>
      <c r="AO32" s="538"/>
      <c r="AP32" s="538"/>
      <c r="AQ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496"/>
      <c r="AC33" s="2421" t="str">
        <f>IF(TITLE_NUMBER_PR_CHANGE="",IF(TITLE_NUMBER_PR="","",TITLE_NUMBER_PR),TITLE_NUMBER_PR_CHANGE)</f>
        <v>ДГК-01.1/22560</v>
      </c>
      <c r="AD33" s="2421"/>
      <c r="AE33" s="2421"/>
      <c r="AF33" s="2421"/>
      <c r="AG33" s="2421"/>
      <c r="AH33" s="2421"/>
      <c r="AI33" s="496"/>
      <c r="AJ33" s="496"/>
      <c r="AK33" s="450"/>
      <c r="AL33" s="538"/>
      <c r="AM33" s="538"/>
      <c r="AN33" s="538"/>
      <c r="AO33" s="538"/>
      <c r="AP33" s="538"/>
      <c r="AQ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89</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r="38" ht="35.649999999999999" customHeight="1">
      <c r="Q38" s="546"/>
      <c r="R38" s="546"/>
      <c r="S38" s="2443"/>
      <c r="T38" s="2379"/>
      <c r="U38" s="1201"/>
      <c r="V38" s="1622" t="s">
        <v>495</v>
      </c>
      <c r="W38" s="2432" t="s">
        <v>440</v>
      </c>
      <c r="X38" s="2433"/>
      <c r="Y38" s="2432" t="s">
        <v>441</v>
      </c>
      <c r="Z38" s="2439"/>
      <c r="AA38" s="2433"/>
      <c r="AB38" s="2448"/>
      <c r="AC38" s="1622" t="s">
        <v>495</v>
      </c>
      <c r="AD38" s="2432" t="s">
        <v>440</v>
      </c>
      <c r="AE38" s="2433"/>
      <c r="AF38" s="2432" t="s">
        <v>441</v>
      </c>
      <c r="AG38" s="2439"/>
      <c r="AH38" s="2433"/>
      <c r="AI38" s="2448"/>
      <c r="AJ38" s="2451"/>
      <c r="AK38" s="2297"/>
      <c r="AQ38" s="1325">
        <v>34</v>
      </c>
    </row>
    <row r="39" ht="35.649999999999999" customHeight="1">
      <c r="A39" s="1540"/>
      <c r="B39" s="1540" t="s">
        <v>135</v>
      </c>
      <c r="C39" s="1540" t="s">
        <v>136</v>
      </c>
      <c r="D39" s="1540" t="s">
        <v>137</v>
      </c>
      <c r="E39" s="1534" t="s">
        <v>442</v>
      </c>
      <c r="F39" s="1534" t="s">
        <v>443</v>
      </c>
      <c r="G39" s="1534" t="s">
        <v>444</v>
      </c>
      <c r="H39" s="1534"/>
      <c r="I39" s="1534" t="s">
        <v>496</v>
      </c>
      <c r="J39" s="1534" t="s">
        <v>447</v>
      </c>
      <c r="K39" s="1534" t="s">
        <v>497</v>
      </c>
      <c r="L39" s="1534" t="s">
        <v>422</v>
      </c>
      <c r="Q39" s="546"/>
      <c r="R39" s="546"/>
      <c r="S39" s="2443"/>
      <c r="T39" s="2379"/>
      <c r="U39" s="472"/>
      <c r="V39" s="1622" t="s">
        <v>498</v>
      </c>
      <c r="W39" s="1392" t="s">
        <v>499</v>
      </c>
      <c r="X39" s="1392" t="s">
        <v>500</v>
      </c>
      <c r="Y39" s="1625" t="s">
        <v>451</v>
      </c>
      <c r="Z39" s="2440" t="s">
        <v>452</v>
      </c>
      <c r="AA39" s="2441"/>
      <c r="AB39" s="2449"/>
      <c r="AC39" s="1622" t="s">
        <v>498</v>
      </c>
      <c r="AD39" s="1392" t="s">
        <v>499</v>
      </c>
      <c r="AE39" s="1392" t="s">
        <v>500</v>
      </c>
      <c r="AF39" s="1625" t="s">
        <v>451</v>
      </c>
      <c r="AG39" s="2440" t="s">
        <v>452</v>
      </c>
      <c r="AH39" s="2441"/>
      <c r="AI39" s="2449"/>
      <c r="AJ39" s="2452"/>
      <c r="AK39" s="2297"/>
      <c r="AQ39" s="1325">
        <v>34</v>
      </c>
    </row>
    <row r="40" s="9831"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r="41" ht="24" customHeight="1">
      <c r="A41" s="1533" t="s">
        <v>248</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248</v>
      </c>
      <c r="B42" s="1533" t="s">
        <v>249</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248</v>
      </c>
      <c r="B43" s="1533" t="s">
        <v>249</v>
      </c>
      <c r="C43" s="1533" t="s">
        <v>250</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487</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488</v>
      </c>
      <c r="AM43" s="670"/>
      <c r="AN43" s="670" t="str">
        <f>IF(T43="","",T43)</f>
        <v xml:space="preserve">Наименование централизованной системы холодного водоснабжения</v>
      </c>
      <c r="AO43" s="670"/>
      <c r="AP43" s="670"/>
      <c r="AQ43" s="1325">
        <v>23</v>
      </c>
    </row>
    <row r="44" ht="24" customHeight="1">
      <c r="A44" s="1533" t="s">
        <v>248</v>
      </c>
      <c r="B44" s="1533" t="s">
        <v>249</v>
      </c>
      <c r="C44" s="1533" t="s">
        <v>250</v>
      </c>
      <c r="D44" s="1533" t="s">
        <v>504</v>
      </c>
      <c r="E44" s="2429"/>
      <c r="F44" s="2429"/>
      <c r="G44" s="2429"/>
      <c r="H44" s="2429"/>
      <c r="I44" s="2426" t="str">
        <f>S43&amp;".1"</f>
        <v>...1</v>
      </c>
      <c r="J44" s="1533"/>
      <c r="K44" s="1533"/>
      <c r="L44" s="1534"/>
      <c r="P44" s="2427">
        <v>1</v>
      </c>
      <c r="Q44" s="1620"/>
      <c r="R44" s="526"/>
      <c r="S44" s="1627"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 xml:space="preserve">Наименование признака дифференциации</v>
      </c>
      <c r="AO44" s="670"/>
      <c r="AP44" s="670"/>
      <c r="AQ44" s="1325">
        <v>23</v>
      </c>
    </row>
    <row r="45" ht="24" customHeight="1">
      <c r="A45" s="1533" t="s">
        <v>248</v>
      </c>
      <c r="B45" s="1533" t="s">
        <v>249</v>
      </c>
      <c r="C45" s="1533" t="s">
        <v>250</v>
      </c>
      <c r="D45" s="1533" t="s">
        <v>504</v>
      </c>
      <c r="E45" s="2429"/>
      <c r="F45" s="2429"/>
      <c r="G45" s="2429"/>
      <c r="H45" s="2429"/>
      <c r="I45" s="2456"/>
      <c r="J45" s="2426" t="str">
        <f>I44&amp;".1"</f>
        <v>...1.1</v>
      </c>
      <c r="K45" s="1533"/>
      <c r="L45" s="1534" t="s">
        <v>413</v>
      </c>
      <c r="P45" s="2427"/>
      <c r="Q45" s="2427">
        <v>1</v>
      </c>
      <c r="R45" s="527"/>
      <c r="S45" s="1627" t="str">
        <f>$J45</f>
        <v>...1.1</v>
      </c>
      <c r="T45" s="456" t="s">
        <v>414</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 xml:space="preserve">Группа потребителей</v>
      </c>
      <c r="AO45" s="670"/>
      <c r="AP45" s="670"/>
      <c r="AQ45" s="1325">
        <v>23</v>
      </c>
    </row>
    <row r="46" ht="24" customHeight="1">
      <c r="A46" s="1533" t="s">
        <v>248</v>
      </c>
      <c r="B46" s="1533" t="s">
        <v>249</v>
      </c>
      <c r="C46" s="1533" t="s">
        <v>250</v>
      </c>
      <c r="D46" s="1533" t="s">
        <v>504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67</v>
      </c>
      <c r="AA46" s="2435"/>
      <c r="AB46" s="2277" t="s">
        <v>67</v>
      </c>
      <c r="AC46" s="921"/>
      <c r="AD46" s="921"/>
      <c r="AE46" s="1427"/>
      <c r="AF46" s="2435"/>
      <c r="AG46" s="2277" t="s">
        <v>67</v>
      </c>
      <c r="AH46" s="2457"/>
      <c r="AI46" s="2277" t="s">
        <v>67</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248</v>
      </c>
      <c r="B47" s="1533" t="s">
        <v>249</v>
      </c>
      <c r="C47" s="1533" t="s">
        <v>250</v>
      </c>
      <c r="D47" s="1533" t="s">
        <v>504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248</v>
      </c>
      <c r="B48" s="1533" t="s">
        <v>249</v>
      </c>
      <c r="C48" s="1533" t="s">
        <v>250</v>
      </c>
      <c r="D48" s="1533" t="s">
        <v>504</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 xml:space="preserve">Добавить значение признака дифференциации</v>
      </c>
      <c r="AO48" s="670"/>
      <c r="AP48" s="670"/>
      <c r="AQ48" s="1325">
        <v>20</v>
      </c>
    </row>
    <row r="49" ht="22" customHeight="1">
      <c r="A49" s="1533" t="s">
        <v>248</v>
      </c>
      <c r="B49" s="1533" t="s">
        <v>249</v>
      </c>
      <c r="C49" s="1533" t="s">
        <v>250</v>
      </c>
      <c r="D49" s="1533" t="s">
        <v>504</v>
      </c>
      <c r="E49" s="2429"/>
      <c r="F49" s="2429"/>
      <c r="G49" s="2429"/>
      <c r="H49" s="2429"/>
      <c r="I49" s="2426"/>
      <c r="J49" s="1533"/>
      <c r="K49" s="1533"/>
      <c r="L49" s="1534"/>
      <c r="P49" s="2427"/>
      <c r="Q49" s="1620"/>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248</v>
      </c>
      <c r="B50" s="1533" t="s">
        <v>249</v>
      </c>
      <c r="C50" s="1533" t="s">
        <v>250</v>
      </c>
      <c r="D50" s="1533" t="s">
        <v>504</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9218" customFormat="1" ht="0" customHeight="1">
      <c r="A51" s="1513" t="s">
        <v>248</v>
      </c>
      <c r="B51" s="1513" t="s">
        <v>249</v>
      </c>
      <c r="C51" s="1484"/>
      <c r="D51" s="1484"/>
      <c r="E51" s="2429"/>
      <c r="F51" s="2428"/>
      <c r="G51" s="1484"/>
      <c r="H51" s="1484"/>
      <c r="I51" s="1484"/>
      <c r="J51" s="1484"/>
      <c r="K51" s="1484"/>
      <c r="L51" s="1628"/>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9218" customFormat="1" ht="0" customHeight="1">
      <c r="A52" s="1513" t="s">
        <v>248</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9218" customFormat="1" ht="0" customHeight="1">
      <c r="A53" s="1484"/>
      <c r="B53" s="1484"/>
      <c r="C53" s="1484"/>
      <c r="D53" s="1484"/>
      <c r="E53" s="1513"/>
      <c r="F53" s="1484"/>
      <c r="G53" s="1484"/>
      <c r="H53" s="1484"/>
      <c r="I53" s="1484"/>
      <c r="J53" s="1484"/>
      <c r="K53" s="1484"/>
      <c r="L53" s="1628"/>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83</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3500EA-00FB-4170-B638-009C00E40084}"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5C00E5-00EF-4D29-9B99-008E00870098}"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6200DF-0059-4635-BED8-007900790094}"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xm:sqref>
        </x14:dataValidation>
        <x14:dataValidation xr:uid="{0002000F-0000-497E-999D-00FF00F400DB}"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defaultRowHeight="14.25" customHeight="1"/>
  <cols>
    <col customWidth="1" hidden="1" min="1" max="3" style="9138" width="10.140625"/>
    <col customWidth="1" hidden="1" min="4" max="4" style="9138" width="11.8515625"/>
    <col customWidth="1" hidden="1" min="5" max="11" style="9138" width="10.140625"/>
    <col customWidth="1" hidden="1" min="12" max="12" style="9215" width="10.140625"/>
    <col customWidth="1" hidden="1" min="13" max="15" style="10313" width="10.140625"/>
    <col customWidth="1" min="16" max="16" style="10312" width="3.00390625"/>
    <col customWidth="1" min="17" max="17" style="10692" width="3.00390625"/>
    <col customWidth="1" min="18" max="18" style="10314" width="3.00390625"/>
    <col customWidth="1" min="19" max="19" style="10315" width="12.00390625"/>
    <col customWidth="1" min="20" max="20" style="9138" width="31.00390625"/>
    <col customWidth="1" min="21" max="21" style="9138" width="0.140625"/>
    <col customWidth="1" hidden="1" min="22" max="23" style="9138" width="21.7109375"/>
    <col customWidth="1" hidden="1" min="24" max="24" style="9138" width="11.7109375"/>
    <col customWidth="1" hidden="1" min="25" max="25" style="9138" width="3.7109375"/>
    <col customWidth="1" hidden="1" min="26" max="26" style="9138" width="11.7109375"/>
    <col customWidth="1" hidden="1" min="27" max="27" style="9138" width="8.57421875"/>
    <col customWidth="1" min="28" max="28" style="9138" width="27.00390625"/>
    <col customWidth="1" min="29" max="29" style="9138" width="24.57421875"/>
    <col customWidth="1" min="30" max="31" style="9138" width="21.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0.75" hidden="1" customHeight="1">
      <c r="AQ1" s="1801" t="s">
        <v>14</v>
      </c>
    </row>
    <row r="2" ht="21" hidden="1" customHeight="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403</v>
      </c>
      <c r="AM2" s="1794"/>
      <c r="AN2" s="1794" t="str">
        <f>IF(T2="","",T2)</f>
        <v xml:space="preserve">Наименование тарифа</v>
      </c>
      <c r="AO2" s="1794"/>
      <c r="AP2" s="1794"/>
      <c r="AQ2" s="1801">
        <v>0</v>
      </c>
    </row>
    <row r="3" ht="21" hidden="1" customHeight="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404</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405</v>
      </c>
      <c r="AM3" s="1794"/>
      <c r="AN3" s="1794" t="str">
        <f>IF(T3="","",T3)</f>
        <v xml:space="preserve">Территория действия тарифа</v>
      </c>
      <c r="AO3" s="1794"/>
      <c r="AP3" s="1794"/>
      <c r="AQ3" s="1801">
        <v>0</v>
      </c>
    </row>
    <row r="4" ht="22.5" hidden="1" customHeight="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406</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407</v>
      </c>
      <c r="AM4" s="1794"/>
      <c r="AN4" s="1794" t="str">
        <f>IF(T4="","",T4)</f>
        <v xml:space="preserve">Наименование системы теплоснабжения</v>
      </c>
      <c r="AO4" s="1794"/>
      <c r="AP4" s="1794"/>
      <c r="AQ4" s="1801">
        <v>0</v>
      </c>
    </row>
    <row r="5" ht="21" hidden="1" customHeight="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408</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409</v>
      </c>
      <c r="AM5" s="1794"/>
      <c r="AN5" s="1794" t="str">
        <f>IF(T5="","",T5)</f>
        <v xml:space="preserve">Источник тепловой энергии</v>
      </c>
      <c r="AO5" s="1794"/>
      <c r="AP5" s="1794"/>
      <c r="AQ5" s="1801">
        <v>0</v>
      </c>
    </row>
    <row r="6" s="9218" customFormat="1" ht="0.75" hidden="1" customHeight="1">
      <c r="A6" s="1545"/>
      <c r="B6" s="1545"/>
      <c r="C6" s="1545"/>
      <c r="D6" s="1545"/>
      <c r="E6" s="2460"/>
      <c r="F6" s="2460"/>
      <c r="G6" s="2460"/>
      <c r="H6" s="2460"/>
      <c r="I6" s="2297">
        <f>S5&amp;".1"</f>
      </c>
      <c r="J6" s="1545"/>
      <c r="K6" s="1545"/>
      <c r="L6" s="1551" t="s">
        <v>410</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r="7" s="9218" customFormat="1" ht="0.75" hidden="1" customHeight="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r="8" ht="21" hidden="1" customHeight="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67</v>
      </c>
      <c r="Z8" s="2162"/>
      <c r="AA8" s="2160" t="s">
        <v>67</v>
      </c>
      <c r="AB8" s="2166"/>
      <c r="AC8" s="2167" t="s">
        <v>28</v>
      </c>
      <c r="AD8" s="921"/>
      <c r="AE8" s="1427"/>
      <c r="AF8" s="2125"/>
      <c r="AG8" s="2112" t="s">
        <v>67</v>
      </c>
      <c r="AH8" s="2125"/>
      <c r="AI8" s="2112" t="s">
        <v>67</v>
      </c>
      <c r="AJ8" s="1518"/>
      <c r="AK8" s="2423" t="s">
        <v>470</v>
      </c>
      <c r="AL8" s="1806">
        <f>STRCHECKDATE(#REF!)</f>
      </c>
      <c r="AM8" s="1794"/>
      <c r="AN8" s="1794" t="str">
        <f>IF(T8="","",T8)</f>
        <v/>
      </c>
      <c r="AO8" s="1794"/>
      <c r="AP8" s="1794"/>
      <c r="AQ8" s="1801">
        <v>0</v>
      </c>
    </row>
    <row r="9" ht="11.25" hidden="1" customHeight="1">
      <c r="A9" s="1437"/>
      <c r="B9" s="1437"/>
      <c r="C9" s="1437"/>
      <c r="D9" s="1437"/>
      <c r="E9" s="2460"/>
      <c r="F9" s="2460"/>
      <c r="G9" s="2460"/>
      <c r="H9" s="2460"/>
      <c r="I9" s="2271"/>
      <c r="J9" s="2297"/>
      <c r="K9" s="1437"/>
      <c r="L9" s="1480"/>
      <c r="P9" s="2427"/>
      <c r="Q9" s="2427"/>
      <c r="R9" s="526"/>
      <c r="S9" s="1448"/>
      <c r="T9" s="457" t="s">
        <v>474</v>
      </c>
      <c r="U9" s="770"/>
      <c r="V9" s="770"/>
      <c r="W9" s="770"/>
      <c r="X9" s="770"/>
      <c r="Y9" s="770"/>
      <c r="Z9" s="770"/>
      <c r="AA9" s="770"/>
      <c r="AB9" s="770"/>
      <c r="AC9" s="770"/>
      <c r="AD9" s="770"/>
      <c r="AE9" s="770"/>
      <c r="AF9" s="770"/>
      <c r="AG9" s="770"/>
      <c r="AH9" s="770"/>
      <c r="AI9" s="770"/>
      <c r="AJ9" s="494"/>
      <c r="AK9" s="2425"/>
      <c r="AM9" s="1794"/>
      <c r="AN9" s="1794" t="str">
        <f>IF(T9="","",T9)</f>
        <v xml:space="preserve">Добавить строку</v>
      </c>
      <c r="AO9" s="1794"/>
      <c r="AP9" s="1794"/>
      <c r="AQ9" s="1801">
        <v>0</v>
      </c>
    </row>
    <row r="10" s="9218" customFormat="1" ht="0.75" hidden="1" customHeight="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r="11" s="9218" customFormat="1" ht="0.75" hidden="1" customHeight="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r="12" s="9218" customFormat="1" ht="0.75" hidden="1" customHeight="1">
      <c r="A12" s="1545"/>
      <c r="B12" s="1545"/>
      <c r="C12" s="1545"/>
      <c r="D12" s="1544"/>
      <c r="E12" s="2460"/>
      <c r="F12" s="2460"/>
      <c r="G12" s="2459"/>
      <c r="H12" s="1544"/>
      <c r="I12" s="1544"/>
      <c r="J12" s="1544"/>
      <c r="K12" s="1544"/>
      <c r="L12" s="1547"/>
      <c r="M12" s="1548"/>
      <c r="N12" s="1548"/>
      <c r="O12" s="521"/>
      <c r="P12" s="1486"/>
      <c r="Q12" s="1487"/>
      <c r="R12" s="1486"/>
      <c r="S12" s="1492"/>
      <c r="T12" s="1495" t="s">
        <v>163</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 xml:space="preserve">Добавить источник для дифференциации</v>
      </c>
      <c r="AO12" s="1421"/>
      <c r="AP12" s="1421"/>
      <c r="AQ12" s="1812">
        <v>0</v>
      </c>
    </row>
    <row r="13" s="9218" customFormat="1" ht="0.75" hidden="1" customHeight="1">
      <c r="A13" s="1545"/>
      <c r="B13" s="1545"/>
      <c r="C13" s="1544"/>
      <c r="D13" s="1544"/>
      <c r="E13" s="2460"/>
      <c r="F13" s="2459"/>
      <c r="G13" s="1544"/>
      <c r="H13" s="1544"/>
      <c r="I13" s="1544"/>
      <c r="J13" s="1544"/>
      <c r="K13" s="1544"/>
      <c r="L13" s="1547"/>
      <c r="M13" s="1549"/>
      <c r="N13" s="1549"/>
      <c r="O13" s="521"/>
      <c r="P13" s="1486"/>
      <c r="Q13" s="1487"/>
      <c r="R13" s="1486"/>
      <c r="S13" s="1492"/>
      <c r="T13" s="1495" t="s">
        <v>164</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 xml:space="preserve">Добавить централизованную систему для дифференциации</v>
      </c>
      <c r="AO13" s="1421"/>
      <c r="AP13" s="1421"/>
      <c r="AQ13" s="1812">
        <v>0</v>
      </c>
    </row>
    <row r="14" s="9218" customFormat="1" ht="0.75" hidden="1" customHeight="1">
      <c r="A14" s="1545"/>
      <c r="B14" s="1545"/>
      <c r="C14" s="1545"/>
      <c r="D14" s="1545"/>
      <c r="E14" s="2459"/>
      <c r="F14" s="1545"/>
      <c r="G14" s="1545"/>
      <c r="H14" s="1545"/>
      <c r="I14" s="1545"/>
      <c r="J14" s="1545"/>
      <c r="K14" s="1545"/>
      <c r="L14" s="1551"/>
      <c r="M14" s="1549"/>
      <c r="N14" s="1549"/>
      <c r="O14" s="521"/>
      <c r="P14" s="550"/>
      <c r="Q14" s="1514"/>
      <c r="R14" s="550"/>
      <c r="S14" s="1492"/>
      <c r="T14" s="1495" t="s">
        <v>165</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 xml:space="preserve">Добавить территорию для дифференциации</v>
      </c>
      <c r="AO14" s="1794"/>
      <c r="AP14" s="1794"/>
      <c r="AQ14" s="1806">
        <v>0</v>
      </c>
    </row>
    <row r="15" ht="14.25" hidden="1" customHeight="1">
      <c r="AQ15" s="1801">
        <v>0</v>
      </c>
    </row>
    <row r="16" ht="14.25" hidden="1" customHeight="1">
      <c r="AC16" s="1672"/>
      <c r="AD16" s="1573"/>
      <c r="AE16" s="1574"/>
      <c r="AF16" s="1906"/>
      <c r="AG16" s="2136" t="s">
        <v>67</v>
      </c>
      <c r="AH16" s="1906"/>
      <c r="AI16" s="2136" t="s">
        <v>67</v>
      </c>
      <c r="AQ16" s="1801">
        <v>0</v>
      </c>
    </row>
    <row r="17" ht="14.25" hidden="1" customHeight="1">
      <c r="AL17" s="1811"/>
      <c r="AM17" s="1811"/>
      <c r="AN17" s="1811"/>
      <c r="AO17" s="1811"/>
      <c r="AP17" s="1811"/>
      <c r="AQ17" s="1801">
        <v>0</v>
      </c>
    </row>
    <row r="18" ht="14.25" hidden="1" customHeight="1">
      <c r="O18" s="1515" t="s">
        <v>421</v>
      </c>
      <c r="X18" s="1515"/>
      <c r="Z18" s="1515"/>
      <c r="AF18" s="1515"/>
      <c r="AH18" s="1515"/>
      <c r="AL18" s="1811"/>
      <c r="AM18" s="1811"/>
      <c r="AN18" s="1811"/>
      <c r="AO18" s="1811"/>
      <c r="AP18" s="1811"/>
      <c r="AQ18" s="1801">
        <v>0</v>
      </c>
    </row>
    <row r="19" ht="14.25" hidden="1" customHeight="1">
      <c r="AL19" s="1811"/>
      <c r="AM19" s="1811"/>
      <c r="AN19" s="1811"/>
      <c r="AO19" s="1811"/>
      <c r="AP19" s="1811"/>
      <c r="AQ19" s="1801">
        <v>0</v>
      </c>
    </row>
    <row r="20" s="10663" customFormat="1" ht="14.25" hidden="1" customHeight="1">
      <c r="A20" s="2141"/>
      <c r="B20" s="2141"/>
      <c r="C20" s="2141"/>
      <c r="D20" s="2141"/>
      <c r="E20" s="2141"/>
      <c r="F20" s="2141"/>
      <c r="G20" s="2141"/>
      <c r="H20" s="2141"/>
      <c r="I20" s="2141"/>
      <c r="J20" s="2141"/>
      <c r="K20" s="2141"/>
      <c r="L20" s="2141"/>
      <c r="M20" s="2142"/>
      <c r="N20" s="2142"/>
      <c r="O20" s="2143" t="s">
        <v>422</v>
      </c>
      <c r="P20" s="1678"/>
      <c r="Q20" s="1680"/>
      <c r="R20" s="1680"/>
      <c r="Y20" s="1677" t="s">
        <v>424</v>
      </c>
      <c r="AA20" s="1677" t="s">
        <v>425</v>
      </c>
      <c r="AC20" s="1677" t="s">
        <v>476</v>
      </c>
      <c r="AG20" s="1677" t="s">
        <v>424</v>
      </c>
      <c r="AI20" s="1677" t="s">
        <v>425</v>
      </c>
      <c r="AL20" s="1681"/>
      <c r="AM20" s="1681"/>
      <c r="AN20" s="1681"/>
      <c r="AO20" s="1681"/>
      <c r="AP20" s="1681"/>
      <c r="AQ20" s="1677">
        <v>0</v>
      </c>
    </row>
    <row r="21" ht="14.25" hidden="1" customHeight="1">
      <c r="O21" s="1480"/>
      <c r="AL21" s="1811"/>
      <c r="AM21" s="1811"/>
      <c r="AN21" s="1811"/>
      <c r="AO21" s="1811"/>
      <c r="AP21" s="1811"/>
      <c r="AQ21" s="1801">
        <v>0</v>
      </c>
    </row>
    <row r="22" ht="14.25" hidden="1" customHeight="1">
      <c r="O22" s="1480"/>
      <c r="AL22" s="1811"/>
      <c r="AM22" s="1811"/>
      <c r="AN22" s="1811"/>
      <c r="AO22" s="1811"/>
      <c r="AP22" s="1811"/>
      <c r="AQ22" s="1801">
        <v>0</v>
      </c>
    </row>
    <row r="23" ht="14.65" customHeight="1">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r="24" ht="39.75" customHeight="1">
      <c r="Q24" s="461"/>
      <c r="R24" s="546"/>
      <c r="S24" s="2418" t="str">
        <f>IF(TEMPLATE_GROUP="P",PT_P_FORM_HEAT_7_NAME_FORM,PT_R_FORM_HEAT_24_NAME_FORM)</f>
        <v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r="25" ht="14.65" customHeight="1">
      <c r="Q25" s="461"/>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801">
        <v>14</v>
      </c>
    </row>
    <row r="26" ht="14.25" hidden="1" customHeight="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r="27" s="9344" customFormat="1" ht="25.5" hidden="1" customHeight="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r="28" s="9344" customFormat="1" ht="18.75" hidden="1" customHeight="1">
      <c r="A28" s="1418"/>
      <c r="B28" s="1418"/>
      <c r="C28" s="1418"/>
      <c r="D28" s="1418"/>
      <c r="E28" s="1418"/>
      <c r="F28" s="1418"/>
      <c r="G28" s="1418"/>
      <c r="H28" s="1418"/>
      <c r="I28" s="1418"/>
      <c r="J28" s="1418"/>
      <c r="K28" s="1418"/>
      <c r="L28" s="1550"/>
      <c r="M28" s="1418"/>
      <c r="N28" s="1418"/>
      <c r="O28" s="1418"/>
      <c r="P28" s="1538"/>
      <c r="Q28" s="1538"/>
      <c r="S28" s="2420" t="s">
        <v>427</v>
      </c>
      <c r="T28" s="2420"/>
      <c r="U28" s="1542"/>
      <c r="V28" s="2434" t="str">
        <f>IF(TITLE_DATE_PR_CHANGE="",IF(TITLE_DATE_PR="","",TITLE_DATE_PR),TITLE_DATE_PR_CHANGE)</f>
        <v>45646</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r="29" s="9344" customFormat="1" ht="18.75" hidden="1" customHeight="1">
      <c r="A29" s="1418"/>
      <c r="B29" s="1418"/>
      <c r="C29" s="1418"/>
      <c r="D29" s="1418"/>
      <c r="E29" s="1418"/>
      <c r="F29" s="1418"/>
      <c r="G29" s="1418"/>
      <c r="H29" s="1418"/>
      <c r="I29" s="1418"/>
      <c r="J29" s="1418"/>
      <c r="K29" s="1418"/>
      <c r="L29" s="1550"/>
      <c r="M29" s="1418"/>
      <c r="N29" s="1418"/>
      <c r="O29" s="1418"/>
      <c r="P29" s="1538"/>
      <c r="Q29" s="1538"/>
      <c r="S29" s="2420" t="s">
        <v>428</v>
      </c>
      <c r="T29" s="2420"/>
      <c r="U29" s="1542"/>
      <c r="V29" s="2421" t="str">
        <f>IF(TITLE_NUMBER_PR_CHANGE="",IF(TITLE_NUMBER_PR="","",TITLE_NUMBER_PR),TITLE_NUMBER_PR_CHANGE)</f>
        <v>ДГК-01.1/22560</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r="30" s="9344" customFormat="1" ht="18.75" hidden="1" customHeight="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r="31" ht="14.25" hidden="1" customHeight="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r="32" s="9344" customFormat="1" ht="18.75" hidden="1" customHeight="1">
      <c r="A32" s="1418"/>
      <c r="B32" s="1418"/>
      <c r="C32" s="1418"/>
      <c r="D32" s="1418"/>
      <c r="E32" s="1418"/>
      <c r="F32" s="1418"/>
      <c r="G32" s="1418"/>
      <c r="H32" s="1418"/>
      <c r="I32" s="1418"/>
      <c r="J32" s="1418"/>
      <c r="K32" s="1418"/>
      <c r="L32" s="1550"/>
      <c r="M32" s="1418"/>
      <c r="N32" s="1418"/>
      <c r="O32" s="1418"/>
      <c r="P32" s="1538"/>
      <c r="Q32" s="1538"/>
      <c r="S32" s="2420" t="s">
        <v>427</v>
      </c>
      <c r="T32" s="2420"/>
      <c r="U32" s="1542"/>
      <c r="V32" s="2434" t="str">
        <f>IF(TITLE_DATE_PR_CHANGE="",IF(TITLE_DATE_PR="","",TITLE_DATE_PR),TITLE_DATE_PR_CHANGE)</f>
        <v>45646</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r="33" s="9344" customFormat="1" ht="18" hidden="1" customHeight="1">
      <c r="A33" s="1418"/>
      <c r="B33" s="1418"/>
      <c r="C33" s="1418"/>
      <c r="D33" s="1418"/>
      <c r="E33" s="1418"/>
      <c r="F33" s="1418"/>
      <c r="G33" s="1418"/>
      <c r="H33" s="1418"/>
      <c r="I33" s="1418"/>
      <c r="J33" s="1418"/>
      <c r="K33" s="1418"/>
      <c r="L33" s="1550"/>
      <c r="M33" s="1418"/>
      <c r="N33" s="1418"/>
      <c r="O33" s="1418"/>
      <c r="P33" s="1538"/>
      <c r="Q33" s="1538"/>
      <c r="S33" s="2420" t="s">
        <v>428</v>
      </c>
      <c r="T33" s="2420"/>
      <c r="U33" s="1542"/>
      <c r="V33" s="2421" t="str">
        <f>IF(TITLE_NUMBER_PR_CHANGE="",IF(TITLE_NUMBER_PR="","",TITLE_NUMBER_PR),TITLE_NUMBER_PR_CHANGE)</f>
        <v>ДГК-01.1/22560</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r="34" s="9344" customFormat="1" ht="1.05" customHeight="1">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431</v>
      </c>
      <c r="AB34" s="1812"/>
      <c r="AC34" s="1805"/>
      <c r="AD34" s="1805"/>
      <c r="AE34" s="1805"/>
      <c r="AF34" s="1805"/>
      <c r="AG34" s="1805"/>
      <c r="AH34" s="1805"/>
      <c r="AI34" s="1812" t="s">
        <v>431</v>
      </c>
      <c r="AL34" s="538"/>
      <c r="AM34" s="538"/>
      <c r="AN34" s="538"/>
      <c r="AO34" s="538"/>
      <c r="AP34" s="538"/>
      <c r="AQ34" s="588">
        <v>1</v>
      </c>
    </row>
    <row r="35" ht="14.65" customHeight="1">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r="36" ht="14.65" customHeight="1">
      <c r="Q36" s="461"/>
      <c r="R36" s="546"/>
      <c r="S36" s="2297" t="s">
        <v>307</v>
      </c>
      <c r="T36" s="2297"/>
      <c r="U36" s="2297"/>
      <c r="V36" s="2297"/>
      <c r="W36" s="2297"/>
      <c r="X36" s="2297"/>
      <c r="Y36" s="2297"/>
      <c r="Z36" s="2297"/>
      <c r="AA36" s="2345"/>
      <c r="AB36" s="2345"/>
      <c r="AC36" s="2345"/>
      <c r="AD36" s="2297"/>
      <c r="AE36" s="2297"/>
      <c r="AF36" s="2297"/>
      <c r="AG36" s="2297"/>
      <c r="AH36" s="2297"/>
      <c r="AI36" s="2297"/>
      <c r="AJ36" s="2297"/>
      <c r="AK36" s="2297" t="s">
        <v>308</v>
      </c>
      <c r="AQ36" s="1801">
        <v>14</v>
      </c>
    </row>
    <row r="37" ht="14.65" customHeight="1">
      <c r="Q37" s="461"/>
      <c r="R37" s="546"/>
      <c r="S37" s="2443" t="s">
        <v>89</v>
      </c>
      <c r="T37" s="2379" t="s">
        <v>505</v>
      </c>
      <c r="U37" s="507"/>
      <c r="V37" s="2445"/>
      <c r="W37" s="2445"/>
      <c r="X37" s="2445"/>
      <c r="Y37" s="2445"/>
      <c r="Z37" s="2445"/>
      <c r="AA37" s="2379" t="s">
        <v>435</v>
      </c>
      <c r="AB37" s="2378" t="s">
        <v>506</v>
      </c>
      <c r="AC37" s="2378" t="s">
        <v>480</v>
      </c>
      <c r="AD37" s="2461" t="s">
        <v>434</v>
      </c>
      <c r="AE37" s="2461"/>
      <c r="AF37" s="2445"/>
      <c r="AG37" s="2445"/>
      <c r="AH37" s="2446"/>
      <c r="AI37" s="2447" t="s">
        <v>435</v>
      </c>
      <c r="AJ37" s="2450" t="s">
        <v>437</v>
      </c>
      <c r="AK37" s="2297"/>
      <c r="AQ37" s="1801">
        <v>14</v>
      </c>
    </row>
    <row r="38" ht="35.649999999999999" customHeight="1">
      <c r="Q38" s="461"/>
      <c r="R38" s="546"/>
      <c r="S38" s="2443"/>
      <c r="T38" s="2379"/>
      <c r="U38" s="1201"/>
      <c r="V38" s="2273" t="s">
        <v>483</v>
      </c>
      <c r="W38" s="2297"/>
      <c r="X38" s="2464" t="s">
        <v>441</v>
      </c>
      <c r="Y38" s="2483"/>
      <c r="Z38" s="2483"/>
      <c r="AA38" s="2379"/>
      <c r="AB38" s="2378"/>
      <c r="AC38" s="2378"/>
      <c r="AD38" s="2273" t="s">
        <v>483</v>
      </c>
      <c r="AE38" s="2297"/>
      <c r="AF38" s="2483" t="s">
        <v>441</v>
      </c>
      <c r="AG38" s="2483"/>
      <c r="AH38" s="2484"/>
      <c r="AI38" s="2448"/>
      <c r="AJ38" s="2451"/>
      <c r="AK38" s="2297"/>
      <c r="AQ38" s="1801">
        <v>34</v>
      </c>
    </row>
    <row r="39" ht="14.65" customHeight="1">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r="40" ht="14.65" customHeight="1">
      <c r="A40" s="1436"/>
      <c r="B40" s="1436" t="s">
        <v>135</v>
      </c>
      <c r="C40" s="1436" t="s">
        <v>136</v>
      </c>
      <c r="D40" s="1436" t="s">
        <v>137</v>
      </c>
      <c r="E40" s="1480" t="s">
        <v>442</v>
      </c>
      <c r="F40" s="1480" t="s">
        <v>443</v>
      </c>
      <c r="G40" s="1480" t="s">
        <v>444</v>
      </c>
      <c r="H40" s="1480" t="s">
        <v>445</v>
      </c>
      <c r="I40" s="1480" t="s">
        <v>446</v>
      </c>
      <c r="J40" s="1480" t="s">
        <v>447</v>
      </c>
      <c r="K40" s="1480" t="s">
        <v>448</v>
      </c>
      <c r="L40" s="1480" t="s">
        <v>422</v>
      </c>
      <c r="Q40" s="461"/>
      <c r="R40" s="546"/>
      <c r="S40" s="2443"/>
      <c r="T40" s="2379"/>
      <c r="U40" s="472"/>
      <c r="V40" s="2120" t="s">
        <v>484</v>
      </c>
      <c r="W40" s="2120" t="s">
        <v>485</v>
      </c>
      <c r="X40" s="2108" t="s">
        <v>451</v>
      </c>
      <c r="Y40" s="2440" t="s">
        <v>452</v>
      </c>
      <c r="Z40" s="2490"/>
      <c r="AA40" s="2379"/>
      <c r="AB40" s="2378"/>
      <c r="AC40" s="2378"/>
      <c r="AD40" s="2138" t="s">
        <v>484</v>
      </c>
      <c r="AE40" s="2129" t="s">
        <v>485</v>
      </c>
      <c r="AF40" s="2108" t="s">
        <v>451</v>
      </c>
      <c r="AG40" s="2440" t="s">
        <v>452</v>
      </c>
      <c r="AH40" s="2441"/>
      <c r="AI40" s="2449"/>
      <c r="AJ40" s="2452"/>
      <c r="AK40" s="2297"/>
      <c r="AQ40" s="1801">
        <v>14</v>
      </c>
    </row>
    <row r="41" s="9831" customFormat="1" ht="11.25" hidden="1" customHeight="1">
      <c r="A41" s="1436"/>
      <c r="B41" s="1436"/>
      <c r="C41" s="1436"/>
      <c r="D41" s="1436"/>
      <c r="E41" s="1436"/>
      <c r="F41" s="1436"/>
      <c r="G41" s="1436"/>
      <c r="H41" s="1436"/>
      <c r="I41" s="1436"/>
      <c r="J41" s="1436"/>
      <c r="K41" s="1436"/>
      <c r="L41" s="1480"/>
      <c r="M41" s="2135"/>
      <c r="N41" s="2135"/>
      <c r="O41" s="2135"/>
      <c r="P41" s="680"/>
      <c r="Q41" s="1424"/>
      <c r="R41" s="1424">
        <v>1</v>
      </c>
      <c r="S41" s="1447" t="s">
        <v>110</v>
      </c>
      <c r="T41" s="1425" t="s">
        <v>111</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r="42" ht="107.25" customHeight="1">
      <c r="A42" s="1437" t="s">
        <v>213</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 xml:space="preserve">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 xml:space="preserve">Наименование тарифа</v>
      </c>
      <c r="AO42" s="1794"/>
      <c r="AP42" s="1794"/>
      <c r="AQ42" s="1801">
        <v>102</v>
      </c>
    </row>
    <row r="43" ht="22" customHeight="1">
      <c r="A43" s="1437" t="s">
        <v>213</v>
      </c>
      <c r="B43" s="1437" t="s">
        <v>214</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404</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405</v>
      </c>
      <c r="AM43" s="1794"/>
      <c r="AN43" s="1794" t="str">
        <f>IF(T43="","",T43)</f>
        <v xml:space="preserve">Территория действия тарифа</v>
      </c>
      <c r="AO43" s="1794"/>
      <c r="AP43" s="1794"/>
      <c r="AQ43" s="1801">
        <v>21</v>
      </c>
    </row>
    <row r="44" ht="24" customHeight="1">
      <c r="A44" s="1437" t="s">
        <v>213</v>
      </c>
      <c r="B44" s="1437" t="s">
        <v>214</v>
      </c>
      <c r="C44" s="1437" t="s">
        <v>215</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406</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407</v>
      </c>
      <c r="AM44" s="1794"/>
      <c r="AN44" s="1794" t="str">
        <f>IF(T44="","",T44)</f>
        <v xml:space="preserve">Наименование системы теплоснабжения</v>
      </c>
      <c r="AO44" s="1794"/>
      <c r="AP44" s="1794"/>
      <c r="AQ44" s="1801">
        <v>23</v>
      </c>
    </row>
    <row r="45" ht="22" customHeight="1">
      <c r="A45" s="1437" t="s">
        <v>213</v>
      </c>
      <c r="B45" s="1437" t="s">
        <v>214</v>
      </c>
      <c r="C45" s="1437" t="s">
        <v>215</v>
      </c>
      <c r="D45" s="1437" t="s">
        <v>216</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408</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409</v>
      </c>
      <c r="AM45" s="1794"/>
      <c r="AN45" s="1794" t="str">
        <f>IF(T45="","",T45)</f>
        <v xml:space="preserve">Источник тепловой энергии</v>
      </c>
      <c r="AO45" s="1794"/>
      <c r="AP45" s="1794"/>
      <c r="AQ45" s="1801">
        <v>21</v>
      </c>
    </row>
    <row r="46" s="9218" customFormat="1" ht="0" customHeight="1">
      <c r="A46" s="1545" t="s">
        <v>213</v>
      </c>
      <c r="B46" s="1545" t="s">
        <v>214</v>
      </c>
      <c r="C46" s="1545" t="s">
        <v>215</v>
      </c>
      <c r="D46" s="1545" t="s">
        <v>216</v>
      </c>
      <c r="E46" s="2460"/>
      <c r="F46" s="2460"/>
      <c r="G46" s="2460"/>
      <c r="H46" s="2460"/>
      <c r="I46" s="2297" t="str">
        <f>S45&amp;".1"</f>
        <v>....1</v>
      </c>
      <c r="J46" s="1545"/>
      <c r="K46" s="1545"/>
      <c r="L46" s="1551" t="s">
        <v>410</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r="47" s="9218" customFormat="1" ht="0" customHeight="1">
      <c r="A47" s="1545" t="s">
        <v>213</v>
      </c>
      <c r="B47" s="1545" t="s">
        <v>214</v>
      </c>
      <c r="C47" s="1545" t="s">
        <v>215</v>
      </c>
      <c r="D47" s="1545" t="s">
        <v>216</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r="48" ht="22" customHeight="1">
      <c r="A48" s="1437" t="s">
        <v>213</v>
      </c>
      <c r="B48" s="1437" t="s">
        <v>214</v>
      </c>
      <c r="C48" s="1437" t="s">
        <v>215</v>
      </c>
      <c r="D48" s="1437" t="s">
        <v>216</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67</v>
      </c>
      <c r="Z48" s="2125"/>
      <c r="AA48" s="2112" t="s">
        <v>67</v>
      </c>
      <c r="AB48" s="2134"/>
      <c r="AC48" s="2133" t="s">
        <v>28</v>
      </c>
      <c r="AD48" s="921"/>
      <c r="AE48" s="1427"/>
      <c r="AF48" s="2125"/>
      <c r="AG48" s="2112" t="s">
        <v>67</v>
      </c>
      <c r="AH48" s="2125"/>
      <c r="AI48" s="2112" t="s">
        <v>67</v>
      </c>
      <c r="AJ48" s="1518"/>
      <c r="AK48" s="2423" t="s">
        <v>486</v>
      </c>
      <c r="AL48" s="1806">
        <f>STRCHECKDATE(#REF!)</f>
      </c>
      <c r="AM48" s="1794"/>
      <c r="AN48" s="1794" t="str">
        <f>IF(T48="","",T48)</f>
        <v/>
      </c>
      <c r="AO48" s="1794"/>
      <c r="AP48" s="1794"/>
      <c r="AQ48" s="1801">
        <v>21</v>
      </c>
    </row>
    <row r="49" ht="11.5" customHeight="1">
      <c r="A49" s="1437" t="s">
        <v>213</v>
      </c>
      <c r="B49" s="1437" t="s">
        <v>214</v>
      </c>
      <c r="C49" s="1437" t="s">
        <v>215</v>
      </c>
      <c r="D49" s="1437" t="s">
        <v>216</v>
      </c>
      <c r="E49" s="2460"/>
      <c r="F49" s="2460"/>
      <c r="G49" s="2460"/>
      <c r="H49" s="2460"/>
      <c r="I49" s="2271"/>
      <c r="J49" s="2297"/>
      <c r="K49" s="1437"/>
      <c r="L49" s="1480"/>
      <c r="P49" s="2427"/>
      <c r="Q49" s="2427"/>
      <c r="R49" s="526"/>
      <c r="S49" s="1448"/>
      <c r="T49" s="457" t="s">
        <v>474</v>
      </c>
      <c r="U49" s="770"/>
      <c r="V49" s="770"/>
      <c r="W49" s="770"/>
      <c r="X49" s="770"/>
      <c r="Y49" s="770"/>
      <c r="Z49" s="770"/>
      <c r="AA49" s="494"/>
      <c r="AB49" s="770"/>
      <c r="AC49" s="770"/>
      <c r="AD49" s="770"/>
      <c r="AE49" s="770"/>
      <c r="AF49" s="770"/>
      <c r="AG49" s="770"/>
      <c r="AH49" s="770"/>
      <c r="AI49" s="770"/>
      <c r="AJ49" s="494"/>
      <c r="AK49" s="2425"/>
      <c r="AM49" s="1794"/>
      <c r="AN49" s="1794" t="str">
        <f>IF(T49="","",T49)</f>
        <v xml:space="preserve">Добавить строку</v>
      </c>
      <c r="AO49" s="1794"/>
      <c r="AP49" s="1794"/>
      <c r="AQ49" s="1801">
        <v>11</v>
      </c>
    </row>
    <row r="50" s="9218" customFormat="1" ht="1.05" customHeight="1">
      <c r="A50" s="1545" t="s">
        <v>213</v>
      </c>
      <c r="B50" s="1545" t="s">
        <v>214</v>
      </c>
      <c r="C50" s="1545" t="s">
        <v>215</v>
      </c>
      <c r="D50" s="1545" t="s">
        <v>216</v>
      </c>
      <c r="E50" s="2460"/>
      <c r="F50" s="2460"/>
      <c r="G50" s="2460"/>
      <c r="H50" s="2460"/>
      <c r="I50" s="2297"/>
      <c r="J50" s="1545"/>
      <c r="K50" s="1545"/>
      <c r="L50" s="1551"/>
      <c r="M50" s="1416"/>
      <c r="N50" s="1416"/>
      <c r="O50" s="1416"/>
      <c r="P50" s="2427"/>
      <c r="Q50" s="2124"/>
      <c r="R50" s="526"/>
      <c r="S50" s="1556"/>
      <c r="T50" s="1557" t="s">
        <v>419</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 xml:space="preserve">Добавить группу потребителей</v>
      </c>
      <c r="AO50" s="1794"/>
      <c r="AP50" s="1794"/>
      <c r="AQ50" s="1806">
        <v>1</v>
      </c>
    </row>
    <row r="51" s="9831" customFormat="1" ht="1.05" customHeight="1">
      <c r="A51" s="1545" t="s">
        <v>213</v>
      </c>
      <c r="B51" s="1545" t="s">
        <v>214</v>
      </c>
      <c r="C51" s="1545" t="s">
        <v>215</v>
      </c>
      <c r="D51" s="1545" t="s">
        <v>216</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r="52" s="9218" customFormat="1" ht="1.05" customHeight="1">
      <c r="A52" s="1545" t="s">
        <v>213</v>
      </c>
      <c r="B52" s="1545" t="s">
        <v>214</v>
      </c>
      <c r="C52" s="1545" t="s">
        <v>215</v>
      </c>
      <c r="D52" s="1544"/>
      <c r="E52" s="2460"/>
      <c r="F52" s="2460"/>
      <c r="G52" s="2459"/>
      <c r="H52" s="1544"/>
      <c r="I52" s="1544"/>
      <c r="J52" s="1544"/>
      <c r="K52" s="1544"/>
      <c r="L52" s="1547"/>
      <c r="M52" s="1548"/>
      <c r="N52" s="1548"/>
      <c r="O52" s="521"/>
      <c r="P52" s="1486"/>
      <c r="Q52" s="1487"/>
      <c r="R52" s="1486"/>
      <c r="S52" s="1492"/>
      <c r="T52" s="1495" t="s">
        <v>163</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 xml:space="preserve">Добавить источник для дифференциации</v>
      </c>
      <c r="AO52" s="1421"/>
      <c r="AP52" s="1421"/>
      <c r="AQ52" s="1812">
        <v>1</v>
      </c>
    </row>
    <row r="53" s="9218" customFormat="1" ht="1.05" customHeight="1">
      <c r="A53" s="1545" t="s">
        <v>213</v>
      </c>
      <c r="B53" s="1545" t="s">
        <v>214</v>
      </c>
      <c r="C53" s="1544"/>
      <c r="D53" s="1544"/>
      <c r="E53" s="2460"/>
      <c r="F53" s="2459"/>
      <c r="G53" s="1544"/>
      <c r="H53" s="1544"/>
      <c r="I53" s="1544"/>
      <c r="J53" s="1544"/>
      <c r="K53" s="1544"/>
      <c r="L53" s="1547"/>
      <c r="M53" s="1549"/>
      <c r="N53" s="1549"/>
      <c r="O53" s="521"/>
      <c r="P53" s="1486"/>
      <c r="Q53" s="1487"/>
      <c r="R53" s="1486"/>
      <c r="S53" s="1492"/>
      <c r="T53" s="1495" t="s">
        <v>164</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 xml:space="preserve">Добавить централизованную систему для дифференциации</v>
      </c>
      <c r="AO53" s="1421"/>
      <c r="AP53" s="1421"/>
      <c r="AQ53" s="1812">
        <v>1</v>
      </c>
    </row>
    <row r="54" s="9218" customFormat="1" ht="1.05" customHeight="1">
      <c r="A54" s="1545" t="s">
        <v>213</v>
      </c>
      <c r="B54" s="1545"/>
      <c r="C54" s="1545"/>
      <c r="D54" s="1545"/>
      <c r="E54" s="2460"/>
      <c r="F54" s="1545"/>
      <c r="G54" s="1545"/>
      <c r="H54" s="1545"/>
      <c r="I54" s="1545"/>
      <c r="J54" s="1545"/>
      <c r="K54" s="1545"/>
      <c r="L54" s="1551"/>
      <c r="M54" s="1549"/>
      <c r="N54" s="1549"/>
      <c r="O54" s="521"/>
      <c r="P54" s="550"/>
      <c r="Q54" s="1514"/>
      <c r="R54" s="550"/>
      <c r="S54" s="1492"/>
      <c r="T54" s="1495" t="s">
        <v>165</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 xml:space="preserve">Добавить территорию для дифференциации</v>
      </c>
      <c r="AO54" s="1794"/>
      <c r="AP54" s="1794"/>
      <c r="AQ54" s="1806">
        <v>1</v>
      </c>
    </row>
    <row r="55" s="9218" customFormat="1" ht="1.05" customHeight="1">
      <c r="A55" s="1545" t="s">
        <v>213</v>
      </c>
      <c r="B55" s="1545"/>
      <c r="C55" s="1545"/>
      <c r="D55" s="1545"/>
      <c r="E55" s="2459"/>
      <c r="F55" s="1545"/>
      <c r="G55" s="1545"/>
      <c r="H55" s="1545"/>
      <c r="I55" s="1545"/>
      <c r="J55" s="1545"/>
      <c r="K55" s="1545"/>
      <c r="L55" s="1551"/>
      <c r="M55" s="1549"/>
      <c r="N55" s="1549"/>
      <c r="O55" s="521"/>
      <c r="P55" s="550"/>
      <c r="Q55" s="1514"/>
      <c r="R55" s="550"/>
      <c r="S55" s="1492"/>
      <c r="T55" s="1495" t="s">
        <v>165</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 xml:space="preserve">Добавить территорию для дифференциации</v>
      </c>
      <c r="AO55" s="1794"/>
      <c r="AP55" s="1794"/>
      <c r="AQ55" s="1806">
        <v>1</v>
      </c>
    </row>
    <row r="56" s="9218" customFormat="1" ht="1.05" customHeight="1">
      <c r="A56" s="1544"/>
      <c r="B56" s="1544"/>
      <c r="C56" s="1544"/>
      <c r="D56" s="1544"/>
      <c r="E56" s="1545"/>
      <c r="F56" s="1544"/>
      <c r="G56" s="1544"/>
      <c r="H56" s="1544"/>
      <c r="I56" s="1544"/>
      <c r="J56" s="1544"/>
      <c r="K56" s="1544"/>
      <c r="L56" s="1547"/>
      <c r="M56" s="1549"/>
      <c r="N56" s="1549"/>
      <c r="O56" s="521"/>
      <c r="P56" s="1486"/>
      <c r="Q56" s="1487"/>
      <c r="R56" s="1486"/>
      <c r="S56" s="1492"/>
      <c r="T56" s="1495" t="s">
        <v>166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 xml:space="preserve">Добавить наименование тарифа</v>
      </c>
      <c r="AO56" s="1421"/>
      <c r="AP56" s="1421"/>
      <c r="AQ56" s="1812">
        <v>1</v>
      </c>
    </row>
    <row r="57" ht="11.5" customHeight="1">
      <c r="M57" s="1801"/>
      <c r="N57" s="1801"/>
      <c r="O57" s="1805"/>
      <c r="P57" s="1536"/>
      <c r="Q57" s="1536"/>
      <c r="R57" s="1801"/>
      <c r="S57" s="1801"/>
      <c r="AL57" s="1801"/>
      <c r="AM57" s="1801"/>
      <c r="AN57" s="1801"/>
      <c r="AO57" s="1801"/>
      <c r="AP57" s="1801"/>
      <c r="AQ57" s="1801">
        <v>11</v>
      </c>
    </row>
    <row r="58" ht="19.949999999999999" customHeight="1">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r="59" ht="21" customHeight="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r="60" ht="14.65" customHeight="1">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r="61" ht="19.949999999999999" customHeight="1">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r="62" ht="16.800000000000001" customHeight="1">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r="63" ht="14.65" customHeight="1">
      <c r="O63" s="1805"/>
      <c r="AQ63" s="1801">
        <v>14</v>
      </c>
    </row>
    <row r="64" ht="22.5" hidden="1" customHeight="1">
      <c r="A64" s="1801" t="s">
        <v>83</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autoFilter="0" deleteColumns="1" deleteRows="1" insertColumns="1" insertRows="1" sheet="1" sort="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5">
    <dataValidation sqref="S131122:AK131128 S196658:AK196664 S262194:AK262200 S327730:AK327736 S393266:AK393272 S458802:AK458808 S524338:AK524344 S589874:AK589880 S655410:AK655416 S720946:AK720952 S786482:AK786488 S852018:AK852024 S917554:AK917560 S983090:AK983096 S65586:AK65592" allowBlank="1"/>
    <dataValidation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allowBlank="1" prompt="Для выбора выполните двойной щелчок левой клавиши мыши по соответствующей ячейке." showErrorMessage="1" showInputMessage="1"/>
    <dataValidation sqref="W65585 W131121 W196657 W262193 W327729 W393265 W458801 W524337 W589873 W655409 W720945 W786481 W852017 W917553 W983089 AE65585 AE131121 AE196657 AE262193 AE327729 AE393265 AE458801 AE524337 AE589873 AE655409 AE720945 AE786481 AE852017 AE917553 AE983089" allowBlank="1" promptTitle="checkPeriodRange"/>
    <dataValidation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V39:W39" allowBlank="1" error="Выберите значение из списка" errorTitle="Ошибка"/>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x14:dataValidation xr:uid="{003F008B-0046-47A6-8C8D-005C00AB00E5}" type="decimal" allowBlank="1" error="Допускается ввод только действительных чисел!" errorTitle="Ошибка" showErrorMessage="1">
          <x14:formula1>
            <xm:f>-9.99999999999999E+23</xm:f>
          </x14:formula1>
          <x14:formula2>
            <xm:f>9.99999999999999E+23</xm:f>
          </x14:formula2>
          <xm:sqref>AC48 AC8</xm:sqref>
        </x14:dataValidation>
        <x14:dataValidation xr:uid="{009C0053-007A-4F08-AE37-0095001900CD}" type="list" allowBlank="1" error="Выберите значение из списка" errorTitle="Ошибка" prompt="Выберите значение из списка" showInputMessage="1">
          <x14:formula1>
            <xm:f>kind_of_cons</xm:f>
          </x14:formula1>
          <xm:sqref>V917551:AJ917551 V983087:AJ983087 V65583:AJ65583 V131119:AJ131119 V196655:AJ196655 V262191:AJ262191 V327727:AJ327727 V393263:AJ393263 V458799:AJ458799 V524335:AJ524335 V589871:AJ589871 V655407:AJ655407 V720943:AJ720943 V786479:AJ786479 V852015:AJ852015</xm:sqref>
        </x14:dataValidation>
        <x14:dataValidation xr:uid="{0000008A-00D6-4525-93CC-00F700CC00F3}" type="list" allowBlank="1" error="Выберите значение из списка" errorTitle="Ошибка" showErrorMessage="1" showInputMessage="1">
          <x14:formula1>
            <xm:f>kind_of_scheme_in</xm:f>
          </x14:formula1>
          <xm:sqref>AC983086 AC917550 AC852014 AC786478 AC720942 AC655406 AC589870 AC524334 AC458798 AC393262 AC327726 AC262190 AC196654 AC131118 AC65582</xm:sqref>
        </x14:dataValidation>
        <x14:dataValidation xr:uid="{006F004A-0046-428A-8595-0037008A00CA}" type="textLength" allowBlank="1" error="Допускается ввод не более 900 символов!" errorTitle="Ошибка" operator="lessThanOrEqual" showErrorMessage="1" showInputMessage="1">
          <x14:formula1>
            <xm:f>900</xm:f>
          </x14:formula1>
          <xm:sqref>AK65578:AK65585 AK131114:AK131121 AK196650:AK196657 AK262186:AK262193 AK327722:AK327729 AK393258:AK393265 AK458794:AK458801 AK524330:AK524337 AK589866:AK589873 AK655402:AK655409 AK720938:AK720945 AK786474:AK786481 AK852010:AK852017 AK917546:AK917553 AK983082:AK983089 T8 T48 AB48 AB8</xm:sqref>
        </x14:dataValidation>
        <x14:dataValidation xr:uid="{00BB00D7-0050-41ED-A0F0-00C500A700F2}" type="list" allowBlank="1" error="Выберите значение из списка" errorTitle="Ошибка" showErrorMessage="1" showInputMessage="1">
          <x14:formula1>
            <xm:f>kind_of_heat_transfer</xm:f>
          </x14:formula1>
          <xm:sqref>T65584 T131120 T196656 T262192 T327728 T393264 T458800 T524336 T589872 T655408 T720944 T786480 T852016 T917552 T983088</xm:sqref>
        </x14:dataValidation>
        <x14:dataValidation xr:uid="{00DB000E-0004-4DE7-8A45-00B1006D0069}" type="list" allowBlank="1" error="Выберите значение из списка" errorTitle="Ошибка" prompt="Выберите значение из списка" showErrorMessage="1" showInputMessage="1">
          <x14:formula1>
            <xm:f>UNIT_CONNECT_LIST</xm:f>
          </x14:formula1>
          <xm:sqref>AD39:AE39</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9217" width="11.57421875"/>
    <col customWidth="1" hidden="1" min="2" max="2" style="9217" width="11.00390625"/>
    <col hidden="1" min="3" max="3" style="9217" width="10.57421875"/>
    <col customWidth="1" hidden="1" min="4" max="4" style="9217" width="12.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hidden="1" min="16" max="16" style="10312" width="3.7109375"/>
    <col customWidth="1" hidden="1" min="17" max="17" style="10692" width="3.7109375"/>
    <col customWidth="1" min="18" max="18" style="10314" width="3.00390625"/>
    <col customWidth="1" min="19" max="19" style="10315" width="12.00390625"/>
    <col customWidth="1" min="20" max="20" style="9138" width="31.00390625"/>
    <col customWidth="1" min="21" max="21" style="9138" width="0.140625"/>
    <col customWidth="1" hidden="1" min="22" max="25" style="9138" width="21.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3.7109375"/>
    <col customWidth="1" min="31" max="32" style="9138" width="3.00390625"/>
    <col customWidth="1" min="33" max="33" style="9138" width="24.00390625"/>
    <col customWidth="1" min="34" max="34" style="9138" width="3.7109375"/>
    <col customWidth="1" min="35" max="36" style="9138" width="3.00390625"/>
    <col customWidth="1" min="37" max="37" style="9138" width="24.00390625"/>
    <col customWidth="1" min="38" max="38" style="9138" width="3.7109375"/>
    <col customWidth="1" min="39" max="40" style="9138" width="3.00390625"/>
    <col customWidth="1" min="41" max="41" style="9138" width="18.00390625"/>
    <col customWidth="1" min="42" max="42" style="9138" width="3.7109375"/>
    <col customWidth="1" min="43" max="44" style="9138" width="3.00390625"/>
    <col customWidth="1" min="45" max="45" style="9138" width="18.00390625"/>
    <col customWidth="1" min="46" max="49" style="9138" width="21.00390625"/>
    <col customWidth="1" min="50" max="50" style="9138" width="11.00390625"/>
    <col customWidth="1" min="51" max="51" style="9138" width="3.7109375"/>
    <col customWidth="1" min="52" max="52" style="9138" width="11.00390625"/>
    <col customWidth="1" hidden="1" min="53" max="53" style="9138" width="8.57421875"/>
    <col customWidth="1" min="54" max="54" style="9138" width="4.00390625"/>
    <col customWidth="1" min="55" max="55" style="9138" width="115.00390625"/>
    <col customWidth="1" min="56" max="60" style="9218" width="10.00390625"/>
    <col hidden="1" min="61" max="61" style="9138" width="10.57421875"/>
  </cols>
  <sheetData>
    <row r="1" ht="22.5" hidden="1" customHeight="1">
      <c r="W1" s="497"/>
      <c r="Y1" s="497"/>
      <c r="Z1" s="497"/>
      <c r="AW1" s="497"/>
      <c r="AX1" s="497"/>
      <c r="BI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 xml:space="preserve">Наименование тарифа</v>
      </c>
      <c r="BG2" s="670"/>
      <c r="BH2" s="670"/>
      <c r="BI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 xml:space="preserve">Территория действия тарифа</v>
      </c>
      <c r="BG3" s="670"/>
      <c r="BH3" s="670"/>
      <c r="BI3" s="1325">
        <v>0</v>
      </c>
    </row>
    <row r="4" ht="42" hidden="1" customHeight="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487</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488</v>
      </c>
      <c r="BE4" s="670"/>
      <c r="BF4" s="670" t="str">
        <f>IF(T4="","",T4)</f>
        <v xml:space="preserve">Наименование централизованной системы холодного водоснабжения</v>
      </c>
      <c r="BG4" s="670"/>
      <c r="BH4" s="670"/>
      <c r="BI4" s="1325">
        <v>0</v>
      </c>
    </row>
    <row r="5" s="9218" customFormat="1" ht="14.25" hidden="1" customHeight="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r="6" s="9218" customFormat="1" ht="14.25" hidden="1" customHeight="1">
      <c r="A6" s="1513"/>
      <c r="B6" s="1513"/>
      <c r="C6" s="1513"/>
      <c r="D6" s="1513"/>
      <c r="E6" s="2429"/>
      <c r="F6" s="2429"/>
      <c r="G6" s="2429"/>
      <c r="H6" s="2429"/>
      <c r="I6" s="2426" t="str">
        <f>S5&amp;".1"</f>
        <v>.1</v>
      </c>
      <c r="J6" s="1513"/>
      <c r="K6" s="1513"/>
      <c r="L6" s="1516" t="s">
        <v>410</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r="7" s="9218" customFormat="1" ht="14.25" hidden="1" customHeight="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r="8" ht="11.25" hidden="1" customHeight="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67</v>
      </c>
      <c r="AB8" s="1904"/>
      <c r="AC8" s="1629" t="s">
        <v>67</v>
      </c>
      <c r="AD8" s="2355" t="s">
        <v>67</v>
      </c>
      <c r="AE8" s="2496"/>
      <c r="AF8" s="2375">
        <v>1</v>
      </c>
      <c r="AG8" s="2533"/>
      <c r="AH8" s="2277" t="s">
        <v>67</v>
      </c>
      <c r="AI8" s="2496"/>
      <c r="AJ8" s="2375">
        <v>1</v>
      </c>
      <c r="AK8" s="2497" t="s">
        <v>28</v>
      </c>
      <c r="AL8" s="2277" t="s">
        <v>67</v>
      </c>
      <c r="AM8" s="2362"/>
      <c r="AN8" s="2375">
        <v>1</v>
      </c>
      <c r="AO8" s="2527"/>
      <c r="AP8" s="2528" t="s">
        <v>67</v>
      </c>
      <c r="AQ8" s="481"/>
      <c r="AR8" s="1633">
        <v>1</v>
      </c>
      <c r="AS8" s="1636" t="s">
        <v>28</v>
      </c>
      <c r="AT8" s="921"/>
      <c r="AU8" s="1427"/>
      <c r="AV8" s="921"/>
      <c r="AW8" s="1427"/>
      <c r="AX8" s="1904"/>
      <c r="AY8" s="1629" t="s">
        <v>67</v>
      </c>
      <c r="AZ8" s="1904"/>
      <c r="BA8" s="1629" t="s">
        <v>67</v>
      </c>
      <c r="BB8" s="1518"/>
      <c r="BC8" s="2423" t="s">
        <v>507</v>
      </c>
      <c r="BE8" s="670"/>
      <c r="BF8" s="670" t="str">
        <f>IF(T8="","",T8)</f>
        <v/>
      </c>
      <c r="BG8" s="670"/>
      <c r="BH8" s="670"/>
      <c r="BI8" s="1325">
        <v>0</v>
      </c>
    </row>
    <row r="9" ht="11.25" hidden="1" customHeight="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r="10" ht="11.25" hidden="1" customHeight="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r="11" ht="11.25" hidden="1" customHeight="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r="12" ht="11.25" hidden="1" customHeight="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r="13" ht="11.25" hidden="1" customHeight="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 xml:space="preserve">Добавить строку</v>
      </c>
      <c r="BG13" s="670"/>
      <c r="BH13" s="670"/>
      <c r="BI13" s="1325">
        <v>0</v>
      </c>
    </row>
    <row r="14" s="9218" customFormat="1" ht="14.25" hidden="1" customHeight="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r="15" s="9218" customFormat="1" ht="14.25" hidden="1" customHeight="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r="16" s="9218" customFormat="1" ht="14.25" hidden="1" customHeight="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r="17" s="9218" customFormat="1" ht="14.25" hidden="1" customHeight="1">
      <c r="A17" s="1513"/>
      <c r="B17" s="1513"/>
      <c r="C17" s="1484"/>
      <c r="D17" s="1484"/>
      <c r="E17" s="2429"/>
      <c r="F17" s="2428"/>
      <c r="G17" s="1484"/>
      <c r="H17" s="1484"/>
      <c r="I17" s="1484"/>
      <c r="J17" s="1484"/>
      <c r="K17" s="1484"/>
      <c r="L17" s="1634"/>
      <c r="M17" s="1491"/>
      <c r="N17" s="1491"/>
      <c r="P17" s="1486"/>
      <c r="Q17" s="1487"/>
      <c r="R17" s="1486"/>
      <c r="S17" s="1492"/>
      <c r="T17" s="1495" t="s">
        <v>164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 xml:space="preserve">Добавить централизованную систему для дифференциации</v>
      </c>
      <c r="BG17" s="959"/>
      <c r="BH17" s="959"/>
      <c r="BI17" s="688">
        <v>0</v>
      </c>
    </row>
    <row r="18" s="9218" customFormat="1" ht="14.25" hidden="1" customHeight="1">
      <c r="A18" s="1513"/>
      <c r="B18" s="1513"/>
      <c r="C18" s="1513"/>
      <c r="D18" s="1513"/>
      <c r="E18" s="2428"/>
      <c r="F18" s="1513"/>
      <c r="G18" s="1513"/>
      <c r="H18" s="1513"/>
      <c r="I18" s="1513"/>
      <c r="J18" s="1513"/>
      <c r="K18" s="1513"/>
      <c r="L18" s="1516"/>
      <c r="M18" s="1491"/>
      <c r="N18" s="1491"/>
      <c r="O18" s="688"/>
      <c r="P18" s="550"/>
      <c r="Q18" s="1514"/>
      <c r="R18" s="550"/>
      <c r="S18" s="1492"/>
      <c r="T18" s="1495" t="s">
        <v>165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 xml:space="preserve">Добавить территорию для дифференциации</v>
      </c>
      <c r="BG18" s="670"/>
      <c r="BH18" s="670"/>
      <c r="BI18" s="681">
        <v>0</v>
      </c>
    </row>
    <row r="19" ht="14.25" hidden="1" customHeight="1">
      <c r="AC19" s="497"/>
      <c r="BA19" s="497"/>
      <c r="BI19" s="1325">
        <v>0</v>
      </c>
    </row>
    <row r="20" ht="14.25" hidden="1" customHeight="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67</v>
      </c>
      <c r="AZ20" s="1906"/>
      <c r="BA20" s="1630" t="s">
        <v>67</v>
      </c>
      <c r="BI20" s="1325">
        <v>0</v>
      </c>
    </row>
    <row r="21" ht="14.25" hidden="1" customHeight="1">
      <c r="BD21" s="666"/>
      <c r="BE21" s="666"/>
      <c r="BF21" s="666"/>
      <c r="BG21" s="666"/>
      <c r="BH21" s="666"/>
      <c r="BI21" s="1325">
        <v>0</v>
      </c>
    </row>
    <row r="22" ht="14.25" hidden="1" customHeight="1">
      <c r="O22" s="1537" t="s">
        <v>421</v>
      </c>
      <c r="Z22" s="1515"/>
      <c r="AB22" s="1515"/>
      <c r="AC22" s="497"/>
      <c r="AX22" s="1515"/>
      <c r="AZ22" s="1515"/>
      <c r="BA22" s="497"/>
      <c r="BD22" s="666"/>
      <c r="BE22" s="666"/>
      <c r="BF22" s="666"/>
      <c r="BG22" s="666"/>
      <c r="BH22" s="666"/>
      <c r="BI22" s="1325">
        <v>0</v>
      </c>
    </row>
    <row r="23" ht="14.25" hidden="1" customHeight="1">
      <c r="AC23" s="497"/>
      <c r="BA23" s="497"/>
      <c r="BD23" s="666"/>
      <c r="BE23" s="666"/>
      <c r="BF23" s="666"/>
      <c r="BG23" s="666"/>
      <c r="BH23" s="666"/>
      <c r="BI23" s="1325">
        <v>0</v>
      </c>
    </row>
    <row r="24" s="10663" customFormat="1" ht="14.25" hidden="1" customHeight="1">
      <c r="M24" s="1678"/>
      <c r="N24" s="1678"/>
      <c r="O24" s="1679" t="s">
        <v>422</v>
      </c>
      <c r="P24" s="1678"/>
      <c r="Q24" s="1680"/>
      <c r="R24" s="1680"/>
      <c r="AA24" s="1677" t="s">
        <v>424</v>
      </c>
      <c r="AC24" s="1677" t="s">
        <v>425</v>
      </c>
      <c r="AD24" s="1677" t="s">
        <v>475</v>
      </c>
      <c r="AH24" s="1677" t="s">
        <v>475</v>
      </c>
      <c r="AK24" s="1677" t="s">
        <v>512</v>
      </c>
      <c r="AL24" s="1677" t="s">
        <v>475</v>
      </c>
      <c r="AP24" s="1677" t="s">
        <v>475</v>
      </c>
      <c r="AY24" s="1677" t="s">
        <v>424</v>
      </c>
      <c r="BA24" s="1677" t="s">
        <v>425</v>
      </c>
      <c r="BD24" s="1681"/>
      <c r="BE24" s="1681"/>
      <c r="BF24" s="1681"/>
      <c r="BG24" s="1681"/>
      <c r="BH24" s="1681"/>
      <c r="BI24" s="1677">
        <v>0</v>
      </c>
    </row>
    <row r="25" ht="14.25" hidden="1" customHeight="1">
      <c r="O25" s="1534"/>
      <c r="BD25" s="666"/>
      <c r="BE25" s="666"/>
      <c r="BF25" s="666"/>
      <c r="BG25" s="666"/>
      <c r="BH25" s="666"/>
      <c r="BI25" s="1325">
        <v>0</v>
      </c>
    </row>
    <row r="26" ht="14.25" hidden="1" customHeight="1">
      <c r="O26" s="1534"/>
      <c r="BD26" s="666"/>
      <c r="BE26" s="666"/>
      <c r="BF26" s="666"/>
      <c r="BG26" s="666"/>
      <c r="BH26" s="666"/>
      <c r="BI26" s="1325">
        <v>0</v>
      </c>
    </row>
    <row r="27" ht="14.65" customHeight="1">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r="28" ht="14.65" customHeight="1">
      <c r="Q28" s="461"/>
      <c r="R28" s="546"/>
      <c r="S28" s="2418" t="str">
        <f>IF(TEMPLATE_GROUP="P",PT_P_FORM_COLDVSNA_5_NAME_FORM,PT_R_FORM_COLDVSNA_17_NAME_FORM)</f>
        <v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r="29" ht="14.65" customHeight="1">
      <c r="Q29" s="461"/>
      <c r="R29" s="546"/>
      <c r="S29" s="2419" t="str">
        <f>IF(org=0,"Не определено",org)</f>
        <v xml:space="preserve">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r="30" ht="14.25" hidden="1" customHeight="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r="31" s="9344" customFormat="1" ht="25.5" hidden="1" customHeight="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r="32" s="9344" customFormat="1" ht="18.75" hidden="1" customHeight="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45646</v>
      </c>
      <c r="W32" s="2434"/>
      <c r="X32" s="2434"/>
      <c r="Y32" s="2434"/>
      <c r="Z32" s="2434"/>
      <c r="AA32" s="2434"/>
      <c r="AB32" s="2434"/>
      <c r="AC32" s="496"/>
      <c r="AD32" s="2434" t="str">
        <f>IF(TITLE_DATE_PR_CHANGE="",IF(TITLE_DATE_PR="","",TITLE_DATE_PR),TITLE_DATE_PR_CHANGE)</f>
        <v>45646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r="33" s="9344" customFormat="1" ht="18.75" hidden="1" customHeight="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ДГК-01.1/22560</v>
      </c>
      <c r="W33" s="2421"/>
      <c r="X33" s="2421"/>
      <c r="Y33" s="2421"/>
      <c r="Z33" s="2421"/>
      <c r="AA33" s="2421"/>
      <c r="AB33" s="2421"/>
      <c r="AC33" s="496"/>
      <c r="AD33" s="2421" t="str">
        <f>IF(TITLE_NUMBER_PR_CHANGE="",IF(TITLE_NUMBER_PR="","",TITLE_NUMBER_PR),TITLE_NUMBER_PR_CHANGE)</f>
        <v>ДГК-01.1/22560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r="34" s="9344" customFormat="1" ht="18.75" hidden="1" customHeight="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r="35" ht="14.25" customHeight="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r="36" s="9344" customFormat="1" ht="18.75" customHeight="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45646</v>
      </c>
      <c r="W36" s="2434"/>
      <c r="X36" s="2434"/>
      <c r="Y36" s="2434"/>
      <c r="Z36" s="2434"/>
      <c r="AA36" s="2434"/>
      <c r="AB36" s="2434"/>
      <c r="AC36" s="496"/>
      <c r="AD36" s="2434" t="str">
        <f>IF(TITLE_DATE_PR_CHANGE="",IF(TITLE_DATE_PR="","",TITLE_DATE_PR),TITLE_DATE_PR_CHANGE)</f>
        <v>45646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r="37" s="9344" customFormat="1" ht="18.75" customHeight="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ДГК-01.1/22560</v>
      </c>
      <c r="W37" s="2421"/>
      <c r="X37" s="2421"/>
      <c r="Y37" s="2421"/>
      <c r="Z37" s="2421"/>
      <c r="AA37" s="2421"/>
      <c r="AB37" s="2421"/>
      <c r="AC37" s="496"/>
      <c r="AD37" s="2421" t="str">
        <f>IF(TITLE_NUMBER_PR_CHANGE="",IF(TITLE_NUMBER_PR="","",TITLE_NUMBER_PR),TITLE_NUMBER_PR_CHANGE)</f>
        <v>ДГК-01.1/22560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r="38" s="9344" customFormat="1" ht="0" customHeight="1">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r="39" ht="14.65" customHeight="1">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r="40" ht="14.65" customHeight="1">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r="41" ht="14.65" customHeight="1">
      <c r="Q41" s="461"/>
      <c r="R41" s="546"/>
      <c r="S41" s="2443" t="s">
        <v>89</v>
      </c>
      <c r="T41" s="2379" t="s">
        <v>513</v>
      </c>
      <c r="U41" s="471"/>
      <c r="V41" s="2444" t="s">
        <v>434</v>
      </c>
      <c r="W41" s="2445"/>
      <c r="X41" s="2445"/>
      <c r="Y41" s="2445"/>
      <c r="Z41" s="2445"/>
      <c r="AA41" s="2445"/>
      <c r="AB41" s="2446"/>
      <c r="AC41" s="2447" t="s">
        <v>435</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434</v>
      </c>
      <c r="AU41" s="2445"/>
      <c r="AV41" s="2445"/>
      <c r="AW41" s="2445"/>
      <c r="AX41" s="2445"/>
      <c r="AY41" s="2445"/>
      <c r="AZ41" s="2446"/>
      <c r="BA41" s="2447" t="s">
        <v>435</v>
      </c>
      <c r="BB41" s="2450" t="s">
        <v>437</v>
      </c>
      <c r="BC41" s="2297"/>
      <c r="BI41" s="1325">
        <v>14</v>
      </c>
    </row>
    <row r="42" ht="35.649999999999999" customHeight="1">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r="43" ht="14.65" customHeight="1">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r="44" ht="14.65" customHeight="1">
      <c r="A44" s="1540"/>
      <c r="B44" s="1540" t="s">
        <v>135</v>
      </c>
      <c r="C44" s="1540" t="s">
        <v>136</v>
      </c>
      <c r="D44" s="1540" t="s">
        <v>137</v>
      </c>
      <c r="E44" s="1534" t="s">
        <v>442</v>
      </c>
      <c r="F44" s="1534" t="s">
        <v>443</v>
      </c>
      <c r="G44" s="1534" t="s">
        <v>444</v>
      </c>
      <c r="H44" s="1534" t="s">
        <v>445</v>
      </c>
      <c r="I44" s="1534" t="s">
        <v>446</v>
      </c>
      <c r="J44" s="1534" t="s">
        <v>447</v>
      </c>
      <c r="K44" s="1534" t="s">
        <v>448</v>
      </c>
      <c r="L44" s="1534" t="s">
        <v>422</v>
      </c>
      <c r="Q44" s="461"/>
      <c r="R44" s="546"/>
      <c r="S44" s="2443"/>
      <c r="T44" s="2379"/>
      <c r="U44" s="472"/>
      <c r="V44" s="1618" t="s">
        <v>484</v>
      </c>
      <c r="W44" s="1618" t="s">
        <v>485</v>
      </c>
      <c r="X44" s="1618" t="s">
        <v>484</v>
      </c>
      <c r="Y44" s="1618" t="s">
        <v>485</v>
      </c>
      <c r="Z44" s="1625"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18" t="s">
        <v>484</v>
      </c>
      <c r="AU44" s="1618" t="s">
        <v>485</v>
      </c>
      <c r="AV44" s="1618" t="s">
        <v>484</v>
      </c>
      <c r="AW44" s="1618" t="s">
        <v>485</v>
      </c>
      <c r="AX44" s="1625" t="s">
        <v>451</v>
      </c>
      <c r="AY44" s="2440" t="s">
        <v>452</v>
      </c>
      <c r="AZ44" s="2441"/>
      <c r="BA44" s="2449"/>
      <c r="BB44" s="2452"/>
      <c r="BC44" s="2297"/>
      <c r="BI44" s="1325">
        <v>14</v>
      </c>
    </row>
    <row r="45" s="9831" customFormat="1" ht="11.25" hidden="1" customHeight="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r="46" ht="22" customHeight="1">
      <c r="A46" s="1533" t="s">
        <v>253</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 xml:space="preserve">Наименование тарифа</v>
      </c>
      <c r="BG46" s="670"/>
      <c r="BH46" s="670"/>
      <c r="BI46" s="1325">
        <v>21</v>
      </c>
    </row>
    <row r="47" ht="22" customHeight="1">
      <c r="A47" s="1533" t="s">
        <v>253</v>
      </c>
      <c r="B47" s="1533" t="s">
        <v>254</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 xml:space="preserve">Территория действия тарифа</v>
      </c>
      <c r="BG47" s="670"/>
      <c r="BH47" s="670"/>
      <c r="BI47" s="1325">
        <v>21</v>
      </c>
    </row>
    <row r="48" ht="43.049999999999997" customHeight="1">
      <c r="A48" s="1533" t="s">
        <v>253</v>
      </c>
      <c r="B48" s="1533" t="s">
        <v>254</v>
      </c>
      <c r="C48" s="1533" t="s">
        <v>255</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487</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488</v>
      </c>
      <c r="BE48" s="670"/>
      <c r="BF48" s="670" t="str">
        <f>IF(T48="","",T48)</f>
        <v xml:space="preserve">Наименование централизованной системы холодного водоснабжения</v>
      </c>
      <c r="BG48" s="670"/>
      <c r="BH48" s="670"/>
      <c r="BI48" s="1325">
        <v>41</v>
      </c>
    </row>
    <row r="49" s="9218" customFormat="1" ht="0" customHeight="1">
      <c r="A49" s="1513" t="s">
        <v>253</v>
      </c>
      <c r="B49" s="1513" t="s">
        <v>254</v>
      </c>
      <c r="C49" s="1513" t="s">
        <v>255</v>
      </c>
      <c r="D49" s="1513" t="s">
        <v>521</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r="50" s="9218" customFormat="1" ht="0" customHeight="1">
      <c r="A50" s="1513" t="s">
        <v>253</v>
      </c>
      <c r="B50" s="1513" t="s">
        <v>254</v>
      </c>
      <c r="C50" s="1513" t="s">
        <v>255</v>
      </c>
      <c r="D50" s="1513" t="s">
        <v>521</v>
      </c>
      <c r="E50" s="2429"/>
      <c r="F50" s="2429"/>
      <c r="G50" s="2429"/>
      <c r="H50" s="2429"/>
      <c r="I50" s="2426" t="str">
        <f>S49&amp;".1"</f>
        <v>.1</v>
      </c>
      <c r="J50" s="1513"/>
      <c r="K50" s="1513"/>
      <c r="L50" s="1516" t="s">
        <v>410</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r="51" s="9218" customFormat="1" ht="0" customHeight="1">
      <c r="A51" s="1513" t="s">
        <v>253</v>
      </c>
      <c r="B51" s="1513" t="s">
        <v>254</v>
      </c>
      <c r="C51" s="1513" t="s">
        <v>255</v>
      </c>
      <c r="D51" s="1513" t="s">
        <v>521</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r="52" ht="11.5" customHeight="1">
      <c r="A52" s="1533" t="s">
        <v>253</v>
      </c>
      <c r="B52" s="1533" t="s">
        <v>254</v>
      </c>
      <c r="C52" s="1533" t="s">
        <v>255</v>
      </c>
      <c r="D52" s="1533" t="s">
        <v>521</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67</v>
      </c>
      <c r="AB52" s="1904"/>
      <c r="AC52" s="162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33">
        <v>1</v>
      </c>
      <c r="AS52" s="1636" t="s">
        <v>28</v>
      </c>
      <c r="AT52" s="921"/>
      <c r="AU52" s="1427"/>
      <c r="AV52" s="921"/>
      <c r="AW52" s="1427"/>
      <c r="AX52" s="1904"/>
      <c r="AY52" s="1629" t="s">
        <v>67</v>
      </c>
      <c r="AZ52" s="1904"/>
      <c r="BA52" s="1629" t="s">
        <v>67</v>
      </c>
      <c r="BB52" s="1518"/>
      <c r="BC52" s="2423" t="s">
        <v>507</v>
      </c>
      <c r="BE52" s="670"/>
      <c r="BF52" s="670" t="str">
        <f>IF(T52="","",T52)</f>
        <v/>
      </c>
      <c r="BG52" s="670"/>
      <c r="BH52" s="670"/>
      <c r="BI52" s="1325">
        <v>11</v>
      </c>
    </row>
    <row r="53" ht="11.5" customHeight="1">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r="54" ht="11.5" customHeight="1">
      <c r="A54" s="1533" t="s">
        <v>253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r="55" ht="11.5" customHeight="1">
      <c r="A55" s="1533" t="s">
        <v>253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r="56" ht="11.5" customHeight="1">
      <c r="A56" s="1533" t="s">
        <v>253</v>
      </c>
      <c r="B56" s="1533" t="s">
        <v>254</v>
      </c>
      <c r="C56" s="1533" t="s">
        <v>255</v>
      </c>
      <c r="D56" s="1533" t="s">
        <v>521</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r="57" ht="11.5" customHeight="1">
      <c r="A57" s="1533" t="s">
        <v>253</v>
      </c>
      <c r="B57" s="1533" t="s">
        <v>254</v>
      </c>
      <c r="C57" s="1533" t="s">
        <v>255</v>
      </c>
      <c r="D57" s="1533" t="s">
        <v>521</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 xml:space="preserve">Добавить строку</v>
      </c>
      <c r="BG57" s="670"/>
      <c r="BH57" s="670"/>
      <c r="BI57" s="1325">
        <v>11</v>
      </c>
    </row>
    <row r="58" s="9218" customFormat="1" ht="0" customHeight="1">
      <c r="A58" s="1513" t="s">
        <v>253</v>
      </c>
      <c r="B58" s="1513" t="s">
        <v>254</v>
      </c>
      <c r="C58" s="1513" t="s">
        <v>255</v>
      </c>
      <c r="D58" s="1513" t="s">
        <v>521</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r="59" s="9218" customFormat="1" ht="0" customHeight="1">
      <c r="A59" s="1513" t="s">
        <v>253</v>
      </c>
      <c r="B59" s="1513" t="s">
        <v>254</v>
      </c>
      <c r="C59" s="1513" t="s">
        <v>255</v>
      </c>
      <c r="D59" s="1513" t="s">
        <v>521</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r="60" s="9218" customFormat="1" ht="0" customHeight="1">
      <c r="A60" s="1513" t="s">
        <v>253</v>
      </c>
      <c r="B60" s="1513" t="s">
        <v>254</v>
      </c>
      <c r="C60" s="1513" t="s">
        <v>255</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r="61" s="9218" customFormat="1" ht="0" customHeight="1">
      <c r="A61" s="1513" t="s">
        <v>253</v>
      </c>
      <c r="B61" s="1513" t="s">
        <v>254</v>
      </c>
      <c r="C61" s="1484"/>
      <c r="D61" s="1484"/>
      <c r="E61" s="2429"/>
      <c r="F61" s="2428"/>
      <c r="G61" s="1484"/>
      <c r="H61" s="1484"/>
      <c r="I61" s="1484"/>
      <c r="J61" s="1484"/>
      <c r="K61" s="1484"/>
      <c r="L61" s="1634"/>
      <c r="M61" s="1491"/>
      <c r="N61" s="1491"/>
      <c r="P61" s="1486"/>
      <c r="Q61" s="1487"/>
      <c r="R61" s="1486"/>
      <c r="S61" s="1492"/>
      <c r="T61" s="1495" t="s">
        <v>164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 xml:space="preserve">Добавить централизованную систему для дифференциации</v>
      </c>
      <c r="BG61" s="959"/>
      <c r="BH61" s="959"/>
      <c r="BI61" s="688">
        <v>0</v>
      </c>
    </row>
    <row r="62" s="9218" customFormat="1" ht="0" customHeight="1">
      <c r="A62" s="1513" t="s">
        <v>253</v>
      </c>
      <c r="B62" s="1513"/>
      <c r="C62" s="1513"/>
      <c r="D62" s="1513"/>
      <c r="E62" s="2428"/>
      <c r="F62" s="1513"/>
      <c r="G62" s="1513"/>
      <c r="H62" s="1513"/>
      <c r="I62" s="1513"/>
      <c r="J62" s="1513"/>
      <c r="K62" s="1513"/>
      <c r="L62" s="1516"/>
      <c r="M62" s="1491"/>
      <c r="N62" s="1491"/>
      <c r="O62" s="688"/>
      <c r="P62" s="550"/>
      <c r="Q62" s="1514"/>
      <c r="R62" s="550"/>
      <c r="S62" s="1492"/>
      <c r="T62" s="1495" t="s">
        <v>165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 xml:space="preserve">Добавить территорию для дифференциации</v>
      </c>
      <c r="BG62" s="670"/>
      <c r="BH62" s="670"/>
      <c r="BI62" s="681">
        <v>0</v>
      </c>
    </row>
    <row r="63" s="9218" customFormat="1" ht="0" customHeight="1">
      <c r="A63" s="1484"/>
      <c r="B63" s="1484"/>
      <c r="C63" s="1484"/>
      <c r="D63" s="1484"/>
      <c r="E63" s="1513"/>
      <c r="F63" s="1484"/>
      <c r="G63" s="1484"/>
      <c r="H63" s="1484"/>
      <c r="I63" s="1484"/>
      <c r="J63" s="1484"/>
      <c r="K63" s="1484"/>
      <c r="L63" s="1634"/>
      <c r="M63" s="1491"/>
      <c r="N63" s="1491"/>
      <c r="P63" s="1486"/>
      <c r="Q63" s="1487"/>
      <c r="R63" s="1486"/>
      <c r="S63" s="1492"/>
      <c r="T63" s="1495" t="s">
        <v>166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 xml:space="preserve">Добавить наименование тарифа</v>
      </c>
      <c r="BG63" s="959"/>
      <c r="BH63" s="959"/>
      <c r="BI63" s="688">
        <v>0</v>
      </c>
    </row>
    <row r="64" ht="11.5" customHeight="1">
      <c r="M64" s="1330"/>
      <c r="N64" s="1330"/>
      <c r="O64" s="707"/>
      <c r="P64" s="1330"/>
      <c r="Q64" s="1330"/>
      <c r="R64" s="1325"/>
      <c r="S64" s="1325"/>
      <c r="BD64" s="1325"/>
      <c r="BE64" s="1325"/>
      <c r="BF64" s="1325"/>
      <c r="BG64" s="1325"/>
      <c r="BH64" s="1325"/>
      <c r="BI64" s="1325">
        <v>11</v>
      </c>
    </row>
    <row r="65" ht="19.949999999999999" customHeight="1">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r="66" ht="14.65" customHeight="1">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r="67" ht="19.949999999999999" customHeight="1">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r="68" ht="14.65" customHeight="1">
      <c r="O68" s="707"/>
      <c r="BI68" s="1325">
        <v>14</v>
      </c>
    </row>
    <row r="69" ht="14.25" hidden="1" customHeight="1">
      <c r="A69" s="1330" t="s">
        <v>83</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autoFilter="0" deleteColumns="1" deleteRows="1" formatColumns="0" formatRows="0" insertColumns="1" insertRows="1" sheet="1" sort="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4">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A500F6-008E-40DB-8469-0003000500D0}"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 xr:uid="{00660012-0037-4774-A9B5-00ED002E0018}"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900087-00D6-4427-AC6A-00FF00D700DE}"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0D0006-000F-493D-BB0A-000100380043}"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AF0094-00FA-4E97-B40B-000300090014}"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4" style="9138" width="24.7109375"/>
    <col customWidth="1" hidden="1" min="25" max="25" style="9138" width="11.7109375"/>
    <col customWidth="1" hidden="1" min="26" max="26" style="9138" width="3.7109375"/>
    <col customWidth="1" hidden="1" min="27" max="27" style="9138" width="11.7109375"/>
    <col customWidth="1" hidden="1" min="28" max="28" style="9138" width="8.57421875"/>
    <col customWidth="1" min="29" max="29" style="9138" width="24.7109375"/>
    <col customWidth="1" min="30" max="31" style="9138" width="24.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 xml:space="preserve">Наименование централизованной системы водоотведения</v>
      </c>
      <c r="AO4" s="670"/>
      <c r="AP4" s="670"/>
      <c r="AQ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491</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9218"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67</v>
      </c>
      <c r="AH15" s="2437"/>
      <c r="AI15" s="2438" t="s">
        <v>67</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9217" customFormat="1" ht="22.5" hidden="1" customHeight="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9217" customFormat="1" ht="14.25" hidden="1" customHeight="1">
      <c r="L19" s="1648"/>
      <c r="M19" s="1532"/>
      <c r="N19" s="1532"/>
      <c r="O19" s="1532"/>
      <c r="P19" s="1532"/>
      <c r="Q19" s="1541"/>
      <c r="R19" s="1541"/>
      <c r="S19" s="899"/>
      <c r="AB19" s="1536"/>
      <c r="AI19" s="1536"/>
      <c r="AL19" s="681"/>
      <c r="AM19" s="681"/>
      <c r="AN19" s="681"/>
      <c r="AO19" s="681"/>
      <c r="AP19" s="681"/>
      <c r="AQ19" s="1330">
        <v>0</v>
      </c>
    </row>
    <row r="20" s="9217" customFormat="1" ht="12" hidden="1" customHeight="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496"/>
      <c r="AC28" s="2434" t="str">
        <f>IF(TITLE_DATE_PR_CHANGE="",IF(TITLE_DATE_PR="","",TITLE_DATE_PR),TITLE_DATE_PR_CHANGE)</f>
        <v>45646</v>
      </c>
      <c r="AD28" s="2434"/>
      <c r="AE28" s="2434"/>
      <c r="AF28" s="2434"/>
      <c r="AG28" s="2434"/>
      <c r="AH28" s="2434"/>
      <c r="AI28" s="496"/>
      <c r="AJ28" s="496"/>
      <c r="AK28" s="450"/>
      <c r="AL28" s="538"/>
      <c r="AM28" s="538"/>
      <c r="AN28" s="538"/>
      <c r="AO28" s="538"/>
      <c r="AP28" s="538"/>
      <c r="AQ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496"/>
      <c r="AC29" s="2421" t="str">
        <f>IF(TITLE_NUMBER_PR_CHANGE="",IF(TITLE_NUMBER_PR="","",TITLE_NUMBER_PR),TITLE_NUMBER_PR_CHANGE)</f>
        <v>ДГК-01.1/22560</v>
      </c>
      <c r="AD29" s="2421"/>
      <c r="AE29" s="2421"/>
      <c r="AF29" s="2421"/>
      <c r="AG29" s="2421"/>
      <c r="AH29" s="2421"/>
      <c r="AI29" s="496"/>
      <c r="AJ29" s="496"/>
      <c r="AK29" s="450"/>
      <c r="AL29" s="538"/>
      <c r="AM29" s="538"/>
      <c r="AN29" s="538"/>
      <c r="AO29" s="538"/>
      <c r="AP29" s="538"/>
      <c r="AQ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496"/>
      <c r="AC32" s="2434" t="str">
        <f>IF(TITLE_DATE_PR_CHANGE="",IF(TITLE_DATE_PR="","",TITLE_DATE_PR),TITLE_DATE_PR_CHANGE)</f>
        <v>45646</v>
      </c>
      <c r="AD32" s="2434"/>
      <c r="AE32" s="2434"/>
      <c r="AF32" s="2434"/>
      <c r="AG32" s="2434"/>
      <c r="AH32" s="2434"/>
      <c r="AI32" s="496"/>
      <c r="AJ32" s="496"/>
      <c r="AK32" s="450"/>
      <c r="AL32" s="538"/>
      <c r="AM32" s="538"/>
      <c r="AN32" s="538"/>
      <c r="AO32" s="538"/>
      <c r="AP32" s="538"/>
      <c r="AQ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496"/>
      <c r="AC33" s="2421" t="str">
        <f>IF(TITLE_NUMBER_PR_CHANGE="",IF(TITLE_NUMBER_PR="","",TITLE_NUMBER_PR),TITLE_NUMBER_PR_CHANGE)</f>
        <v>ДГК-01.1/22560</v>
      </c>
      <c r="AD33" s="2421"/>
      <c r="AE33" s="2421"/>
      <c r="AF33" s="2421"/>
      <c r="AG33" s="2421"/>
      <c r="AH33" s="2421"/>
      <c r="AI33" s="496"/>
      <c r="AJ33" s="496"/>
      <c r="AK33" s="450"/>
      <c r="AL33" s="538"/>
      <c r="AM33" s="538"/>
      <c r="AN33" s="538"/>
      <c r="AO33" s="538"/>
      <c r="AP33" s="538"/>
      <c r="AQ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89</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r="38" ht="35.649999999999999" customHeight="1">
      <c r="Q38" s="546"/>
      <c r="R38" s="546"/>
      <c r="S38" s="2443"/>
      <c r="T38" s="2379"/>
      <c r="U38" s="1201"/>
      <c r="V38" s="1653" t="s">
        <v>495</v>
      </c>
      <c r="W38" s="2432" t="s">
        <v>440</v>
      </c>
      <c r="X38" s="2433"/>
      <c r="Y38" s="2432" t="s">
        <v>441</v>
      </c>
      <c r="Z38" s="2439"/>
      <c r="AA38" s="2433"/>
      <c r="AB38" s="2448"/>
      <c r="AC38" s="1653" t="s">
        <v>495</v>
      </c>
      <c r="AD38" s="2432" t="s">
        <v>440</v>
      </c>
      <c r="AE38" s="2433"/>
      <c r="AF38" s="2432" t="s">
        <v>441</v>
      </c>
      <c r="AG38" s="2439"/>
      <c r="AH38" s="2433"/>
      <c r="AI38" s="2448"/>
      <c r="AJ38" s="2451"/>
      <c r="AK38" s="2297"/>
      <c r="AQ38" s="1325">
        <v>34</v>
      </c>
    </row>
    <row r="39" ht="90.299999999999997" customHeight="1">
      <c r="A39" s="1540"/>
      <c r="B39" s="1540" t="s">
        <v>135</v>
      </c>
      <c r="C39" s="1540" t="s">
        <v>136</v>
      </c>
      <c r="D39" s="1540" t="s">
        <v>137</v>
      </c>
      <c r="E39" s="1534" t="s">
        <v>442</v>
      </c>
      <c r="F39" s="1534" t="s">
        <v>443</v>
      </c>
      <c r="G39" s="1534" t="s">
        <v>444</v>
      </c>
      <c r="H39" s="1534"/>
      <c r="I39" s="1534" t="s">
        <v>496</v>
      </c>
      <c r="J39" s="1534" t="s">
        <v>447</v>
      </c>
      <c r="K39" s="1534" t="s">
        <v>497</v>
      </c>
      <c r="L39" s="1534" t="s">
        <v>422</v>
      </c>
      <c r="Q39" s="546"/>
      <c r="R39" s="546"/>
      <c r="S39" s="2443"/>
      <c r="T39" s="2379"/>
      <c r="U39" s="472"/>
      <c r="V39" s="1653" t="s">
        <v>524</v>
      </c>
      <c r="W39" s="1392" t="s">
        <v>525</v>
      </c>
      <c r="X39" s="1392" t="s">
        <v>500</v>
      </c>
      <c r="Y39" s="1659" t="s">
        <v>451</v>
      </c>
      <c r="Z39" s="2440" t="s">
        <v>452</v>
      </c>
      <c r="AA39" s="2441"/>
      <c r="AB39" s="2449"/>
      <c r="AC39" s="1653" t="s">
        <v>524</v>
      </c>
      <c r="AD39" s="1392" t="s">
        <v>525</v>
      </c>
      <c r="AE39" s="1392" t="s">
        <v>500</v>
      </c>
      <c r="AF39" s="1659" t="s">
        <v>451</v>
      </c>
      <c r="AG39" s="2440" t="s">
        <v>452</v>
      </c>
      <c r="AH39" s="2441"/>
      <c r="AI39" s="2449"/>
      <c r="AJ39" s="2452"/>
      <c r="AK39" s="2297"/>
      <c r="AQ39" s="1325">
        <v>86</v>
      </c>
    </row>
    <row r="40" s="9831" customFormat="1" ht="11.25" hidden="1" customHeight="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r="41" ht="24" customHeight="1">
      <c r="A41" s="1533" t="s">
        <v>273</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273</v>
      </c>
      <c r="B42" s="1533" t="s">
        <v>274</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273</v>
      </c>
      <c r="B43" s="1533" t="s">
        <v>274</v>
      </c>
      <c r="C43" s="1533" t="s">
        <v>275</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 xml:space="preserve">Наименование централизованной системы водоотведения</v>
      </c>
      <c r="AO43" s="670"/>
      <c r="AP43" s="670"/>
      <c r="AQ43" s="1325">
        <v>23</v>
      </c>
    </row>
    <row r="44" ht="24" customHeight="1">
      <c r="A44" s="1533" t="s">
        <v>273</v>
      </c>
      <c r="B44" s="1533" t="s">
        <v>274</v>
      </c>
      <c r="C44" s="1533" t="s">
        <v>275</v>
      </c>
      <c r="D44" s="1533" t="s">
        <v>526</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 xml:space="preserve">Наименование признака дифференциации</v>
      </c>
      <c r="AO44" s="670"/>
      <c r="AP44" s="670"/>
      <c r="AQ44" s="1325">
        <v>23</v>
      </c>
    </row>
    <row r="45" ht="24" customHeight="1">
      <c r="A45" s="1533" t="s">
        <v>273</v>
      </c>
      <c r="B45" s="1533" t="s">
        <v>274</v>
      </c>
      <c r="C45" s="1533" t="s">
        <v>275</v>
      </c>
      <c r="D45" s="1533" t="s">
        <v>526</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 xml:space="preserve">Группа потребителей</v>
      </c>
      <c r="AO45" s="670"/>
      <c r="AP45" s="670"/>
      <c r="AQ45" s="1325">
        <v>23</v>
      </c>
    </row>
    <row r="46" ht="24" customHeight="1">
      <c r="A46" s="1533" t="s">
        <v>273</v>
      </c>
      <c r="B46" s="1533" t="s">
        <v>274</v>
      </c>
      <c r="C46" s="1533" t="s">
        <v>275</v>
      </c>
      <c r="D46" s="1533" t="s">
        <v>526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273</v>
      </c>
      <c r="B47" s="1533" t="s">
        <v>274</v>
      </c>
      <c r="C47" s="1533" t="s">
        <v>275</v>
      </c>
      <c r="D47" s="1533" t="s">
        <v>526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273</v>
      </c>
      <c r="B48" s="1533" t="s">
        <v>274</v>
      </c>
      <c r="C48" s="1533" t="s">
        <v>275</v>
      </c>
      <c r="D48" s="1533" t="s">
        <v>526</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 xml:space="preserve">Добавить значение признака дифференциации</v>
      </c>
      <c r="AO48" s="670"/>
      <c r="AP48" s="670"/>
      <c r="AQ48" s="1325">
        <v>20</v>
      </c>
    </row>
    <row r="49" ht="22" customHeight="1">
      <c r="A49" s="1533" t="s">
        <v>273</v>
      </c>
      <c r="B49" s="1533" t="s">
        <v>274</v>
      </c>
      <c r="C49" s="1533" t="s">
        <v>275</v>
      </c>
      <c r="D49" s="1533" t="s">
        <v>526</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273</v>
      </c>
      <c r="B50" s="1533" t="s">
        <v>274</v>
      </c>
      <c r="C50" s="1533" t="s">
        <v>275</v>
      </c>
      <c r="D50" s="1533" t="s">
        <v>526</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9218" customFormat="1" ht="0" customHeight="1">
      <c r="A51" s="1513" t="s">
        <v>273</v>
      </c>
      <c r="B51" s="1513" t="s">
        <v>274</v>
      </c>
      <c r="C51" s="1484"/>
      <c r="D51" s="1484"/>
      <c r="E51" s="2429"/>
      <c r="F51" s="2428"/>
      <c r="G51" s="1484"/>
      <c r="H51" s="1484"/>
      <c r="I51" s="1484"/>
      <c r="J51" s="1484"/>
      <c r="K51" s="1484"/>
      <c r="L51" s="1664"/>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9218" customFormat="1" ht="0" customHeight="1">
      <c r="A52" s="1513" t="s">
        <v>273</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9218" customFormat="1" ht="0" customHeight="1">
      <c r="A53" s="1484"/>
      <c r="B53" s="1484"/>
      <c r="C53" s="1484"/>
      <c r="D53" s="1484"/>
      <c r="E53" s="1513"/>
      <c r="F53" s="1484"/>
      <c r="G53" s="1484"/>
      <c r="H53" s="1484"/>
      <c r="I53" s="1484"/>
      <c r="J53" s="1484"/>
      <c r="K53" s="1484"/>
      <c r="L53" s="1664"/>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970003-0064-4EB9-8990-005200810028}"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 xr:uid="{001C00F2-00EA-45D8-8003-00630002003B}"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17006D-004D-4C03-B38B-004700F30023}"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93009D-009B-4B6B-82F8-000700710056}"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4" style="9138" width="24.7109375"/>
    <col customWidth="1" hidden="1" min="25" max="25" style="9138" width="11.7109375"/>
    <col customWidth="1" hidden="1" min="26" max="26" style="9138" width="3.7109375"/>
    <col customWidth="1" hidden="1" min="27" max="27" style="9138" width="11.7109375"/>
    <col customWidth="1" hidden="1" min="28" max="28" style="9138" width="8.57421875"/>
    <col customWidth="1" min="29" max="29" style="9138" width="24.7109375"/>
    <col customWidth="1" min="30" max="31" style="9138" width="24.00390625"/>
    <col customWidth="1" min="32" max="32" style="9138" width="11.00390625"/>
    <col customWidth="1" min="33" max="33" style="9138" width="3.7109375"/>
    <col customWidth="1" min="34" max="34" style="9138" width="11.00390625"/>
    <col customWidth="1" hidden="1" min="35" max="35" style="9138" width="8.57421875"/>
    <col customWidth="1" min="36" max="36" style="9138" width="4.00390625"/>
    <col customWidth="1" min="37" max="37" style="9138" width="115.00390625"/>
    <col customWidth="1" min="38" max="42" style="9218" width="10.00390625"/>
    <col hidden="1" min="43" max="43" style="9138" width="10.57421875"/>
  </cols>
  <sheetData>
    <row r="1" ht="22.5" hidden="1" customHeight="1">
      <c r="X1" s="497"/>
      <c r="Y1" s="497"/>
      <c r="AE1" s="497"/>
      <c r="AF1" s="497"/>
      <c r="AQ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 xml:space="preserve">Наименование тарифа</v>
      </c>
      <c r="AO2" s="670"/>
      <c r="AP2" s="670"/>
      <c r="AQ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405</v>
      </c>
      <c r="AM3" s="670"/>
      <c r="AN3" s="670" t="str">
        <f>IF(T3="","",T3)</f>
        <v xml:space="preserve">Территория действия тарифа</v>
      </c>
      <c r="AO3" s="670"/>
      <c r="AP3" s="670"/>
      <c r="AQ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522</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523</v>
      </c>
      <c r="AM4" s="670"/>
      <c r="AN4" s="670" t="str">
        <f>IF(T4="","",T4)</f>
        <v xml:space="preserve">Наименование централизованной системы водоотведения</v>
      </c>
      <c r="AO4" s="670"/>
      <c r="AP4" s="670"/>
      <c r="AQ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2"/>
      <c r="AC5" s="2523"/>
      <c r="AD5" s="2524"/>
      <c r="AE5" s="2524"/>
      <c r="AF5" s="2524"/>
      <c r="AG5" s="2524"/>
      <c r="AH5" s="2524"/>
      <c r="AI5" s="2524"/>
      <c r="AJ5" s="2525"/>
      <c r="AK5" s="1428" t="s">
        <v>490</v>
      </c>
      <c r="AM5" s="670"/>
      <c r="AN5" s="670" t="str">
        <f>IF(T5="","",T5)</f>
        <v xml:space="preserve">Наименование признака дифференциации</v>
      </c>
      <c r="AO5" s="670"/>
      <c r="AP5" s="670"/>
      <c r="AQ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7"/>
      <c r="AC6" s="2415"/>
      <c r="AD6" s="2416"/>
      <c r="AE6" s="2416"/>
      <c r="AF6" s="2416"/>
      <c r="AG6" s="2416"/>
      <c r="AH6" s="2416"/>
      <c r="AI6" s="2416"/>
      <c r="AJ6" s="2417"/>
      <c r="AK6" s="1477" t="s">
        <v>491</v>
      </c>
      <c r="AM6" s="670"/>
      <c r="AN6" s="670" t="str">
        <f>IF(T6="","",T6)</f>
        <v xml:space="preserve">Группа потребителей</v>
      </c>
      <c r="AO6" s="670"/>
      <c r="AP6" s="670"/>
      <c r="AQ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67</v>
      </c>
      <c r="AA7" s="2435"/>
      <c r="AB7" s="2277" t="s">
        <v>67</v>
      </c>
      <c r="AC7" s="921"/>
      <c r="AD7" s="921"/>
      <c r="AE7" s="1427"/>
      <c r="AF7" s="2435"/>
      <c r="AG7" s="2277" t="s">
        <v>67</v>
      </c>
      <c r="AH7" s="2457"/>
      <c r="AI7" s="2277" t="s">
        <v>67</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537"/>
      <c r="X9" s="537"/>
      <c r="Y9" s="537"/>
      <c r="Z9" s="537"/>
      <c r="AA9" s="537"/>
      <c r="AB9" s="537"/>
      <c r="AC9" s="537"/>
      <c r="AD9" s="537"/>
      <c r="AE9" s="537"/>
      <c r="AF9" s="537"/>
      <c r="AG9" s="537"/>
      <c r="AH9" s="537"/>
      <c r="AI9" s="537"/>
      <c r="AJ9" s="537"/>
      <c r="AK9" s="1428" t="s">
        <v>493</v>
      </c>
      <c r="AM9" s="670"/>
      <c r="AN9" s="670" t="str">
        <f>IF(T9="","",T9)</f>
        <v xml:space="preserve">Добавить значение признака дифференциации</v>
      </c>
      <c r="AO9" s="670"/>
      <c r="AP9" s="670"/>
      <c r="AQ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537"/>
      <c r="X10" s="537"/>
      <c r="Y10" s="537"/>
      <c r="Z10" s="537"/>
      <c r="AA10" s="537"/>
      <c r="AB10" s="536"/>
      <c r="AC10" s="537"/>
      <c r="AD10" s="537"/>
      <c r="AE10" s="537"/>
      <c r="AF10" s="537"/>
      <c r="AG10" s="537"/>
      <c r="AH10" s="537"/>
      <c r="AI10" s="536"/>
      <c r="AJ10" s="537"/>
      <c r="AK10" s="1610"/>
      <c r="AM10" s="670"/>
      <c r="AN10" s="670" t="str">
        <f>IF(T10="","",T10)</f>
        <v xml:space="preserve">Добавить группу потребителей</v>
      </c>
      <c r="AO10" s="670"/>
      <c r="AP10" s="670"/>
      <c r="AQ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537"/>
      <c r="X11" s="537"/>
      <c r="Y11" s="537"/>
      <c r="Z11" s="537"/>
      <c r="AA11" s="537"/>
      <c r="AB11" s="536"/>
      <c r="AC11" s="537"/>
      <c r="AD11" s="537"/>
      <c r="AE11" s="537"/>
      <c r="AF11" s="537"/>
      <c r="AG11" s="537"/>
      <c r="AH11" s="537"/>
      <c r="AI11" s="536"/>
      <c r="AJ11" s="537"/>
      <c r="AK11" s="473"/>
      <c r="AM11" s="670"/>
      <c r="AN11" s="670" t="str">
        <f>IF(T11="","",T11)</f>
        <v xml:space="preserve">Добавить наименование признака дифференциации</v>
      </c>
      <c r="AO11" s="670"/>
      <c r="AP11" s="670"/>
      <c r="AQ11" s="1325">
        <v>0</v>
      </c>
    </row>
    <row r="12" s="9218"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M12" s="959"/>
      <c r="AN12" s="959" t="str">
        <f>IF(T12="","",T12)</f>
        <v xml:space="preserve">Добавить централизованную систему для дифференциации</v>
      </c>
      <c r="AO12" s="959"/>
      <c r="AP12" s="959"/>
      <c r="AQ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M13" s="670"/>
      <c r="AN13" s="670" t="str">
        <f>IF(T13="","",T13)</f>
        <v xml:space="preserve">Добавить территорию для дифференциации</v>
      </c>
      <c r="AO13" s="670"/>
      <c r="AP13" s="670"/>
      <c r="AQ13" s="681">
        <v>0</v>
      </c>
    </row>
    <row r="14" ht="14.25" hidden="1" customHeight="1">
      <c r="AB14" s="497"/>
      <c r="AI14" s="497"/>
      <c r="AQ14" s="1325">
        <v>0</v>
      </c>
    </row>
    <row r="15" ht="14.25" hidden="1" customHeight="1">
      <c r="AC15" s="1530"/>
      <c r="AD15" s="1530"/>
      <c r="AE15" s="1531"/>
      <c r="AF15" s="2437"/>
      <c r="AG15" s="2438" t="s">
        <v>67</v>
      </c>
      <c r="AH15" s="2437"/>
      <c r="AI15" s="2438" t="s">
        <v>67</v>
      </c>
      <c r="AQ15" s="1325">
        <v>0</v>
      </c>
    </row>
    <row r="16" ht="14.25" hidden="1" customHeight="1">
      <c r="AC16" s="1530"/>
      <c r="AD16" s="1530"/>
      <c r="AE16" s="498" t="str">
        <f>AF15&amp;"-"&amp;AH15</f>
        <v>-</v>
      </c>
      <c r="AF16" s="2438"/>
      <c r="AG16" s="2438"/>
      <c r="AH16" s="2438"/>
      <c r="AI16" s="2438"/>
      <c r="AQ16" s="1325">
        <v>0</v>
      </c>
    </row>
    <row r="17" ht="14.25" hidden="1" customHeight="1">
      <c r="AI17" s="497"/>
      <c r="AQ17" s="1325">
        <v>0</v>
      </c>
    </row>
    <row r="18" s="9217" customFormat="1" ht="22.5" hidden="1" customHeight="1">
      <c r="L18" s="1648"/>
      <c r="M18" s="1532"/>
      <c r="N18" s="1532"/>
      <c r="O18" s="1537" t="s">
        <v>421</v>
      </c>
      <c r="P18" s="1532"/>
      <c r="Q18" s="1541"/>
      <c r="R18" s="1541"/>
      <c r="S18" s="899"/>
      <c r="Y18" s="1537"/>
      <c r="AA18" s="1537"/>
      <c r="AB18" s="1536"/>
      <c r="AF18" s="1537"/>
      <c r="AH18" s="1537"/>
      <c r="AI18" s="1536"/>
      <c r="AL18" s="681"/>
      <c r="AM18" s="681"/>
      <c r="AN18" s="681"/>
      <c r="AO18" s="681"/>
      <c r="AP18" s="681"/>
      <c r="AQ18" s="1330">
        <v>0</v>
      </c>
    </row>
    <row r="19" s="9217" customFormat="1" ht="14.25" hidden="1" customHeight="1">
      <c r="L19" s="1648"/>
      <c r="M19" s="1532"/>
      <c r="N19" s="1532"/>
      <c r="O19" s="1532"/>
      <c r="P19" s="1532"/>
      <c r="Q19" s="1541"/>
      <c r="R19" s="1541"/>
      <c r="S19" s="899"/>
      <c r="AB19" s="1536"/>
      <c r="AI19" s="1536"/>
      <c r="AL19" s="681"/>
      <c r="AM19" s="681"/>
      <c r="AN19" s="681"/>
      <c r="AO19" s="681"/>
      <c r="AP19" s="681"/>
      <c r="AQ19" s="1330">
        <v>0</v>
      </c>
    </row>
    <row r="20" s="9217" customFormat="1" ht="12" hidden="1" customHeight="1">
      <c r="L20" s="1648"/>
      <c r="M20" s="1532"/>
      <c r="N20" s="1532"/>
      <c r="O20" s="1534" t="s">
        <v>422</v>
      </c>
      <c r="P20" s="1532"/>
      <c r="Q20" s="1612"/>
      <c r="R20" s="1612"/>
      <c r="S20" s="899"/>
      <c r="T20" s="1330" t="s">
        <v>423</v>
      </c>
      <c r="Z20" s="356" t="s">
        <v>424</v>
      </c>
      <c r="AB20" s="356" t="s">
        <v>425</v>
      </c>
      <c r="AC20" s="1330" t="s">
        <v>423</v>
      </c>
      <c r="AG20" s="356" t="s">
        <v>426</v>
      </c>
      <c r="AI20" s="356" t="s">
        <v>425</v>
      </c>
      <c r="AQ20" s="1330">
        <v>0</v>
      </c>
    </row>
    <row r="21" ht="14.25" hidden="1" customHeight="1">
      <c r="O21" s="1534"/>
      <c r="AQ21" s="1325">
        <v>0</v>
      </c>
    </row>
    <row r="22" ht="14.25" hidden="1" customHeight="1">
      <c r="O22" s="1534"/>
      <c r="AQ22" s="1325">
        <v>0</v>
      </c>
    </row>
    <row r="23" ht="14.65" customHeight="1">
      <c r="Q23" s="546"/>
      <c r="R23" s="546"/>
      <c r="S23" s="1445"/>
      <c r="T23" s="533"/>
      <c r="U23" s="533"/>
      <c r="V23" s="679"/>
      <c r="W23" s="679"/>
      <c r="X23" s="679"/>
      <c r="Y23" s="679"/>
      <c r="Z23" s="679"/>
      <c r="AA23" s="679"/>
      <c r="AB23" s="679"/>
      <c r="AC23" s="679"/>
      <c r="AD23" s="679"/>
      <c r="AE23" s="679"/>
      <c r="AF23" s="679"/>
      <c r="AG23" s="679"/>
      <c r="AH23" s="679"/>
      <c r="AI23" s="679"/>
      <c r="AQ23" s="1325">
        <v>14</v>
      </c>
    </row>
    <row r="24" ht="14.65" customHeight="1">
      <c r="Q24" s="546"/>
      <c r="R24" s="546"/>
      <c r="S24" s="2418" t="str">
        <f>IF(TEMPLATE_GROUP="P",PT_P_FORM_VOTV_4_NAME_FORM,PT_R_FORM_VOTV_16_NAME_FORM)</f>
        <v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1413"/>
      <c r="AQ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496"/>
      <c r="AC28" s="2434" t="str">
        <f>IF(TITLE_DATE_PR_CHANGE="",IF(TITLE_DATE_PR="","",TITLE_DATE_PR),TITLE_DATE_PR_CHANGE)</f>
        <v>45646</v>
      </c>
      <c r="AD28" s="2434"/>
      <c r="AE28" s="2434"/>
      <c r="AF28" s="2434"/>
      <c r="AG28" s="2434"/>
      <c r="AH28" s="2434"/>
      <c r="AI28" s="496"/>
      <c r="AJ28" s="496"/>
      <c r="AK28" s="450"/>
      <c r="AL28" s="538"/>
      <c r="AM28" s="538"/>
      <c r="AN28" s="538"/>
      <c r="AO28" s="538"/>
      <c r="AP28" s="538"/>
      <c r="AQ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496"/>
      <c r="AC29" s="2421" t="str">
        <f>IF(TITLE_NUMBER_PR_CHANGE="",IF(TITLE_NUMBER_PR="","",TITLE_NUMBER_PR),TITLE_NUMBER_PR_CHANGE)</f>
        <v>ДГК-01.1/22560</v>
      </c>
      <c r="AD29" s="2421"/>
      <c r="AE29" s="2421"/>
      <c r="AF29" s="2421"/>
      <c r="AG29" s="2421"/>
      <c r="AH29" s="2421"/>
      <c r="AI29" s="496"/>
      <c r="AJ29" s="496"/>
      <c r="AK29" s="450"/>
      <c r="AL29" s="538"/>
      <c r="AM29" s="538"/>
      <c r="AN29" s="538"/>
      <c r="AO29" s="538"/>
      <c r="AP29" s="538"/>
      <c r="AQ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496"/>
      <c r="AC32" s="2434" t="str">
        <f>IF(TITLE_DATE_PR_CHANGE="",IF(TITLE_DATE_PR="","",TITLE_DATE_PR),TITLE_DATE_PR_CHANGE)</f>
        <v>45646</v>
      </c>
      <c r="AD32" s="2434"/>
      <c r="AE32" s="2434"/>
      <c r="AF32" s="2434"/>
      <c r="AG32" s="2434"/>
      <c r="AH32" s="2434"/>
      <c r="AI32" s="496"/>
      <c r="AJ32" s="496"/>
      <c r="AK32" s="450"/>
      <c r="AL32" s="538"/>
      <c r="AM32" s="538"/>
      <c r="AN32" s="538"/>
      <c r="AO32" s="538"/>
      <c r="AP32" s="538"/>
      <c r="AQ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496"/>
      <c r="AC33" s="2421" t="str">
        <f>IF(TITLE_NUMBER_PR_CHANGE="",IF(TITLE_NUMBER_PR="","",TITLE_NUMBER_PR),TITLE_NUMBER_PR_CHANGE)</f>
        <v>ДГК-01.1/22560</v>
      </c>
      <c r="AD33" s="2421"/>
      <c r="AE33" s="2421"/>
      <c r="AF33" s="2421"/>
      <c r="AG33" s="2421"/>
      <c r="AH33" s="2421"/>
      <c r="AI33" s="496"/>
      <c r="AJ33" s="496"/>
      <c r="AK33" s="450"/>
      <c r="AL33" s="538"/>
      <c r="AM33" s="538"/>
      <c r="AN33" s="538"/>
      <c r="AO33" s="538"/>
      <c r="AP33" s="538"/>
      <c r="AQ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431</v>
      </c>
      <c r="AC34" s="496"/>
      <c r="AD34" s="496"/>
      <c r="AE34" s="496"/>
      <c r="AF34" s="496"/>
      <c r="AG34" s="496"/>
      <c r="AH34" s="496"/>
      <c r="AI34" s="448" t="s">
        <v>431</v>
      </c>
      <c r="AL34" s="538"/>
      <c r="AM34" s="538"/>
      <c r="AN34" s="538"/>
      <c r="AO34" s="538"/>
      <c r="AP34" s="538"/>
      <c r="AQ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t="s">
        <v>308</v>
      </c>
      <c r="AQ36" s="1325">
        <v>14</v>
      </c>
    </row>
    <row r="37" ht="14.65" customHeight="1">
      <c r="Q37" s="546"/>
      <c r="R37" s="546"/>
      <c r="S37" s="2443" t="s">
        <v>89</v>
      </c>
      <c r="T37" s="2379" t="s">
        <v>433</v>
      </c>
      <c r="U37" s="471"/>
      <c r="V37" s="2444" t="s">
        <v>434</v>
      </c>
      <c r="W37" s="2445"/>
      <c r="X37" s="2445"/>
      <c r="Y37" s="2445"/>
      <c r="Z37" s="2445"/>
      <c r="AA37" s="2446"/>
      <c r="AB37" s="2447" t="s">
        <v>435</v>
      </c>
      <c r="AC37" s="2444" t="s">
        <v>434</v>
      </c>
      <c r="AD37" s="2445"/>
      <c r="AE37" s="2445"/>
      <c r="AF37" s="2445"/>
      <c r="AG37" s="2445"/>
      <c r="AH37" s="2446"/>
      <c r="AI37" s="2447" t="s">
        <v>436</v>
      </c>
      <c r="AJ37" s="2450" t="s">
        <v>437</v>
      </c>
      <c r="AK37" s="2297"/>
      <c r="AQ37" s="1325">
        <v>14</v>
      </c>
    </row>
    <row r="38" ht="35.649999999999999" customHeight="1">
      <c r="Q38" s="546"/>
      <c r="R38" s="546"/>
      <c r="S38" s="2443"/>
      <c r="T38" s="2379"/>
      <c r="U38" s="1201"/>
      <c r="V38" s="1653" t="s">
        <v>495</v>
      </c>
      <c r="W38" s="2432" t="s">
        <v>440</v>
      </c>
      <c r="X38" s="2433"/>
      <c r="Y38" s="2432" t="s">
        <v>441</v>
      </c>
      <c r="Z38" s="2439"/>
      <c r="AA38" s="2433"/>
      <c r="AB38" s="2448"/>
      <c r="AC38" s="1653" t="s">
        <v>495</v>
      </c>
      <c r="AD38" s="2432" t="s">
        <v>440</v>
      </c>
      <c r="AE38" s="2433"/>
      <c r="AF38" s="2432" t="s">
        <v>441</v>
      </c>
      <c r="AG38" s="2439"/>
      <c r="AH38" s="2433"/>
      <c r="AI38" s="2448"/>
      <c r="AJ38" s="2451"/>
      <c r="AK38" s="2297"/>
      <c r="AQ38" s="1325">
        <v>34</v>
      </c>
    </row>
    <row r="39" ht="90.299999999999997" customHeight="1">
      <c r="A39" s="1540"/>
      <c r="B39" s="1540" t="s">
        <v>135</v>
      </c>
      <c r="C39" s="1540" t="s">
        <v>136</v>
      </c>
      <c r="D39" s="1540" t="s">
        <v>137</v>
      </c>
      <c r="E39" s="1534" t="s">
        <v>442</v>
      </c>
      <c r="F39" s="1534" t="s">
        <v>443</v>
      </c>
      <c r="G39" s="1534" t="s">
        <v>444</v>
      </c>
      <c r="H39" s="1534"/>
      <c r="I39" s="1534" t="s">
        <v>496</v>
      </c>
      <c r="J39" s="1534" t="s">
        <v>447</v>
      </c>
      <c r="K39" s="1534" t="s">
        <v>497</v>
      </c>
      <c r="L39" s="1534" t="s">
        <v>422</v>
      </c>
      <c r="Q39" s="546"/>
      <c r="R39" s="546"/>
      <c r="S39" s="2443"/>
      <c r="T39" s="2379"/>
      <c r="U39" s="472"/>
      <c r="V39" s="1653" t="s">
        <v>524</v>
      </c>
      <c r="W39" s="1392" t="s">
        <v>525</v>
      </c>
      <c r="X39" s="1392" t="s">
        <v>500</v>
      </c>
      <c r="Y39" s="1659" t="s">
        <v>451</v>
      </c>
      <c r="Z39" s="2440" t="s">
        <v>452</v>
      </c>
      <c r="AA39" s="2441"/>
      <c r="AB39" s="2449"/>
      <c r="AC39" s="1653" t="s">
        <v>524</v>
      </c>
      <c r="AD39" s="1392" t="s">
        <v>525</v>
      </c>
      <c r="AE39" s="1392" t="s">
        <v>500</v>
      </c>
      <c r="AF39" s="1659" t="s">
        <v>451</v>
      </c>
      <c r="AG39" s="2440" t="s">
        <v>452</v>
      </c>
      <c r="AH39" s="2441"/>
      <c r="AI39" s="2449"/>
      <c r="AJ39" s="2452"/>
      <c r="AK39" s="2297"/>
      <c r="AQ39" s="1325">
        <v>86</v>
      </c>
    </row>
    <row r="40" s="9831" customFormat="1" ht="0" customHeight="1">
      <c r="A40" s="1540"/>
      <c r="B40" s="1540"/>
      <c r="C40" s="1540"/>
      <c r="D40" s="1540"/>
      <c r="E40" s="1540"/>
      <c r="F40" s="1540"/>
      <c r="G40" s="1540"/>
      <c r="H40" s="1540"/>
      <c r="I40" s="1540"/>
      <c r="J40" s="1540"/>
      <c r="K40" s="1540"/>
      <c r="L40" s="1534"/>
      <c r="M40" s="1532"/>
      <c r="N40" s="1532"/>
      <c r="O40" s="1532"/>
      <c r="P40" s="1416"/>
      <c r="Q40" s="1417"/>
      <c r="R40" s="1424">
        <v>1</v>
      </c>
      <c r="S40" s="1447" t="s">
        <v>110</v>
      </c>
      <c r="T40" s="1425" t="s">
        <v>111</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r="41" ht="24" customHeight="1">
      <c r="A41" s="1533" t="s">
        <v>278</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 xml:space="preserve">Наименование тарифа</v>
      </c>
      <c r="AO41" s="670"/>
      <c r="AP41" s="670"/>
      <c r="AQ41" s="1325">
        <v>23</v>
      </c>
    </row>
    <row r="42" ht="24" customHeight="1">
      <c r="A42" s="1533" t="s">
        <v>278</v>
      </c>
      <c r="B42" s="1533" t="s">
        <v>279</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404</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405</v>
      </c>
      <c r="AM42" s="670"/>
      <c r="AN42" s="670" t="str">
        <f>IF(T42="","",T42)</f>
        <v xml:space="preserve">Территория действия тарифа</v>
      </c>
      <c r="AO42" s="670"/>
      <c r="AP42" s="670"/>
      <c r="AQ42" s="1325">
        <v>23</v>
      </c>
    </row>
    <row r="43" ht="24" customHeight="1">
      <c r="A43" s="1533" t="s">
        <v>278</v>
      </c>
      <c r="B43" s="1533" t="s">
        <v>279</v>
      </c>
      <c r="C43" s="1533" t="s">
        <v>280</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522</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523</v>
      </c>
      <c r="AM43" s="670"/>
      <c r="AN43" s="670" t="str">
        <f>IF(T43="","",T43)</f>
        <v xml:space="preserve">Наименование централизованной системы водоотведения</v>
      </c>
      <c r="AO43" s="670"/>
      <c r="AP43" s="670"/>
      <c r="AQ43" s="1325">
        <v>23</v>
      </c>
    </row>
    <row r="44" ht="24" customHeight="1">
      <c r="A44" s="1533" t="s">
        <v>278</v>
      </c>
      <c r="B44" s="1533" t="s">
        <v>279</v>
      </c>
      <c r="C44" s="1533" t="s">
        <v>280</v>
      </c>
      <c r="D44" s="1533" t="s">
        <v>527</v>
      </c>
      <c r="E44" s="2429"/>
      <c r="F44" s="2429"/>
      <c r="G44" s="2429"/>
      <c r="H44" s="2429"/>
      <c r="I44" s="2426" t="str">
        <f>S43&amp;".1"</f>
        <v>...1</v>
      </c>
      <c r="J44" s="1533"/>
      <c r="K44" s="1533"/>
      <c r="L44" s="1534"/>
      <c r="P44" s="2427">
        <v>1</v>
      </c>
      <c r="Q44" s="1651"/>
      <c r="R44" s="526"/>
      <c r="S44" s="1663" t="str">
        <f>$I44</f>
        <v>...1</v>
      </c>
      <c r="T44" s="455" t="s">
        <v>489</v>
      </c>
      <c r="U44" s="470"/>
      <c r="V44" s="2520"/>
      <c r="W44" s="2521"/>
      <c r="X44" s="2521"/>
      <c r="Y44" s="2521"/>
      <c r="Z44" s="2521"/>
      <c r="AA44" s="2521"/>
      <c r="AB44" s="2522"/>
      <c r="AC44" s="2523"/>
      <c r="AD44" s="2524"/>
      <c r="AE44" s="2524"/>
      <c r="AF44" s="2524"/>
      <c r="AG44" s="2524"/>
      <c r="AH44" s="2524"/>
      <c r="AI44" s="2524"/>
      <c r="AJ44" s="2525"/>
      <c r="AK44" s="1428" t="s">
        <v>490</v>
      </c>
      <c r="AM44" s="670"/>
      <c r="AN44" s="670" t="str">
        <f>IF(T44="","",T44)</f>
        <v xml:space="preserve">Наименование признака дифференциации</v>
      </c>
      <c r="AO44" s="670"/>
      <c r="AP44" s="670"/>
      <c r="AQ44" s="1325">
        <v>23</v>
      </c>
    </row>
    <row r="45" ht="24" customHeight="1">
      <c r="A45" s="1533" t="s">
        <v>278</v>
      </c>
      <c r="B45" s="1533" t="s">
        <v>279</v>
      </c>
      <c r="C45" s="1533" t="s">
        <v>280</v>
      </c>
      <c r="D45" s="1533" t="s">
        <v>527</v>
      </c>
      <c r="E45" s="2429"/>
      <c r="F45" s="2429"/>
      <c r="G45" s="2429"/>
      <c r="H45" s="2429"/>
      <c r="I45" s="2456"/>
      <c r="J45" s="2426" t="str">
        <f>I44&amp;".1"</f>
        <v>...1.1</v>
      </c>
      <c r="K45" s="1533"/>
      <c r="L45" s="1534" t="s">
        <v>413</v>
      </c>
      <c r="P45" s="2427"/>
      <c r="Q45" s="2427">
        <v>1</v>
      </c>
      <c r="R45" s="527"/>
      <c r="S45" s="1663" t="str">
        <f>$J45</f>
        <v>...1.1</v>
      </c>
      <c r="T45" s="456" t="s">
        <v>414</v>
      </c>
      <c r="U45" s="470"/>
      <c r="V45" s="2415"/>
      <c r="W45" s="2416"/>
      <c r="X45" s="2416"/>
      <c r="Y45" s="2416"/>
      <c r="Z45" s="2416"/>
      <c r="AA45" s="2416"/>
      <c r="AB45" s="2417"/>
      <c r="AC45" s="2415"/>
      <c r="AD45" s="2416"/>
      <c r="AE45" s="2416"/>
      <c r="AF45" s="2416"/>
      <c r="AG45" s="2416"/>
      <c r="AH45" s="2416"/>
      <c r="AI45" s="2416"/>
      <c r="AJ45" s="2417"/>
      <c r="AK45" s="1477" t="s">
        <v>491</v>
      </c>
      <c r="AM45" s="670"/>
      <c r="AN45" s="670" t="str">
        <f>IF(T45="","",T45)</f>
        <v xml:space="preserve">Группа потребителей</v>
      </c>
      <c r="AO45" s="670"/>
      <c r="AP45" s="670"/>
      <c r="AQ45" s="1325">
        <v>23</v>
      </c>
    </row>
    <row r="46" ht="24" customHeight="1">
      <c r="A46" s="1533" t="s">
        <v>278</v>
      </c>
      <c r="B46" s="1533" t="s">
        <v>279</v>
      </c>
      <c r="C46" s="1533" t="s">
        <v>280</v>
      </c>
      <c r="D46" s="1533" t="s">
        <v>527</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67</v>
      </c>
      <c r="AA46" s="2437"/>
      <c r="AB46" s="2438" t="s">
        <v>67</v>
      </c>
      <c r="AC46" s="921"/>
      <c r="AD46" s="921"/>
      <c r="AE46" s="1427"/>
      <c r="AF46" s="2435"/>
      <c r="AG46" s="2277" t="s">
        <v>67</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r="47" ht="0" customHeight="1">
      <c r="A47" s="1533" t="s">
        <v>278</v>
      </c>
      <c r="B47" s="1533" t="s">
        <v>279</v>
      </c>
      <c r="C47" s="1533" t="s">
        <v>280</v>
      </c>
      <c r="D47" s="1533" t="s">
        <v>527</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r="48" ht="21" customHeight="1">
      <c r="A48" s="1533" t="s">
        <v>278</v>
      </c>
      <c r="B48" s="1533" t="s">
        <v>279</v>
      </c>
      <c r="C48" s="1533" t="s">
        <v>280</v>
      </c>
      <c r="D48" s="1533" t="s">
        <v>527</v>
      </c>
      <c r="E48" s="2429"/>
      <c r="F48" s="2429"/>
      <c r="G48" s="2429"/>
      <c r="H48" s="2429"/>
      <c r="I48" s="2456"/>
      <c r="J48" s="2426"/>
      <c r="K48" s="1533"/>
      <c r="L48" s="1534"/>
      <c r="P48" s="2427"/>
      <c r="Q48" s="2427"/>
      <c r="R48" s="526"/>
      <c r="S48" s="1448"/>
      <c r="T48" s="457" t="s">
        <v>492</v>
      </c>
      <c r="U48" s="537"/>
      <c r="V48" s="537"/>
      <c r="W48" s="537"/>
      <c r="X48" s="537"/>
      <c r="Y48" s="537"/>
      <c r="Z48" s="537"/>
      <c r="AA48" s="537"/>
      <c r="AB48" s="537"/>
      <c r="AC48" s="537"/>
      <c r="AD48" s="537"/>
      <c r="AE48" s="537"/>
      <c r="AF48" s="537"/>
      <c r="AG48" s="537"/>
      <c r="AH48" s="537"/>
      <c r="AI48" s="537"/>
      <c r="AJ48" s="537"/>
      <c r="AK48" s="1428" t="s">
        <v>493</v>
      </c>
      <c r="AM48" s="670"/>
      <c r="AN48" s="670" t="str">
        <f>IF(T48="","",T48)</f>
        <v xml:space="preserve">Добавить значение признака дифференциации</v>
      </c>
      <c r="AO48" s="670"/>
      <c r="AP48" s="670"/>
      <c r="AQ48" s="1325">
        <v>20</v>
      </c>
    </row>
    <row r="49" ht="22" customHeight="1">
      <c r="A49" s="1533" t="s">
        <v>278</v>
      </c>
      <c r="B49" s="1533" t="s">
        <v>279</v>
      </c>
      <c r="C49" s="1533" t="s">
        <v>280</v>
      </c>
      <c r="D49" s="1533" t="s">
        <v>527</v>
      </c>
      <c r="E49" s="2429"/>
      <c r="F49" s="2429"/>
      <c r="G49" s="2429"/>
      <c r="H49" s="2429"/>
      <c r="I49" s="2426"/>
      <c r="J49" s="1533"/>
      <c r="K49" s="1533"/>
      <c r="L49" s="1534"/>
      <c r="P49" s="2427"/>
      <c r="Q49" s="1651"/>
      <c r="R49" s="526"/>
      <c r="S49" s="1448"/>
      <c r="T49" s="535" t="s">
        <v>419</v>
      </c>
      <c r="U49" s="537"/>
      <c r="V49" s="537"/>
      <c r="W49" s="537"/>
      <c r="X49" s="537"/>
      <c r="Y49" s="537"/>
      <c r="Z49" s="537"/>
      <c r="AA49" s="537"/>
      <c r="AB49" s="536"/>
      <c r="AC49" s="537"/>
      <c r="AD49" s="537"/>
      <c r="AE49" s="537"/>
      <c r="AF49" s="537"/>
      <c r="AG49" s="537"/>
      <c r="AH49" s="537"/>
      <c r="AI49" s="536"/>
      <c r="AJ49" s="537"/>
      <c r="AK49" s="1610"/>
      <c r="AM49" s="670"/>
      <c r="AN49" s="670" t="str">
        <f>IF(T49="","",T49)</f>
        <v xml:space="preserve">Добавить группу потребителей</v>
      </c>
      <c r="AO49" s="670"/>
      <c r="AP49" s="670"/>
      <c r="AQ49" s="1325">
        <v>21</v>
      </c>
    </row>
    <row r="50" ht="22" customHeight="1">
      <c r="A50" s="1533" t="s">
        <v>278</v>
      </c>
      <c r="B50" s="1533" t="s">
        <v>279</v>
      </c>
      <c r="C50" s="1533" t="s">
        <v>280</v>
      </c>
      <c r="D50" s="1533" t="s">
        <v>527</v>
      </c>
      <c r="E50" s="2429"/>
      <c r="F50" s="2429"/>
      <c r="G50" s="2429"/>
      <c r="H50" s="2428"/>
      <c r="I50" s="1533"/>
      <c r="J50" s="1533"/>
      <c r="K50" s="1533"/>
      <c r="L50" s="1534"/>
      <c r="M50" s="1535"/>
      <c r="N50" s="1535"/>
      <c r="O50" s="707"/>
      <c r="P50" s="530"/>
      <c r="Q50" s="545"/>
      <c r="R50" s="525"/>
      <c r="S50" s="1448"/>
      <c r="T50" s="542" t="s">
        <v>494</v>
      </c>
      <c r="U50" s="537"/>
      <c r="V50" s="537"/>
      <c r="W50" s="537"/>
      <c r="X50" s="537"/>
      <c r="Y50" s="537"/>
      <c r="Z50" s="537"/>
      <c r="AA50" s="537"/>
      <c r="AB50" s="536"/>
      <c r="AC50" s="537"/>
      <c r="AD50" s="537"/>
      <c r="AE50" s="537"/>
      <c r="AF50" s="537"/>
      <c r="AG50" s="537"/>
      <c r="AH50" s="537"/>
      <c r="AI50" s="536"/>
      <c r="AJ50" s="537"/>
      <c r="AK50" s="473"/>
      <c r="AM50" s="670"/>
      <c r="AN50" s="670" t="str">
        <f>IF(T50="","",T50)</f>
        <v xml:space="preserve">Добавить наименование признака дифференциации</v>
      </c>
      <c r="AO50" s="670"/>
      <c r="AP50" s="670"/>
      <c r="AQ50" s="1325">
        <v>21</v>
      </c>
    </row>
    <row r="51" s="9218" customFormat="1" ht="0" customHeight="1">
      <c r="A51" s="1513" t="s">
        <v>278</v>
      </c>
      <c r="B51" s="1513" t="s">
        <v>279</v>
      </c>
      <c r="C51" s="1484"/>
      <c r="D51" s="1484"/>
      <c r="E51" s="2429"/>
      <c r="F51" s="2428"/>
      <c r="G51" s="1484"/>
      <c r="H51" s="1484"/>
      <c r="I51" s="1484"/>
      <c r="J51" s="1484"/>
      <c r="K51" s="1484"/>
      <c r="L51" s="1664"/>
      <c r="M51" s="1491"/>
      <c r="N51" s="1491"/>
      <c r="P51" s="1486"/>
      <c r="Q51" s="1487"/>
      <c r="R51" s="1486"/>
      <c r="S51" s="1492"/>
      <c r="T51" s="1495" t="s">
        <v>164</v>
      </c>
      <c r="U51" s="1494"/>
      <c r="V51" s="1494"/>
      <c r="W51" s="1494"/>
      <c r="X51" s="1494"/>
      <c r="Y51" s="1494"/>
      <c r="Z51" s="1494"/>
      <c r="AA51" s="1494"/>
      <c r="AB51" s="1494"/>
      <c r="AC51" s="1494"/>
      <c r="AD51" s="1494"/>
      <c r="AE51" s="1494"/>
      <c r="AF51" s="1494"/>
      <c r="AG51" s="1494"/>
      <c r="AH51" s="1494"/>
      <c r="AI51" s="1494"/>
      <c r="AJ51" s="1494"/>
      <c r="AK51" s="1494"/>
      <c r="AM51" s="959"/>
      <c r="AN51" s="959" t="str">
        <f>IF(T51="","",T51)</f>
        <v xml:space="preserve">Добавить централизованную систему для дифференциации</v>
      </c>
      <c r="AO51" s="959"/>
      <c r="AP51" s="959"/>
      <c r="AQ51" s="688">
        <v>0</v>
      </c>
    </row>
    <row r="52" s="9218" customFormat="1" ht="0" customHeight="1">
      <c r="A52" s="1513" t="s">
        <v>278</v>
      </c>
      <c r="B52" s="1513"/>
      <c r="C52" s="1513"/>
      <c r="D52" s="1513"/>
      <c r="E52" s="2428"/>
      <c r="F52" s="1513"/>
      <c r="G52" s="1513"/>
      <c r="H52" s="1513"/>
      <c r="I52" s="1513"/>
      <c r="J52" s="1513"/>
      <c r="K52" s="1513"/>
      <c r="L52" s="1516"/>
      <c r="M52" s="1491"/>
      <c r="N52" s="1491"/>
      <c r="O52" s="688"/>
      <c r="P52" s="550"/>
      <c r="Q52" s="1514"/>
      <c r="R52" s="550"/>
      <c r="S52" s="1492"/>
      <c r="T52" s="1495" t="s">
        <v>165</v>
      </c>
      <c r="U52" s="1494"/>
      <c r="V52" s="1494"/>
      <c r="W52" s="1494"/>
      <c r="X52" s="1494"/>
      <c r="Y52" s="1494"/>
      <c r="Z52" s="1494"/>
      <c r="AA52" s="1494"/>
      <c r="AB52" s="1494"/>
      <c r="AC52" s="1494"/>
      <c r="AD52" s="1494"/>
      <c r="AE52" s="1494"/>
      <c r="AF52" s="1494"/>
      <c r="AG52" s="1494"/>
      <c r="AH52" s="1494"/>
      <c r="AI52" s="1494"/>
      <c r="AJ52" s="1494"/>
      <c r="AK52" s="1494"/>
      <c r="AM52" s="670"/>
      <c r="AN52" s="670" t="str">
        <f>IF(T52="","",T52)</f>
        <v xml:space="preserve">Добавить территорию для дифференциации</v>
      </c>
      <c r="AO52" s="670"/>
      <c r="AP52" s="670"/>
      <c r="AQ52" s="681">
        <v>0</v>
      </c>
    </row>
    <row r="53" s="9218" customFormat="1" ht="0" customHeight="1">
      <c r="A53" s="1484"/>
      <c r="B53" s="1484"/>
      <c r="C53" s="1484"/>
      <c r="D53" s="1484"/>
      <c r="E53" s="1513"/>
      <c r="F53" s="1484"/>
      <c r="G53" s="1484"/>
      <c r="H53" s="1484"/>
      <c r="I53" s="1484"/>
      <c r="J53" s="1484"/>
      <c r="K53" s="1484"/>
      <c r="L53" s="1664"/>
      <c r="M53" s="1491"/>
      <c r="N53" s="1491"/>
      <c r="P53" s="1486"/>
      <c r="Q53" s="1487"/>
      <c r="R53" s="1486"/>
      <c r="S53" s="1492"/>
      <c r="T53" s="1495" t="s">
        <v>166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 xml:space="preserve">Добавить наименование тарифа</v>
      </c>
      <c r="AO53" s="959"/>
      <c r="AP53" s="959"/>
      <c r="AQ53" s="688">
        <v>0</v>
      </c>
    </row>
    <row r="54" ht="11.5" customHeight="1">
      <c r="M54" s="1330"/>
      <c r="N54" s="1330"/>
      <c r="O54" s="707"/>
      <c r="P54" s="1325"/>
      <c r="Q54" s="1325"/>
      <c r="R54" s="1325"/>
      <c r="S54" s="1325"/>
      <c r="AL54" s="1325"/>
      <c r="AM54" s="1325"/>
      <c r="AN54" s="1325"/>
      <c r="AO54" s="1325"/>
      <c r="AP54" s="1325"/>
      <c r="AQ54" s="1325">
        <v>11</v>
      </c>
    </row>
    <row r="55" ht="14.65" customHeight="1">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r="56" ht="14.65" customHeight="1">
      <c r="O56" s="707"/>
      <c r="AQ56" s="1325">
        <v>14</v>
      </c>
    </row>
    <row r="57" ht="14.65" customHeight="1">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r="58" ht="22.5" hidden="1" customHeight="1">
      <c r="A58" s="1330" t="s">
        <v>83</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autoFilter="0" deleteColumns="1" deleteRows="1" formatColumns="0" formatRows="0" insertColumns="1" insertRows="1" sheet="1" sort="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4">
    <dataValidation sqref="S131116:AK131122 S196652:AK196658 S262188:AK262194 S327724:AK327730 S393260:AK393266 S458796:AK458802 S524332:AK524338 S589868:AK589874 S655404:AK655410 S720940:AK720946 S786476:AK786482 S852012:AK852018 S917548:AK917554 S983084:AK983090 S65580:AK65586" allowBlank="1"/>
    <dataValidation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allowBlank="1" prompt="Для выбора выполните двойной щелчок левой клавиши мыши по соответствующей ячейке." showErrorMessage="1" showInputMessage="1"/>
    <dataValidation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lowBlank="1" promptTitle="checkPeriodRange"/>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8E006D-0032-4F53-BAAE-002F00EF001D}" type="list" allowBlank="1" error="Выберите значение из списка" errorTitle="Ошибка" prompt="Выберите значение из списка" showInputMessage="1">
          <x14:formula1>
            <xm:f>kind_of_cons</xm:f>
          </x14:formula1>
          <xm:sqref>V983081:AJ983081 V65577:AJ65577 V131113:AJ131113 V196649:AJ196649 V262185:AJ262185 V327721:AJ327721 V393257:AJ393257 V458793:AJ458793 V524329:AJ524329 V589865:AJ589865 V655401:AJ655401 V720937:AJ720937 V786473:AJ786473 V852009:AJ852009 V917545:AJ917545</xm:sqref>
        </x14:dataValidation>
        <x14:dataValidation xr:uid="{00DE0029-00E2-47BB-8165-00F000D10034}" type="list" allowBlank="1" error="Выберите значение из списка" errorTitle="Ошибка" showErrorMessage="1" showInputMessage="1">
          <x14:formula1>
            <xm:f>kind_of_heat_transfer</xm:f>
          </x14:formula1>
          <xm:sqref>T65578 T131114 T196650 T262186 T327722 T393258 T458794 T524330 T589866 T655402 T720938 T786474 T852010 T917546 T983082</xm:sqref>
        </x14:dataValidation>
        <x14:dataValidation xr:uid="{001300F0-00AC-47BD-9EE8-003E007000D6}" type="textLength" allowBlank="1" error="Допускается ввод не более 900 символов!" errorTitle="Ошибка" operator="lessThanOrEqual" showErrorMessage="1" showInputMessage="1">
          <x14:formula1>
            <xm:f>900</xm:f>
          </x14:formula1>
          <xm: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xm:sqref>
        </x14:dataValidation>
        <x14:dataValidation xr:uid="{00B0001B-009F-4293-981A-000100F7001D}" type="list" allowBlank="1" error="Выберите значение из списка" errorTitle="Ошибка" showErrorMessage="1" showInputMessage="1">
          <x14:formula1>
            <xm:f>kind_of_scheme_in</xm:f>
          </x14:formula1>
          <xm:sqref>V983080 V65576 V131112 V196648 V262184 V327720 V393256 V458792 V524328 V589864 V655400 V720936 V786472 V852008 V917544 AC983080 AC65576 AC131112 AC196648 AC262184 AC327720 AC393256 AC458792 AC524328 AC589864 AC655400 AC720936 AC786472 AC852008 AC917544</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9217" width="11.57421875"/>
    <col customWidth="1" hidden="1" min="2" max="2" style="9217" width="11.00390625"/>
    <col hidden="1" min="3" max="3" style="9217" width="10.57421875"/>
    <col customWidth="1" hidden="1" min="4" max="4" style="9217" width="12.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hidden="1" min="16" max="16" style="10312" width="3.7109375"/>
    <col customWidth="1" hidden="1" min="17" max="17" style="10692" width="3.7109375"/>
    <col customWidth="1" min="18" max="18" style="10314" width="3.00390625"/>
    <col customWidth="1" min="19" max="19" style="10315" width="12.00390625"/>
    <col customWidth="1" min="20" max="20" style="9138" width="31.00390625"/>
    <col customWidth="1" min="21" max="21" style="9138" width="0.140625"/>
    <col customWidth="1" hidden="1" min="22" max="25" style="9138" width="21.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3.7109375"/>
    <col customWidth="1" min="31" max="32" style="9138" width="3.00390625"/>
    <col customWidth="1" min="33" max="33" style="9138" width="24.00390625"/>
    <col customWidth="1" min="34" max="34" style="9138" width="3.7109375"/>
    <col customWidth="1" min="35" max="36" style="9138" width="3.00390625"/>
    <col customWidth="1" min="37" max="37" style="9138" width="24.00390625"/>
    <col customWidth="1" min="38" max="38" style="9138" width="3.7109375"/>
    <col customWidth="1" min="39" max="40" style="9138" width="3.00390625"/>
    <col customWidth="1" min="41" max="41" style="9138" width="18.00390625"/>
    <col customWidth="1" min="42" max="42" style="9138" width="3.7109375"/>
    <col customWidth="1" min="43" max="44" style="9138" width="3.00390625"/>
    <col customWidth="1" min="45" max="45" style="9138" width="18.00390625"/>
    <col customWidth="1" min="46" max="49" style="9138" width="21.00390625"/>
    <col customWidth="1" min="50" max="50" style="9138" width="11.00390625"/>
    <col customWidth="1" min="51" max="51" style="9138" width="3.7109375"/>
    <col customWidth="1" min="52" max="52" style="9138" width="11.00390625"/>
    <col customWidth="1" hidden="1" min="53" max="53" style="9138" width="8.57421875"/>
    <col customWidth="1" min="54" max="54" style="9138" width="4.00390625"/>
    <col customWidth="1" min="55" max="55" style="9138" width="115.00390625"/>
    <col customWidth="1" min="56" max="60" style="9218" width="10.00390625"/>
    <col hidden="1" min="61" max="61" style="9138" width="10.57421875"/>
  </cols>
  <sheetData>
    <row r="1" ht="22.5" hidden="1" customHeight="1">
      <c r="W1" s="497"/>
      <c r="Y1" s="497"/>
      <c r="Z1" s="497"/>
      <c r="AW1" s="497"/>
      <c r="AX1" s="497"/>
      <c r="BI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 xml:space="preserve">Наименование тарифа</v>
      </c>
      <c r="BG2" s="670"/>
      <c r="BH2" s="670"/>
      <c r="BI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 xml:space="preserve">Территория действия тарифа</v>
      </c>
      <c r="BG3" s="670"/>
      <c r="BH3" s="670"/>
      <c r="BI3" s="1325">
        <v>0</v>
      </c>
    </row>
    <row r="4" ht="33.75" hidden="1" customHeight="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522</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523</v>
      </c>
      <c r="BE4" s="670"/>
      <c r="BF4" s="670" t="str">
        <f>IF(T4="","",T4)</f>
        <v xml:space="preserve">Наименование централизованной системы водоотведения</v>
      </c>
      <c r="BG4" s="670"/>
      <c r="BH4" s="670"/>
      <c r="BI4" s="1325">
        <v>0</v>
      </c>
    </row>
    <row r="5" s="9218" customFormat="1" ht="14.25" hidden="1" customHeight="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r="6" s="9218" customFormat="1" ht="14.25" hidden="1" customHeight="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r="7" s="9218" customFormat="1" ht="14.25" hidden="1" customHeight="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r="8" ht="11.25" hidden="1" customHeight="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507</v>
      </c>
      <c r="BE8" s="670"/>
      <c r="BF8" s="670" t="str">
        <f>IF(T8="","",T8)</f>
        <v/>
      </c>
      <c r="BG8" s="670"/>
      <c r="BH8" s="670"/>
      <c r="BI8" s="1325">
        <v>0</v>
      </c>
    </row>
    <row r="9" ht="11.25" hidden="1" customHeight="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r="10" ht="11.25" hidden="1" customHeight="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528</v>
      </c>
      <c r="AP10" s="586"/>
      <c r="AQ10" s="586"/>
      <c r="AR10" s="586"/>
      <c r="AS10" s="1563"/>
      <c r="AT10" s="1563"/>
      <c r="AU10" s="1666"/>
      <c r="AV10" s="1563"/>
      <c r="AW10" s="1666"/>
      <c r="AX10" s="1563"/>
      <c r="AY10" s="1563"/>
      <c r="AZ10" s="1563"/>
      <c r="BA10" s="1563"/>
      <c r="BB10" s="1567"/>
      <c r="BC10" s="2424"/>
      <c r="BE10" s="670"/>
      <c r="BF10" s="670"/>
      <c r="BG10" s="670"/>
      <c r="BH10" s="670"/>
      <c r="BI10" s="1325">
        <v>0</v>
      </c>
    </row>
    <row r="11" ht="11.25" hidden="1" customHeight="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r="12" ht="11.25" hidden="1" customHeight="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r="13" ht="11.25" hidden="1" customHeight="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 xml:space="preserve">Добавить строку</v>
      </c>
      <c r="BG13" s="670"/>
      <c r="BH13" s="670"/>
      <c r="BI13" s="1325">
        <v>0</v>
      </c>
    </row>
    <row r="14" s="9218" customFormat="1" ht="14.25" hidden="1" customHeight="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r="15" s="9218" customFormat="1" ht="14.25" hidden="1" customHeight="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r="16" s="9218" customFormat="1" ht="14.25" hidden="1" customHeight="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r="17" s="9218" customFormat="1" ht="14.25" hidden="1" customHeight="1">
      <c r="A17" s="1513"/>
      <c r="B17" s="1513"/>
      <c r="C17" s="1484"/>
      <c r="D17" s="1484"/>
      <c r="E17" s="2429"/>
      <c r="F17" s="2428"/>
      <c r="G17" s="1484"/>
      <c r="H17" s="1484"/>
      <c r="I17" s="1484"/>
      <c r="J17" s="1484"/>
      <c r="K17" s="1484"/>
      <c r="L17" s="1664"/>
      <c r="M17" s="1491"/>
      <c r="N17" s="1491"/>
      <c r="P17" s="1486"/>
      <c r="Q17" s="1487"/>
      <c r="R17" s="1486"/>
      <c r="S17" s="1492"/>
      <c r="T17" s="1495" t="s">
        <v>164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 xml:space="preserve">Добавить централизованную систему для дифференциации</v>
      </c>
      <c r="BG17" s="959"/>
      <c r="BH17" s="959"/>
      <c r="BI17" s="688">
        <v>0</v>
      </c>
    </row>
    <row r="18" s="9218" customFormat="1" ht="14.25" hidden="1" customHeight="1">
      <c r="A18" s="1513"/>
      <c r="B18" s="1513"/>
      <c r="C18" s="1513"/>
      <c r="D18" s="1513"/>
      <c r="E18" s="2428"/>
      <c r="F18" s="1513"/>
      <c r="G18" s="1513"/>
      <c r="H18" s="1513"/>
      <c r="I18" s="1513"/>
      <c r="J18" s="1513"/>
      <c r="K18" s="1513"/>
      <c r="L18" s="1516"/>
      <c r="M18" s="1491"/>
      <c r="N18" s="1491"/>
      <c r="O18" s="688"/>
      <c r="P18" s="550"/>
      <c r="Q18" s="1514"/>
      <c r="R18" s="550"/>
      <c r="S18" s="1492"/>
      <c r="T18" s="1495" t="s">
        <v>165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 xml:space="preserve">Добавить территорию для дифференциации</v>
      </c>
      <c r="BG18" s="670"/>
      <c r="BH18" s="670"/>
      <c r="BI18" s="681">
        <v>0</v>
      </c>
    </row>
    <row r="19" ht="14.25" hidden="1" customHeight="1">
      <c r="AC19" s="497"/>
      <c r="BA19" s="497"/>
      <c r="BI19" s="1325">
        <v>0</v>
      </c>
    </row>
    <row r="20" ht="14.25" hidden="1" customHeight="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r="21" ht="14.25" hidden="1" customHeight="1">
      <c r="BD21" s="666"/>
      <c r="BE21" s="666"/>
      <c r="BF21" s="666"/>
      <c r="BG21" s="666"/>
      <c r="BH21" s="666"/>
      <c r="BI21" s="1325">
        <v>0</v>
      </c>
    </row>
    <row r="22" ht="14.25" hidden="1" customHeight="1">
      <c r="O22" s="1537" t="s">
        <v>421</v>
      </c>
      <c r="Z22" s="1515"/>
      <c r="AB22" s="1515"/>
      <c r="AC22" s="497"/>
      <c r="AX22" s="1515"/>
      <c r="AZ22" s="1515"/>
      <c r="BA22" s="497"/>
      <c r="BD22" s="666"/>
      <c r="BE22" s="666"/>
      <c r="BF22" s="666"/>
      <c r="BG22" s="666"/>
      <c r="BH22" s="666"/>
      <c r="BI22" s="1325">
        <v>0</v>
      </c>
    </row>
    <row r="23" ht="14.25" hidden="1" customHeight="1">
      <c r="AC23" s="497"/>
      <c r="BA23" s="497"/>
      <c r="BD23" s="666"/>
      <c r="BE23" s="666"/>
      <c r="BF23" s="666"/>
      <c r="BG23" s="666"/>
      <c r="BH23" s="666"/>
      <c r="BI23" s="1325">
        <v>0</v>
      </c>
    </row>
    <row r="24" s="10663" customFormat="1" ht="14.25" hidden="1" customHeight="1">
      <c r="M24" s="1678"/>
      <c r="N24" s="1678"/>
      <c r="O24" s="1679" t="s">
        <v>422</v>
      </c>
      <c r="P24" s="1678"/>
      <c r="Q24" s="1680"/>
      <c r="R24" s="1680"/>
      <c r="AA24" s="1677" t="s">
        <v>424</v>
      </c>
      <c r="AC24" s="1677" t="s">
        <v>425</v>
      </c>
      <c r="AD24" s="1677" t="s">
        <v>475</v>
      </c>
      <c r="AH24" s="1677" t="s">
        <v>475</v>
      </c>
      <c r="AK24" s="1677" t="s">
        <v>512</v>
      </c>
      <c r="AL24" s="1677" t="s">
        <v>475</v>
      </c>
      <c r="AP24" s="1677" t="s">
        <v>475</v>
      </c>
      <c r="AY24" s="1677" t="s">
        <v>424</v>
      </c>
      <c r="BA24" s="1677" t="s">
        <v>425</v>
      </c>
      <c r="BD24" s="1681"/>
      <c r="BE24" s="1681"/>
      <c r="BF24" s="1681"/>
      <c r="BG24" s="1681"/>
      <c r="BH24" s="1681"/>
      <c r="BI24" s="1677">
        <v>0</v>
      </c>
    </row>
    <row r="25" ht="14.25" hidden="1" customHeight="1">
      <c r="O25" s="1534"/>
      <c r="BD25" s="666"/>
      <c r="BE25" s="666"/>
      <c r="BF25" s="666"/>
      <c r="BG25" s="666"/>
      <c r="BH25" s="666"/>
      <c r="BI25" s="1325">
        <v>0</v>
      </c>
    </row>
    <row r="26" ht="14.25" hidden="1" customHeight="1">
      <c r="O26" s="1534"/>
      <c r="BD26" s="666"/>
      <c r="BE26" s="666"/>
      <c r="BF26" s="666"/>
      <c r="BG26" s="666"/>
      <c r="BH26" s="666"/>
      <c r="BI26" s="1325">
        <v>0</v>
      </c>
    </row>
    <row r="27" ht="14.65" customHeight="1">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r="28" ht="14.65" customHeight="1">
      <c r="Q28" s="461"/>
      <c r="R28" s="546"/>
      <c r="S28" s="2418" t="str">
        <f>IF(TEMPLATE_GROUP="P",PT_P_FORM_VOTV_5_NAME_FORM,PT_R_FORM_VOTV_17_NAME_FORM)</f>
        <v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r="29" ht="14.65" customHeight="1">
      <c r="Q29" s="461"/>
      <c r="R29" s="546"/>
      <c r="S29" s="2419" t="str">
        <f>IF(org=0,"Не определено",org)</f>
        <v xml:space="preserve">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r="30" ht="14.25" hidden="1" customHeight="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r="31" s="9344" customFormat="1" ht="25.5" hidden="1" customHeight="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r="32" s="9344" customFormat="1" ht="18.75" hidden="1" customHeight="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45646</v>
      </c>
      <c r="W32" s="2434"/>
      <c r="X32" s="2434"/>
      <c r="Y32" s="2434"/>
      <c r="Z32" s="2434"/>
      <c r="AA32" s="2434"/>
      <c r="AB32" s="2434"/>
      <c r="AC32" s="496"/>
      <c r="AD32" s="2434" t="str">
        <f>IF(TITLE_DATE_PR_CHANGE="",IF(TITLE_DATE_PR="","",TITLE_DATE_PR),TITLE_DATE_PR_CHANGE)</f>
        <v>45646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r="33" s="9344" customFormat="1" ht="18.75" hidden="1" customHeight="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ДГК-01.1/22560</v>
      </c>
      <c r="W33" s="2421"/>
      <c r="X33" s="2421"/>
      <c r="Y33" s="2421"/>
      <c r="Z33" s="2421"/>
      <c r="AA33" s="2421"/>
      <c r="AB33" s="2421"/>
      <c r="AC33" s="496"/>
      <c r="AD33" s="2421" t="str">
        <f>IF(TITLE_NUMBER_PR_CHANGE="",IF(TITLE_NUMBER_PR="","",TITLE_NUMBER_PR),TITLE_NUMBER_PR_CHANGE)</f>
        <v>ДГК-01.1/22560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r="34" s="9344" customFormat="1" ht="18.75" hidden="1" customHeight="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r="35" ht="14.25" customHeight="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r="36" s="9344" customFormat="1" ht="18.75" customHeight="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45646</v>
      </c>
      <c r="W36" s="2434"/>
      <c r="X36" s="2434"/>
      <c r="Y36" s="2434"/>
      <c r="Z36" s="2434"/>
      <c r="AA36" s="2434"/>
      <c r="AB36" s="2434"/>
      <c r="AC36" s="496"/>
      <c r="AD36" s="2434" t="str">
        <f>IF(TITLE_DATE_PR_CHANGE="",IF(TITLE_DATE_PR="","",TITLE_DATE_PR),TITLE_DATE_PR_CHANGE)</f>
        <v>45646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r="37" s="9344" customFormat="1" ht="18.75" customHeight="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ДГК-01.1/22560</v>
      </c>
      <c r="W37" s="2421"/>
      <c r="X37" s="2421"/>
      <c r="Y37" s="2421"/>
      <c r="Z37" s="2421"/>
      <c r="AA37" s="2421"/>
      <c r="AB37" s="2421"/>
      <c r="AC37" s="496"/>
      <c r="AD37" s="2421" t="str">
        <f>IF(TITLE_NUMBER_PR_CHANGE="",IF(TITLE_NUMBER_PR="","",TITLE_NUMBER_PR),TITLE_NUMBER_PR_CHANGE)</f>
        <v>ДГК-01.1/22560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r="38" s="9344" customFormat="1" ht="0" customHeight="1">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r="39" ht="14.65" customHeight="1">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r="40" ht="14.65" customHeight="1">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r="41" ht="14.65" customHeight="1">
      <c r="Q41" s="461"/>
      <c r="R41" s="546"/>
      <c r="S41" s="2443" t="s">
        <v>89</v>
      </c>
      <c r="T41" s="2379" t="s">
        <v>513</v>
      </c>
      <c r="U41" s="471"/>
      <c r="V41" s="2444" t="s">
        <v>434</v>
      </c>
      <c r="W41" s="2445"/>
      <c r="X41" s="2445"/>
      <c r="Y41" s="2445"/>
      <c r="Z41" s="2445"/>
      <c r="AA41" s="2445"/>
      <c r="AB41" s="2446"/>
      <c r="AC41" s="2447" t="s">
        <v>435</v>
      </c>
      <c r="AD41" s="2498" t="s">
        <v>530</v>
      </c>
      <c r="AE41" s="2461"/>
      <c r="AF41" s="2461"/>
      <c r="AG41" s="2499"/>
      <c r="AH41" s="2498" t="s">
        <v>531</v>
      </c>
      <c r="AI41" s="2461"/>
      <c r="AJ41" s="2461"/>
      <c r="AK41" s="2499"/>
      <c r="AL41" s="2498" t="s">
        <v>532</v>
      </c>
      <c r="AM41" s="2461"/>
      <c r="AN41" s="2461"/>
      <c r="AO41" s="2499"/>
      <c r="AP41" s="2498" t="s">
        <v>517</v>
      </c>
      <c r="AQ41" s="2461"/>
      <c r="AR41" s="2461"/>
      <c r="AS41" s="2499"/>
      <c r="AT41" s="2444" t="s">
        <v>434</v>
      </c>
      <c r="AU41" s="2445"/>
      <c r="AV41" s="2445"/>
      <c r="AW41" s="2445"/>
      <c r="AX41" s="2445"/>
      <c r="AY41" s="2445"/>
      <c r="AZ41" s="2446"/>
      <c r="BA41" s="2447" t="s">
        <v>435</v>
      </c>
      <c r="BB41" s="2450" t="s">
        <v>437</v>
      </c>
      <c r="BC41" s="2297"/>
      <c r="BI41" s="1325">
        <v>14</v>
      </c>
    </row>
    <row r="42" ht="35.649999999999999" customHeight="1">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533</v>
      </c>
      <c r="AU42" s="2363"/>
      <c r="AV42" s="2362" t="s">
        <v>534</v>
      </c>
      <c r="AW42" s="2363"/>
      <c r="AX42" s="2464" t="s">
        <v>520</v>
      </c>
      <c r="AY42" s="2483"/>
      <c r="AZ42" s="2484"/>
      <c r="BA42" s="2448"/>
      <c r="BB42" s="2451"/>
      <c r="BC42" s="2297"/>
      <c r="BI42" s="1325">
        <v>34</v>
      </c>
    </row>
    <row r="43" ht="14.65" customHeight="1">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r="44" ht="14.65" customHeight="1">
      <c r="A44" s="1540"/>
      <c r="B44" s="1540" t="s">
        <v>135</v>
      </c>
      <c r="C44" s="1540" t="s">
        <v>136</v>
      </c>
      <c r="D44" s="1540" t="s">
        <v>137</v>
      </c>
      <c r="E44" s="1534" t="s">
        <v>442</v>
      </c>
      <c r="F44" s="1534" t="s">
        <v>443</v>
      </c>
      <c r="G44" s="1534" t="s">
        <v>444</v>
      </c>
      <c r="H44" s="1534" t="s">
        <v>445</v>
      </c>
      <c r="I44" s="1534" t="s">
        <v>446</v>
      </c>
      <c r="J44" s="1534" t="s">
        <v>447</v>
      </c>
      <c r="K44" s="1534" t="s">
        <v>448</v>
      </c>
      <c r="L44" s="1534" t="s">
        <v>422</v>
      </c>
      <c r="Q44" s="461"/>
      <c r="R44" s="546"/>
      <c r="S44" s="2443"/>
      <c r="T44" s="2379"/>
      <c r="U44" s="472"/>
      <c r="V44" s="1649" t="s">
        <v>484</v>
      </c>
      <c r="W44" s="1649" t="s">
        <v>485</v>
      </c>
      <c r="X44" s="1649" t="s">
        <v>484</v>
      </c>
      <c r="Y44" s="1649" t="s">
        <v>485</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484</v>
      </c>
      <c r="AU44" s="1649" t="s">
        <v>485</v>
      </c>
      <c r="AV44" s="1649" t="s">
        <v>484</v>
      </c>
      <c r="AW44" s="1649" t="s">
        <v>485</v>
      </c>
      <c r="AX44" s="1659" t="s">
        <v>451</v>
      </c>
      <c r="AY44" s="2440" t="s">
        <v>452</v>
      </c>
      <c r="AZ44" s="2441"/>
      <c r="BA44" s="2449"/>
      <c r="BB44" s="2452"/>
      <c r="BC44" s="2297"/>
      <c r="BI44" s="1325">
        <v>14</v>
      </c>
    </row>
    <row r="45" s="9831" customFormat="1" ht="11.25" hidden="1" customHeight="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r="46" ht="22" customHeight="1">
      <c r="A46" s="1533" t="s">
        <v>283</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 xml:space="preserve">Наименование тарифа</v>
      </c>
      <c r="BG46" s="670"/>
      <c r="BH46" s="670"/>
      <c r="BI46" s="1325">
        <v>21</v>
      </c>
    </row>
    <row r="47" ht="22" customHeight="1">
      <c r="A47" s="1533" t="s">
        <v>283</v>
      </c>
      <c r="B47" s="1533" t="s">
        <v>284</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 xml:space="preserve">Территория действия тарифа</v>
      </c>
      <c r="BG47" s="670"/>
      <c r="BH47" s="670"/>
      <c r="BI47" s="1325">
        <v>21</v>
      </c>
    </row>
    <row r="48" ht="35.649999999999999" customHeight="1">
      <c r="A48" s="1533" t="s">
        <v>283</v>
      </c>
      <c r="B48" s="1533" t="s">
        <v>284</v>
      </c>
      <c r="C48" s="1533" t="s">
        <v>285</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522</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523</v>
      </c>
      <c r="BE48" s="670"/>
      <c r="BF48" s="670" t="str">
        <f>IF(T48="","",T48)</f>
        <v xml:space="preserve">Наименование централизованной системы водоотведения</v>
      </c>
      <c r="BG48" s="670"/>
      <c r="BH48" s="670"/>
      <c r="BI48" s="1325">
        <v>34</v>
      </c>
    </row>
    <row r="49" s="9218" customFormat="1" ht="0" customHeight="1">
      <c r="A49" s="1513" t="s">
        <v>283</v>
      </c>
      <c r="B49" s="1513" t="s">
        <v>284</v>
      </c>
      <c r="C49" s="1513" t="s">
        <v>285</v>
      </c>
      <c r="D49" s="1513" t="s">
        <v>535</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r="50" s="9218" customFormat="1" ht="0" customHeight="1">
      <c r="A50" s="1513" t="s">
        <v>283</v>
      </c>
      <c r="B50" s="1513" t="s">
        <v>284</v>
      </c>
      <c r="C50" s="1513" t="s">
        <v>285</v>
      </c>
      <c r="D50" s="1513" t="s">
        <v>535</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r="51" s="9218" customFormat="1" ht="0" customHeight="1">
      <c r="A51" s="1513" t="s">
        <v>283</v>
      </c>
      <c r="B51" s="1513" t="s">
        <v>284</v>
      </c>
      <c r="C51" s="1513" t="s">
        <v>285</v>
      </c>
      <c r="D51" s="1513" t="s">
        <v>535</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r="52" ht="11.5" customHeight="1">
      <c r="A52" s="1533" t="s">
        <v>283</v>
      </c>
      <c r="B52" s="1533" t="s">
        <v>284</v>
      </c>
      <c r="C52" s="1533" t="s">
        <v>285</v>
      </c>
      <c r="D52" s="1533" t="s">
        <v>535</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507</v>
      </c>
      <c r="BE52" s="670"/>
      <c r="BF52" s="670" t="str">
        <f>IF(T52="","",T52)</f>
        <v/>
      </c>
      <c r="BG52" s="670"/>
      <c r="BH52" s="670"/>
      <c r="BI52" s="1325">
        <v>11</v>
      </c>
    </row>
    <row r="53" ht="11.5" customHeight="1">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r="54" ht="11.5" customHeight="1">
      <c r="A54" s="1533" t="s">
        <v>283</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528</v>
      </c>
      <c r="AP54" s="586"/>
      <c r="AQ54" s="586"/>
      <c r="AR54" s="586"/>
      <c r="AS54" s="1563"/>
      <c r="AT54" s="1563"/>
      <c r="AU54" s="1666"/>
      <c r="AV54" s="1563"/>
      <c r="AW54" s="1666"/>
      <c r="AX54" s="1563"/>
      <c r="AY54" s="1563"/>
      <c r="AZ54" s="1563"/>
      <c r="BA54" s="1563"/>
      <c r="BB54" s="1567"/>
      <c r="BC54" s="2424"/>
      <c r="BE54" s="670"/>
      <c r="BF54" s="670"/>
      <c r="BG54" s="670"/>
      <c r="BH54" s="670"/>
      <c r="BI54" s="1325">
        <v>11</v>
      </c>
    </row>
    <row r="55" ht="11.5" customHeight="1">
      <c r="A55" s="1533" t="s">
        <v>283</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r="56" ht="11.5" customHeight="1">
      <c r="A56" s="1533" t="s">
        <v>283</v>
      </c>
      <c r="B56" s="1533" t="s">
        <v>284</v>
      </c>
      <c r="C56" s="1533" t="s">
        <v>285</v>
      </c>
      <c r="D56" s="1533" t="s">
        <v>535</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r="57" ht="11.5" customHeight="1">
      <c r="A57" s="1533" t="s">
        <v>283</v>
      </c>
      <c r="B57" s="1533" t="s">
        <v>284</v>
      </c>
      <c r="C57" s="1533" t="s">
        <v>285</v>
      </c>
      <c r="D57" s="1533" t="s">
        <v>535</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 xml:space="preserve">Добавить строку</v>
      </c>
      <c r="BG57" s="670"/>
      <c r="BH57" s="670"/>
      <c r="BI57" s="1325">
        <v>11</v>
      </c>
    </row>
    <row r="58" s="9218" customFormat="1" ht="0" customHeight="1">
      <c r="A58" s="1513" t="s">
        <v>283</v>
      </c>
      <c r="B58" s="1513" t="s">
        <v>284</v>
      </c>
      <c r="C58" s="1513" t="s">
        <v>285</v>
      </c>
      <c r="D58" s="1513" t="s">
        <v>535</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r="59" s="9218" customFormat="1" ht="0" customHeight="1">
      <c r="A59" s="1513" t="s">
        <v>283</v>
      </c>
      <c r="B59" s="1513" t="s">
        <v>284</v>
      </c>
      <c r="C59" s="1513" t="s">
        <v>285</v>
      </c>
      <c r="D59" s="1513" t="s">
        <v>535</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r="60" s="9218" customFormat="1" ht="0" customHeight="1">
      <c r="A60" s="1513" t="s">
        <v>283</v>
      </c>
      <c r="B60" s="1513" t="s">
        <v>284</v>
      </c>
      <c r="C60" s="1513" t="s">
        <v>285</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r="61" s="9218" customFormat="1" ht="0" customHeight="1">
      <c r="A61" s="1513" t="s">
        <v>283</v>
      </c>
      <c r="B61" s="1513" t="s">
        <v>284</v>
      </c>
      <c r="C61" s="1484"/>
      <c r="D61" s="1484"/>
      <c r="E61" s="2429"/>
      <c r="F61" s="2428"/>
      <c r="G61" s="1484"/>
      <c r="H61" s="1484"/>
      <c r="I61" s="1484"/>
      <c r="J61" s="1484"/>
      <c r="K61" s="1484"/>
      <c r="L61" s="1664"/>
      <c r="M61" s="1491"/>
      <c r="N61" s="1491"/>
      <c r="P61" s="1486"/>
      <c r="Q61" s="1487"/>
      <c r="R61" s="1486"/>
      <c r="S61" s="1492"/>
      <c r="T61" s="1495" t="s">
        <v>164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 xml:space="preserve">Добавить централизованную систему для дифференциации</v>
      </c>
      <c r="BG61" s="959"/>
      <c r="BH61" s="959"/>
      <c r="BI61" s="688">
        <v>0</v>
      </c>
    </row>
    <row r="62" s="9218" customFormat="1" ht="0" customHeight="1">
      <c r="A62" s="1513" t="s">
        <v>283</v>
      </c>
      <c r="B62" s="1513"/>
      <c r="C62" s="1513"/>
      <c r="D62" s="1513"/>
      <c r="E62" s="2428"/>
      <c r="F62" s="1513"/>
      <c r="G62" s="1513"/>
      <c r="H62" s="1513"/>
      <c r="I62" s="1513"/>
      <c r="J62" s="1513"/>
      <c r="K62" s="1513"/>
      <c r="L62" s="1516"/>
      <c r="M62" s="1491"/>
      <c r="N62" s="1491"/>
      <c r="O62" s="688"/>
      <c r="P62" s="550"/>
      <c r="Q62" s="1514"/>
      <c r="R62" s="550"/>
      <c r="S62" s="1492"/>
      <c r="T62" s="1495" t="s">
        <v>165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 xml:space="preserve">Добавить территорию для дифференциации</v>
      </c>
      <c r="BG62" s="670"/>
      <c r="BH62" s="670"/>
      <c r="BI62" s="681">
        <v>0</v>
      </c>
    </row>
    <row r="63" s="9218" customFormat="1" ht="0" customHeight="1">
      <c r="A63" s="1484"/>
      <c r="B63" s="1484"/>
      <c r="C63" s="1484"/>
      <c r="D63" s="1484"/>
      <c r="E63" s="1513"/>
      <c r="F63" s="1484"/>
      <c r="G63" s="1484"/>
      <c r="H63" s="1484"/>
      <c r="I63" s="1484"/>
      <c r="J63" s="1484"/>
      <c r="K63" s="1484"/>
      <c r="L63" s="1664"/>
      <c r="M63" s="1491"/>
      <c r="N63" s="1491"/>
      <c r="P63" s="1486"/>
      <c r="Q63" s="1487"/>
      <c r="R63" s="1486"/>
      <c r="S63" s="1492"/>
      <c r="T63" s="1495" t="s">
        <v>166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 xml:space="preserve">Добавить наименование тарифа</v>
      </c>
      <c r="BG63" s="959"/>
      <c r="BH63" s="959"/>
      <c r="BI63" s="688">
        <v>0</v>
      </c>
    </row>
    <row r="64" ht="11.5" customHeight="1">
      <c r="M64" s="1330"/>
      <c r="N64" s="1330"/>
      <c r="O64" s="707"/>
      <c r="P64" s="1330"/>
      <c r="Q64" s="1330"/>
      <c r="R64" s="1325"/>
      <c r="S64" s="1325"/>
      <c r="BD64" s="1325"/>
      <c r="BE64" s="1325"/>
      <c r="BF64" s="1325"/>
      <c r="BG64" s="1325"/>
      <c r="BH64" s="1325"/>
      <c r="BI64" s="1325">
        <v>11</v>
      </c>
    </row>
    <row r="65" ht="14.65" customHeight="1">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r="66" ht="14.65" customHeight="1">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r="67" ht="14.65" customHeight="1">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r="68" ht="14.65" customHeight="1">
      <c r="O68" s="707"/>
      <c r="BI68" s="1325">
        <v>14</v>
      </c>
    </row>
    <row r="69" ht="14.25" hidden="1" customHeight="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autoFilter="0" deleteColumns="1" deleteRows="1" formatColumns="0" formatRows="0" insertColumns="1" insertRows="1" sheet="1" sort="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4">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B10070-00F3-467D-9FC5-0086004A008E}"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 xr:uid="{0019005E-00E7-4443-84E0-00BE006100C4}"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660028-00E3-4D49-BBCE-00F2009D0057}"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57001D-0009-44C8-92F5-00EE002900DA}"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5B0082-00A9-4697-B89F-003900A30053}"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8" style="9138" width="19.7109375"/>
    <col customWidth="1" hidden="1" min="29" max="29" style="9138" width="11.7109375"/>
    <col customWidth="1" hidden="1" min="30" max="30" style="9138" width="3.7109375"/>
    <col customWidth="1" hidden="1" min="31" max="31" style="9138" width="11.7109375"/>
    <col customWidth="1" hidden="1" min="32" max="32" style="9138" width="8.57421875"/>
    <col customWidth="1" min="33" max="33" style="9138" width="19.7109375"/>
    <col customWidth="1" min="34" max="39" style="9138" width="19.00390625"/>
    <col customWidth="1" min="40" max="40" style="9138" width="11.00390625"/>
    <col customWidth="1" min="41" max="41" style="9138" width="3.7109375"/>
    <col customWidth="1" min="42" max="42" style="9138" width="11.00390625"/>
    <col customWidth="1" hidden="1" min="43" max="43" style="9138" width="8.57421875"/>
    <col customWidth="1" min="44" max="44" style="9138" width="4.00390625"/>
    <col customWidth="1" min="45" max="45" style="9138" width="115.00390625"/>
    <col customWidth="1" min="46" max="50" style="9218" width="10.00390625"/>
    <col hidden="1" min="51" max="51" style="9138" width="10.57421875"/>
  </cols>
  <sheetData>
    <row r="1" ht="22.5" hidden="1" customHeight="1">
      <c r="AC1" s="497"/>
      <c r="AN1" s="497"/>
      <c r="AY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 xml:space="preserve">Наименование тарифа</v>
      </c>
      <c r="AW2" s="670"/>
      <c r="AX2" s="670"/>
      <c r="AY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 xml:space="preserve">Территория действия тарифа</v>
      </c>
      <c r="AW3" s="670"/>
      <c r="AX3" s="670"/>
      <c r="AY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 xml:space="preserve">Наименование централизованной системы горячего водоснабжения</v>
      </c>
      <c r="AW4" s="670"/>
      <c r="AX4" s="670"/>
      <c r="AY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 xml:space="preserve">Наименование признака дифференциации</v>
      </c>
      <c r="AW5" s="670"/>
      <c r="AX5" s="670"/>
      <c r="AY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 xml:space="preserve">Группа потребителей</v>
      </c>
      <c r="AW6" s="670"/>
      <c r="AX6" s="670"/>
      <c r="AY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67</v>
      </c>
      <c r="AE7" s="2435"/>
      <c r="AF7" s="2277" t="s">
        <v>67</v>
      </c>
      <c r="AG7" s="921"/>
      <c r="AH7" s="921"/>
      <c r="AI7" s="921"/>
      <c r="AJ7" s="921"/>
      <c r="AK7" s="921"/>
      <c r="AL7" s="921"/>
      <c r="AM7" s="921"/>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493</v>
      </c>
      <c r="AU9" s="670"/>
      <c r="AV9" s="670" t="str">
        <f>IF(T9="","",T9)</f>
        <v xml:space="preserve">Добавить значение признака дифференциации</v>
      </c>
      <c r="AW9" s="670"/>
      <c r="AX9" s="670"/>
      <c r="AY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 xml:space="preserve">Добавить группу потребителей</v>
      </c>
      <c r="AW10" s="670"/>
      <c r="AX10" s="670"/>
      <c r="AY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 xml:space="preserve">Добавить наименование признака дифференциации</v>
      </c>
      <c r="AW11" s="670"/>
      <c r="AX11" s="670"/>
      <c r="AY11" s="1325">
        <v>0</v>
      </c>
    </row>
    <row r="12" s="9218"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 xml:space="preserve">Добавить централизованную систему для дифференциации</v>
      </c>
      <c r="AW12" s="959"/>
      <c r="AX12" s="959"/>
      <c r="AY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 xml:space="preserve">Добавить территорию для дифференциации</v>
      </c>
      <c r="AW13" s="670"/>
      <c r="AX13" s="670"/>
      <c r="AY13" s="681">
        <v>0</v>
      </c>
    </row>
    <row r="14" ht="14.25" hidden="1" customHeight="1">
      <c r="AF14" s="497"/>
      <c r="AQ14" s="497"/>
      <c r="AY14" s="1325">
        <v>0</v>
      </c>
    </row>
    <row r="15" ht="14.25" hidden="1" customHeight="1">
      <c r="AG15" s="1530"/>
      <c r="AH15" s="1530"/>
      <c r="AI15" s="1530"/>
      <c r="AJ15" s="1530"/>
      <c r="AK15" s="1530"/>
      <c r="AL15" s="1530"/>
      <c r="AM15" s="1530"/>
      <c r="AN15" s="2437"/>
      <c r="AO15" s="2438" t="s">
        <v>67</v>
      </c>
      <c r="AP15" s="2437"/>
      <c r="AQ15" s="2438" t="s">
        <v>67</v>
      </c>
      <c r="AY15" s="1325">
        <v>0</v>
      </c>
    </row>
    <row r="16" ht="14.25" hidden="1" customHeight="1">
      <c r="AG16" s="1530"/>
      <c r="AH16" s="1530"/>
      <c r="AI16" s="1530"/>
      <c r="AJ16" s="1530"/>
      <c r="AK16" s="1530"/>
      <c r="AL16" s="1530"/>
      <c r="AM16" s="1530"/>
      <c r="AN16" s="2438"/>
      <c r="AO16" s="2438"/>
      <c r="AP16" s="2438"/>
      <c r="AQ16" s="2438"/>
      <c r="AY16" s="1325">
        <v>0</v>
      </c>
    </row>
    <row r="17" ht="14.25" hidden="1" customHeight="1">
      <c r="AQ17" s="497"/>
      <c r="AY17" s="1325">
        <v>0</v>
      </c>
    </row>
    <row r="18" s="9217" customFormat="1" ht="22.5" hidden="1" customHeight="1">
      <c r="L18" s="1648"/>
      <c r="M18" s="1532"/>
      <c r="N18" s="1532"/>
      <c r="O18" s="1537" t="s">
        <v>421</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r="19" s="9217" customFormat="1" ht="14.25" hidden="1" customHeight="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r="20" s="9217" customFormat="1" ht="12" hidden="1" customHeight="1">
      <c r="L20" s="1648"/>
      <c r="M20" s="1532"/>
      <c r="N20" s="1532"/>
      <c r="O20" s="1534" t="s">
        <v>422</v>
      </c>
      <c r="P20" s="1532"/>
      <c r="Q20" s="1612"/>
      <c r="R20" s="1612"/>
      <c r="S20" s="899"/>
      <c r="T20" s="1330" t="s">
        <v>423</v>
      </c>
      <c r="W20" s="1536"/>
      <c r="X20" s="1536"/>
      <c r="Y20" s="1536"/>
      <c r="Z20" s="1536"/>
      <c r="AA20" s="1536"/>
      <c r="AB20" s="1536"/>
      <c r="AD20" s="356" t="s">
        <v>424</v>
      </c>
      <c r="AF20" s="356" t="s">
        <v>425</v>
      </c>
      <c r="AG20" s="1330" t="s">
        <v>423</v>
      </c>
      <c r="AH20" s="1536"/>
      <c r="AI20" s="1536"/>
      <c r="AJ20" s="1536"/>
      <c r="AK20" s="1536"/>
      <c r="AL20" s="1536"/>
      <c r="AO20" s="356" t="s">
        <v>426</v>
      </c>
      <c r="AQ20" s="356" t="s">
        <v>425</v>
      </c>
      <c r="AY20" s="1330">
        <v>0</v>
      </c>
    </row>
    <row r="21" ht="14.25" hidden="1" customHeight="1">
      <c r="O21" s="1534"/>
      <c r="AY21" s="1325">
        <v>0</v>
      </c>
    </row>
    <row r="22" ht="14.25" hidden="1" customHeight="1">
      <c r="O22" s="1534"/>
      <c r="AY22" s="1325">
        <v>0</v>
      </c>
    </row>
    <row r="23" ht="14.65" customHeight="1">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r="24" ht="26.25" customHeight="1">
      <c r="Q24" s="546"/>
      <c r="R24" s="546"/>
      <c r="S24" s="2418"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2434"/>
      <c r="AC28" s="2434"/>
      <c r="AD28" s="2434"/>
      <c r="AE28" s="2434"/>
      <c r="AF28" s="496"/>
      <c r="AG28" s="2434" t="str">
        <f>IF(TITLE_DATE_PR_CHANGE="",IF(TITLE_DATE_PR="","",TITLE_DATE_PR),TITLE_DATE_PR_CHANGE)</f>
        <v>45646</v>
      </c>
      <c r="AH28" s="2434"/>
      <c r="AI28" s="2434"/>
      <c r="AJ28" s="2434"/>
      <c r="AK28" s="2434"/>
      <c r="AL28" s="2434"/>
      <c r="AM28" s="2434"/>
      <c r="AN28" s="2434"/>
      <c r="AO28" s="2434"/>
      <c r="AP28" s="2434"/>
      <c r="AQ28" s="496"/>
      <c r="AR28" s="496"/>
      <c r="AS28" s="450"/>
      <c r="AT28" s="538"/>
      <c r="AU28" s="538"/>
      <c r="AV28" s="538"/>
      <c r="AW28" s="538"/>
      <c r="AX28" s="538"/>
      <c r="AY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2421"/>
      <c r="AC29" s="2421"/>
      <c r="AD29" s="2421"/>
      <c r="AE29" s="2421"/>
      <c r="AF29" s="496"/>
      <c r="AG29" s="2421" t="str">
        <f>IF(TITLE_NUMBER_PR_CHANGE="",IF(TITLE_NUMBER_PR="","",TITLE_NUMBER_PR),TITLE_NUMBER_PR_CHANGE)</f>
        <v>ДГК-01.1/22560</v>
      </c>
      <c r="AH29" s="2421"/>
      <c r="AI29" s="2421"/>
      <c r="AJ29" s="2421"/>
      <c r="AK29" s="2421"/>
      <c r="AL29" s="2421"/>
      <c r="AM29" s="2421"/>
      <c r="AN29" s="2421"/>
      <c r="AO29" s="2421"/>
      <c r="AP29" s="2421"/>
      <c r="AQ29" s="496"/>
      <c r="AR29" s="496"/>
      <c r="AS29" s="450"/>
      <c r="AT29" s="538"/>
      <c r="AU29" s="538"/>
      <c r="AV29" s="538"/>
      <c r="AW29" s="538"/>
      <c r="AX29" s="538"/>
      <c r="AY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2434"/>
      <c r="AC32" s="2434"/>
      <c r="AD32" s="2434"/>
      <c r="AE32" s="2434"/>
      <c r="AF32" s="496"/>
      <c r="AG32" s="2434" t="str">
        <f>IF(TITLE_DATE_PR_CHANGE="",IF(TITLE_DATE_PR="","",TITLE_DATE_PR),TITLE_DATE_PR_CHANGE)</f>
        <v>45646</v>
      </c>
      <c r="AH32" s="2434"/>
      <c r="AI32" s="2434"/>
      <c r="AJ32" s="2434"/>
      <c r="AK32" s="2434"/>
      <c r="AL32" s="2434"/>
      <c r="AM32" s="2434"/>
      <c r="AN32" s="2434"/>
      <c r="AO32" s="2434"/>
      <c r="AP32" s="2434"/>
      <c r="AQ32" s="496"/>
      <c r="AR32" s="496"/>
      <c r="AS32" s="450"/>
      <c r="AT32" s="538"/>
      <c r="AU32" s="538"/>
      <c r="AV32" s="538"/>
      <c r="AW32" s="538"/>
      <c r="AX32" s="538"/>
      <c r="AY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2421"/>
      <c r="AC33" s="2421"/>
      <c r="AD33" s="2421"/>
      <c r="AE33" s="2421"/>
      <c r="AF33" s="496"/>
      <c r="AG33" s="2421" t="str">
        <f>IF(TITLE_NUMBER_PR_CHANGE="",IF(TITLE_NUMBER_PR="","",TITLE_NUMBER_PR),TITLE_NUMBER_PR_CHANGE)</f>
        <v>ДГК-01.1/22560</v>
      </c>
      <c r="AH33" s="2421"/>
      <c r="AI33" s="2421"/>
      <c r="AJ33" s="2421"/>
      <c r="AK33" s="2421"/>
      <c r="AL33" s="2421"/>
      <c r="AM33" s="2421"/>
      <c r="AN33" s="2421"/>
      <c r="AO33" s="2421"/>
      <c r="AP33" s="2421"/>
      <c r="AQ33" s="496"/>
      <c r="AR33" s="496"/>
      <c r="AS33" s="450"/>
      <c r="AT33" s="538"/>
      <c r="AU33" s="538"/>
      <c r="AV33" s="538"/>
      <c r="AW33" s="538"/>
      <c r="AX33" s="538"/>
      <c r="AY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r="37" ht="14.65" customHeight="1">
      <c r="Q37" s="546"/>
      <c r="R37" s="546"/>
      <c r="S37" s="2443" t="s">
        <v>89</v>
      </c>
      <c r="T37" s="2379" t="s">
        <v>433</v>
      </c>
      <c r="U37" s="471"/>
      <c r="V37" s="2444" t="s">
        <v>434</v>
      </c>
      <c r="W37" s="2461"/>
      <c r="X37" s="2461"/>
      <c r="Y37" s="2461"/>
      <c r="Z37" s="2461"/>
      <c r="AA37" s="2461"/>
      <c r="AB37" s="2461"/>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r="38" ht="19.949999999999999" customHeight="1">
      <c r="Q38" s="546"/>
      <c r="R38" s="546"/>
      <c r="S38" s="2443"/>
      <c r="T38" s="2379"/>
      <c r="U38" s="1201"/>
      <c r="V38" s="2536" t="s">
        <v>538</v>
      </c>
      <c r="W38" s="2535" t="s">
        <v>539</v>
      </c>
      <c r="X38" s="2535"/>
      <c r="Y38" s="2535"/>
      <c r="Z38" s="2535" t="s">
        <v>540</v>
      </c>
      <c r="AA38" s="2535"/>
      <c r="AB38" s="2535"/>
      <c r="AC38" s="2464" t="s">
        <v>441</v>
      </c>
      <c r="AD38" s="2483"/>
      <c r="AE38" s="2484"/>
      <c r="AF38" s="2448"/>
      <c r="AG38" s="2536" t="s">
        <v>538</v>
      </c>
      <c r="AH38" s="2535" t="s">
        <v>539</v>
      </c>
      <c r="AI38" s="2535"/>
      <c r="AJ38" s="2535"/>
      <c r="AK38" s="2535" t="s">
        <v>540</v>
      </c>
      <c r="AL38" s="2535"/>
      <c r="AM38" s="2535"/>
      <c r="AN38" s="2464" t="s">
        <v>441</v>
      </c>
      <c r="AO38" s="2483"/>
      <c r="AP38" s="2484"/>
      <c r="AQ38" s="2448"/>
      <c r="AR38" s="2451"/>
      <c r="AS38" s="2297"/>
      <c r="AY38" s="1325">
        <v>19</v>
      </c>
    </row>
    <row r="39" s="9138" customFormat="1" ht="19.949999999999999" customHeight="1">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T39" s="1806"/>
      <c r="AU39" s="1806"/>
      <c r="AV39" s="1806"/>
      <c r="AW39" s="1806"/>
      <c r="AX39" s="1806"/>
      <c r="AY39" s="1801">
        <v>19</v>
      </c>
    </row>
    <row r="40" ht="61.950000000000003" customHeight="1">
      <c r="A40" s="1540"/>
      <c r="B40" s="1540" t="s">
        <v>135</v>
      </c>
      <c r="C40" s="1540" t="s">
        <v>136</v>
      </c>
      <c r="D40" s="1540" t="s">
        <v>137</v>
      </c>
      <c r="E40" s="1534" t="s">
        <v>442</v>
      </c>
      <c r="F40" s="1534" t="s">
        <v>443</v>
      </c>
      <c r="G40" s="1534" t="s">
        <v>444</v>
      </c>
      <c r="H40" s="1534"/>
      <c r="I40" s="1534" t="s">
        <v>496</v>
      </c>
      <c r="J40" s="1534" t="s">
        <v>447</v>
      </c>
      <c r="K40" s="1534" t="s">
        <v>497</v>
      </c>
      <c r="L40" s="1534" t="s">
        <v>422</v>
      </c>
      <c r="Q40" s="546"/>
      <c r="R40" s="546"/>
      <c r="S40" s="2443"/>
      <c r="T40" s="2379"/>
      <c r="U40" s="472"/>
      <c r="V40" s="2536"/>
      <c r="W40" s="2535"/>
      <c r="X40" s="2153" t="s">
        <v>544</v>
      </c>
      <c r="Y40" s="2153" t="s">
        <v>545</v>
      </c>
      <c r="Z40" s="2535"/>
      <c r="AA40" s="2153" t="s">
        <v>546</v>
      </c>
      <c r="AB40" s="2153" t="s">
        <v>547</v>
      </c>
      <c r="AC40" s="1659" t="s">
        <v>451</v>
      </c>
      <c r="AD40" s="2440" t="s">
        <v>452</v>
      </c>
      <c r="AE40" s="2441"/>
      <c r="AF40" s="2449"/>
      <c r="AG40" s="2536"/>
      <c r="AH40" s="2535"/>
      <c r="AI40" s="2153" t="s">
        <v>544</v>
      </c>
      <c r="AJ40" s="2153" t="s">
        <v>545</v>
      </c>
      <c r="AK40" s="2535"/>
      <c r="AL40" s="2153" t="s">
        <v>546</v>
      </c>
      <c r="AM40" s="2153" t="s">
        <v>547</v>
      </c>
      <c r="AN40" s="1659" t="s">
        <v>451</v>
      </c>
      <c r="AO40" s="2440" t="s">
        <v>452</v>
      </c>
      <c r="AP40" s="2441"/>
      <c r="AQ40" s="2449"/>
      <c r="AR40" s="2452"/>
      <c r="AS40" s="2297"/>
      <c r="AY40" s="1325">
        <v>59</v>
      </c>
    </row>
    <row r="41" s="9831" customFormat="1" ht="11.25" hidden="1" customHeight="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r="42" ht="24" customHeight="1">
      <c r="A42" s="1533" t="s">
        <v>258</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 xml:space="preserve">Наименование тарифа</v>
      </c>
      <c r="AW42" s="670"/>
      <c r="AX42" s="670"/>
      <c r="AY42" s="1325">
        <v>23</v>
      </c>
    </row>
    <row r="43" ht="24" customHeight="1">
      <c r="A43" s="1533" t="s">
        <v>258</v>
      </c>
      <c r="B43" s="1533" t="s">
        <v>259</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 xml:space="preserve">Территория действия тарифа</v>
      </c>
      <c r="AW43" s="670"/>
      <c r="AX43" s="670"/>
      <c r="AY43" s="1325">
        <v>23</v>
      </c>
    </row>
    <row r="44" ht="24" customHeight="1">
      <c r="A44" s="1533" t="s">
        <v>258</v>
      </c>
      <c r="B44" s="1533" t="s">
        <v>259</v>
      </c>
      <c r="C44" s="1533" t="s">
        <v>260</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 xml:space="preserve">Наименование централизованной системы горячего водоснабжения</v>
      </c>
      <c r="AW44" s="670"/>
      <c r="AX44" s="670"/>
      <c r="AY44" s="1325">
        <v>23</v>
      </c>
    </row>
    <row r="45" ht="24" customHeight="1">
      <c r="A45" s="1533" t="s">
        <v>258</v>
      </c>
      <c r="B45" s="1533" t="s">
        <v>259</v>
      </c>
      <c r="C45" s="1533" t="s">
        <v>260</v>
      </c>
      <c r="D45" s="1533" t="s">
        <v>548</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 xml:space="preserve">Наименование признака дифференциации</v>
      </c>
      <c r="AW45" s="670"/>
      <c r="AX45" s="670"/>
      <c r="AY45" s="1325">
        <v>23</v>
      </c>
    </row>
    <row r="46" ht="24" customHeight="1">
      <c r="A46" s="1533" t="s">
        <v>258</v>
      </c>
      <c r="B46" s="1533" t="s">
        <v>259</v>
      </c>
      <c r="C46" s="1533" t="s">
        <v>260</v>
      </c>
      <c r="D46" s="1533" t="s">
        <v>548</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 xml:space="preserve">Группа потребителей</v>
      </c>
      <c r="AW46" s="670"/>
      <c r="AX46" s="670"/>
      <c r="AY46" s="1325">
        <v>23</v>
      </c>
    </row>
    <row r="47" ht="24" customHeight="1">
      <c r="A47" s="1533" t="s">
        <v>258</v>
      </c>
      <c r="B47" s="1533" t="s">
        <v>259</v>
      </c>
      <c r="C47" s="1533" t="s">
        <v>260</v>
      </c>
      <c r="D47" s="1533" t="s">
        <v>548</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67</v>
      </c>
      <c r="AE47" s="2437"/>
      <c r="AF47" s="2438" t="s">
        <v>67</v>
      </c>
      <c r="AG47" s="921"/>
      <c r="AH47" s="921"/>
      <c r="AI47" s="921"/>
      <c r="AJ47" s="921"/>
      <c r="AK47" s="921"/>
      <c r="AL47" s="921"/>
      <c r="AM47" s="921"/>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r="48" ht="0" customHeight="1">
      <c r="A48" s="1533" t="s">
        <v>258</v>
      </c>
      <c r="B48" s="1533" t="s">
        <v>259</v>
      </c>
      <c r="C48" s="1533" t="s">
        <v>260</v>
      </c>
      <c r="D48" s="1533" t="s">
        <v>548</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r="49" ht="21" customHeight="1">
      <c r="A49" s="1533" t="s">
        <v>258</v>
      </c>
      <c r="B49" s="1533" t="s">
        <v>259</v>
      </c>
      <c r="C49" s="1533" t="s">
        <v>260</v>
      </c>
      <c r="D49" s="1533" t="s">
        <v>548</v>
      </c>
      <c r="E49" s="2429"/>
      <c r="F49" s="2429"/>
      <c r="G49" s="2429"/>
      <c r="H49" s="2429"/>
      <c r="I49" s="2456"/>
      <c r="J49" s="2426"/>
      <c r="K49" s="1533"/>
      <c r="L49" s="1534"/>
      <c r="P49" s="2427"/>
      <c r="Q49" s="2427"/>
      <c r="R49" s="526"/>
      <c r="S49" s="1448"/>
      <c r="T49" s="457" t="s">
        <v>492</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493</v>
      </c>
      <c r="AU49" s="670"/>
      <c r="AV49" s="670" t="str">
        <f>IF(T49="","",T49)</f>
        <v xml:space="preserve">Добавить значение признака дифференциации</v>
      </c>
      <c r="AW49" s="670"/>
      <c r="AX49" s="670"/>
      <c r="AY49" s="1325">
        <v>20</v>
      </c>
    </row>
    <row r="50" ht="22" customHeight="1">
      <c r="A50" s="1533" t="s">
        <v>258</v>
      </c>
      <c r="B50" s="1533" t="s">
        <v>259</v>
      </c>
      <c r="C50" s="1533" t="s">
        <v>260</v>
      </c>
      <c r="D50" s="1533" t="s">
        <v>548</v>
      </c>
      <c r="E50" s="2429"/>
      <c r="F50" s="2429"/>
      <c r="G50" s="2429"/>
      <c r="H50" s="2429"/>
      <c r="I50" s="2426"/>
      <c r="J50" s="1533"/>
      <c r="K50" s="1533"/>
      <c r="L50" s="1534"/>
      <c r="P50" s="2427"/>
      <c r="Q50" s="1651"/>
      <c r="R50" s="526"/>
      <c r="S50" s="1448"/>
      <c r="T50" s="535" t="s">
        <v>419</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 xml:space="preserve">Добавить группу потребителей</v>
      </c>
      <c r="AW50" s="670"/>
      <c r="AX50" s="670"/>
      <c r="AY50" s="1325">
        <v>21</v>
      </c>
    </row>
    <row r="51" ht="22" customHeight="1">
      <c r="A51" s="1533" t="s">
        <v>258</v>
      </c>
      <c r="B51" s="1533" t="s">
        <v>259</v>
      </c>
      <c r="C51" s="1533" t="s">
        <v>260</v>
      </c>
      <c r="D51" s="1533" t="s">
        <v>548</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 xml:space="preserve">Добавить наименование признака дифференциации</v>
      </c>
      <c r="AW51" s="670"/>
      <c r="AX51" s="670"/>
      <c r="AY51" s="1325">
        <v>21</v>
      </c>
    </row>
    <row r="52" s="9218" customFormat="1" ht="0" customHeight="1">
      <c r="A52" s="1513" t="s">
        <v>258</v>
      </c>
      <c r="B52" s="1513" t="s">
        <v>259</v>
      </c>
      <c r="C52" s="1484"/>
      <c r="D52" s="1484"/>
      <c r="E52" s="2429"/>
      <c r="F52" s="2428"/>
      <c r="G52" s="1484"/>
      <c r="H52" s="1484"/>
      <c r="I52" s="1484"/>
      <c r="J52" s="1484"/>
      <c r="K52" s="1484"/>
      <c r="L52" s="1664"/>
      <c r="M52" s="1491"/>
      <c r="N52" s="1491"/>
      <c r="P52" s="1486"/>
      <c r="Q52" s="1487"/>
      <c r="R52" s="1486"/>
      <c r="S52" s="1492"/>
      <c r="T52" s="1495" t="s">
        <v>164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 xml:space="preserve">Добавить централизованную систему для дифференциации</v>
      </c>
      <c r="AW52" s="959"/>
      <c r="AX52" s="959"/>
      <c r="AY52" s="688">
        <v>0</v>
      </c>
    </row>
    <row r="53" s="9218" customFormat="1" ht="0" customHeight="1">
      <c r="A53" s="1513" t="s">
        <v>258</v>
      </c>
      <c r="B53" s="1513"/>
      <c r="C53" s="1513"/>
      <c r="D53" s="1513"/>
      <c r="E53" s="2428"/>
      <c r="F53" s="1513"/>
      <c r="G53" s="1513"/>
      <c r="H53" s="1513"/>
      <c r="I53" s="1513"/>
      <c r="J53" s="1513"/>
      <c r="K53" s="1513"/>
      <c r="L53" s="1516"/>
      <c r="M53" s="1491"/>
      <c r="N53" s="1491"/>
      <c r="O53" s="688"/>
      <c r="P53" s="550"/>
      <c r="Q53" s="1514"/>
      <c r="R53" s="550"/>
      <c r="S53" s="1492"/>
      <c r="T53" s="1495" t="s">
        <v>165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 xml:space="preserve">Добавить территорию для дифференциации</v>
      </c>
      <c r="AW53" s="670"/>
      <c r="AX53" s="670"/>
      <c r="AY53" s="681">
        <v>0</v>
      </c>
    </row>
    <row r="54" s="9218" customFormat="1" ht="0" customHeight="1">
      <c r="A54" s="1484"/>
      <c r="B54" s="1484"/>
      <c r="C54" s="1484"/>
      <c r="D54" s="1484"/>
      <c r="E54" s="1513"/>
      <c r="F54" s="1484"/>
      <c r="G54" s="1484"/>
      <c r="H54" s="1484"/>
      <c r="I54" s="1484"/>
      <c r="J54" s="1484"/>
      <c r="K54" s="1484"/>
      <c r="L54" s="1664"/>
      <c r="M54" s="1491"/>
      <c r="N54" s="1491"/>
      <c r="P54" s="1486"/>
      <c r="Q54" s="1487"/>
      <c r="R54" s="1486"/>
      <c r="S54" s="1492"/>
      <c r="T54" s="1495" t="s">
        <v>166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 xml:space="preserve">Добавить наименование тарифа</v>
      </c>
      <c r="AW54" s="959"/>
      <c r="AX54" s="959"/>
      <c r="AY54" s="688">
        <v>0</v>
      </c>
    </row>
    <row r="55" ht="11.5" customHeight="1">
      <c r="M55" s="1330"/>
      <c r="N55" s="1330"/>
      <c r="O55" s="707"/>
      <c r="P55" s="1325"/>
      <c r="Q55" s="1325"/>
      <c r="R55" s="1325"/>
      <c r="S55" s="1325"/>
      <c r="AT55" s="1325"/>
      <c r="AU55" s="1325"/>
      <c r="AV55" s="1325"/>
      <c r="AW55" s="1325"/>
      <c r="AX55" s="1325"/>
      <c r="AY55" s="1325">
        <v>11</v>
      </c>
    </row>
    <row r="56" ht="14.65" customHeight="1">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r="57" ht="14.65" customHeight="1">
      <c r="O57" s="707"/>
      <c r="AY57" s="1325">
        <v>14</v>
      </c>
    </row>
    <row r="58" ht="14.65" customHeight="1">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r="59" ht="22.5" hidden="1" customHeight="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autoFilter="0" deleteColumns="1" deleteRows="1" formatColumns="0" formatRows="0" insertColumns="1" insertRows="1" sheet="1" sort="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3">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allowBlank="1" prompt="Для выбора выполните двойной щелчок левой клавиши мыши по соответствующей ячейке." showErrorMessage="1" showInputMessage="1"/>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7F0067-003A-4528-8779-00DB0040000A}" type="list" allowBlank="1" error="Выберите значение из списка" errorTitle="Ошибка" showErrorMessage="1" showInputMessage="1">
          <x14:formula1>
            <xm:f>kind_of_heat_transfer</xm:f>
          </x14:formula1>
          <xm:sqref>T65579 T131115 T196651 T262187 T327723 T393259 T458795 T524331 T589867 T655403 T720939 T786475 T852011 T917547 T983083</xm:sqref>
        </x14:dataValidation>
        <x14:dataValidation xr:uid="{00170086-00BC-4F3D-BFA5-0094005A00D7}" type="textLength" allowBlank="1" error="Допускается ввод не более 900 символов!" errorTitle="Ошибка" operator="lessThanOrEqual"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D00005-00A2-4A7D-88DD-0085007400E5}" type="list" allowBlank="1" error="Выберите значение из списка" errorTitle="Ошибка" showErrorMessage="1" showInputMessage="1">
          <x14:formula1>
            <xm:f>kind_of_scheme_in</xm:f>
          </x14:formula1>
          <xm: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xm:sqref>
        </x14:dataValidation>
        <x14:dataValidation xr:uid="{00F20038-0023-45E7-90CB-00A1003E0046}" type="list" allowBlank="1" error="Выберите значение из списка" errorTitle="Ошибка" prompt="Выберите значение из списка"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4.140625"/>
    <col customWidth="1" hidden="1" min="10" max="10" style="9217" width="9.8515625"/>
    <col customWidth="1" hidden="1" min="11" max="11" style="9217" width="14.7109375"/>
    <col customWidth="1" hidden="1" min="12" max="12" style="10311" width="19.140625"/>
    <col customWidth="1" hidden="1" min="13" max="14" style="10312" width="12.28125"/>
    <col customWidth="1" hidden="1" min="15" max="15" style="10312" width="23.421875"/>
    <col customWidth="1" min="16" max="16" style="10313" width="3.00390625"/>
    <col customWidth="1" min="17" max="18" style="10314" width="3.00390625"/>
    <col customWidth="1" min="19" max="19" style="10315" width="12.00390625"/>
    <col customWidth="1" min="20" max="20" style="9138" width="35.00390625"/>
    <col customWidth="1" min="21" max="21" style="9138" width="0.140625"/>
    <col customWidth="1" hidden="1" min="22" max="28" style="9138" width="19.7109375"/>
    <col customWidth="1" hidden="1" min="29" max="29" style="9138" width="11.7109375"/>
    <col customWidth="1" hidden="1" min="30" max="30" style="9138" width="3.7109375"/>
    <col customWidth="1" hidden="1" min="31" max="31" style="9138" width="11.7109375"/>
    <col customWidth="1" hidden="1" min="32" max="32" style="9138" width="8.57421875"/>
    <col customWidth="1" min="33" max="33" style="9138" width="19.7109375"/>
    <col customWidth="1" min="34" max="39" style="9138" width="19.00390625"/>
    <col customWidth="1" min="40" max="40" style="9138" width="11.00390625"/>
    <col customWidth="1" min="41" max="41" style="9138" width="3.7109375"/>
    <col customWidth="1" min="42" max="42" style="9138" width="11.00390625"/>
    <col customWidth="1" hidden="1" min="43" max="43" style="9138" width="8.57421875"/>
    <col customWidth="1" min="44" max="44" style="9138" width="4.00390625"/>
    <col customWidth="1" min="45" max="45" style="9138" width="115.00390625"/>
    <col customWidth="1" min="46" max="50" style="9218" width="10.00390625"/>
    <col hidden="1" min="51" max="51" style="9138" width="10.57421875"/>
  </cols>
  <sheetData>
    <row r="1" ht="22.5" hidden="1" customHeight="1">
      <c r="AB1" s="497"/>
      <c r="AC1" s="497"/>
      <c r="AM1" s="497"/>
      <c r="AN1" s="497"/>
      <c r="AY1" s="1325" t="s">
        <v>14</v>
      </c>
    </row>
    <row r="2" ht="23.25" hidden="1" customHeight="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 xml:space="preserve">Наименование тарифа</v>
      </c>
      <c r="AW2" s="670"/>
      <c r="AX2" s="670"/>
      <c r="AY2" s="1325">
        <v>0</v>
      </c>
    </row>
    <row r="3" ht="23.25" hidden="1" customHeight="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404</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405</v>
      </c>
      <c r="AU3" s="670"/>
      <c r="AV3" s="670" t="str">
        <f>IF(T3="","",T3)</f>
        <v xml:space="preserve">Территория действия тарифа</v>
      </c>
      <c r="AW3" s="670"/>
      <c r="AX3" s="670"/>
      <c r="AY3" s="1325">
        <v>0</v>
      </c>
    </row>
    <row r="4" ht="23.25" hidden="1" customHeight="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536</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537</v>
      </c>
      <c r="AU4" s="670"/>
      <c r="AV4" s="670" t="str">
        <f>IF(T4="","",T4)</f>
        <v xml:space="preserve">Наименование централизованной системы горячего водоснабжения</v>
      </c>
      <c r="AW4" s="670"/>
      <c r="AX4" s="670"/>
      <c r="AY4" s="1325">
        <v>0</v>
      </c>
    </row>
    <row r="5" ht="23.25" hidden="1" customHeight="1">
      <c r="A5" s="1533"/>
      <c r="B5" s="1533"/>
      <c r="C5" s="1533"/>
      <c r="D5" s="1533"/>
      <c r="E5" s="2429"/>
      <c r="F5" s="2429"/>
      <c r="G5" s="2429"/>
      <c r="H5" s="2429"/>
      <c r="I5" s="2426">
        <f>S4&amp;".1"</f>
      </c>
      <c r="J5" s="1533"/>
      <c r="K5" s="1533"/>
      <c r="L5" s="1534"/>
      <c r="P5" s="2427">
        <v>1</v>
      </c>
      <c r="Q5" s="1651"/>
      <c r="R5" s="526"/>
      <c r="S5" s="1663">
        <f>$I5</f>
      </c>
      <c r="T5" s="455" t="s">
        <v>489</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490</v>
      </c>
      <c r="AU5" s="670"/>
      <c r="AV5" s="670" t="str">
        <f>IF(T5="","",T5)</f>
        <v xml:space="preserve">Наименование признака дифференциации</v>
      </c>
      <c r="AW5" s="670"/>
      <c r="AX5" s="670"/>
      <c r="AY5" s="1325">
        <v>0</v>
      </c>
    </row>
    <row r="6" ht="23.25" hidden="1" customHeight="1">
      <c r="A6" s="1533"/>
      <c r="B6" s="1533"/>
      <c r="C6" s="1533"/>
      <c r="D6" s="1533"/>
      <c r="E6" s="2429"/>
      <c r="F6" s="2429"/>
      <c r="G6" s="2429"/>
      <c r="H6" s="2429"/>
      <c r="I6" s="2456"/>
      <c r="J6" s="2426">
        <f>I5&amp;".1"</f>
      </c>
      <c r="K6" s="1533"/>
      <c r="L6" s="1534" t="s">
        <v>413</v>
      </c>
      <c r="P6" s="2427"/>
      <c r="Q6" s="2427">
        <v>1</v>
      </c>
      <c r="R6" s="527"/>
      <c r="S6" s="1663">
        <f>$J6</f>
      </c>
      <c r="T6" s="456" t="s">
        <v>414</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491</v>
      </c>
      <c r="AU6" s="670"/>
      <c r="AV6" s="670" t="str">
        <f>IF(T6="","",T6)</f>
        <v xml:space="preserve">Группа потребителей</v>
      </c>
      <c r="AW6" s="670"/>
      <c r="AX6" s="670"/>
      <c r="AY6" s="1325">
        <v>0</v>
      </c>
    </row>
    <row r="7" ht="23.25" hidden="1" customHeight="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67</v>
      </c>
      <c r="AE7" s="2435"/>
      <c r="AF7" s="2277" t="s">
        <v>67</v>
      </c>
      <c r="AG7" s="921"/>
      <c r="AH7" s="921"/>
      <c r="AI7" s="921"/>
      <c r="AJ7" s="921"/>
      <c r="AK7" s="921"/>
      <c r="AL7" s="921"/>
      <c r="AM7" s="1427"/>
      <c r="AN7" s="2435"/>
      <c r="AO7" s="2277" t="s">
        <v>67</v>
      </c>
      <c r="AP7" s="2457"/>
      <c r="AQ7" s="2277" t="s">
        <v>67</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r="8" ht="14.25" hidden="1" customHeight="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r="9" ht="21" hidden="1" customHeight="1">
      <c r="A9" s="1533"/>
      <c r="B9" s="1533"/>
      <c r="C9" s="1533"/>
      <c r="D9" s="1533"/>
      <c r="E9" s="2429"/>
      <c r="F9" s="2429"/>
      <c r="G9" s="2429"/>
      <c r="H9" s="2429"/>
      <c r="I9" s="2456"/>
      <c r="J9" s="2426"/>
      <c r="K9" s="1533"/>
      <c r="L9" s="1534"/>
      <c r="P9" s="2427"/>
      <c r="Q9" s="2427"/>
      <c r="R9" s="526"/>
      <c r="S9" s="1448"/>
      <c r="T9" s="457" t="s">
        <v>492</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493</v>
      </c>
      <c r="AU9" s="670"/>
      <c r="AV9" s="670" t="str">
        <f>IF(T9="","",T9)</f>
        <v xml:space="preserve">Добавить значение признака дифференциации</v>
      </c>
      <c r="AW9" s="670"/>
      <c r="AX9" s="670"/>
      <c r="AY9" s="1325">
        <v>0</v>
      </c>
    </row>
    <row r="10" ht="21" hidden="1" customHeight="1">
      <c r="A10" s="1533"/>
      <c r="B10" s="1533"/>
      <c r="C10" s="1533"/>
      <c r="D10" s="1533"/>
      <c r="E10" s="2429"/>
      <c r="F10" s="2429"/>
      <c r="G10" s="2429"/>
      <c r="H10" s="2429"/>
      <c r="I10" s="2426"/>
      <c r="J10" s="1533"/>
      <c r="K10" s="1533"/>
      <c r="L10" s="1534"/>
      <c r="P10" s="2427"/>
      <c r="Q10" s="1651"/>
      <c r="R10" s="526"/>
      <c r="S10" s="1448"/>
      <c r="T10" s="535" t="s">
        <v>419</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 xml:space="preserve">Добавить группу потребителей</v>
      </c>
      <c r="AW10" s="670"/>
      <c r="AX10" s="670"/>
      <c r="AY10" s="1325">
        <v>0</v>
      </c>
    </row>
    <row r="11" ht="21" hidden="1" customHeight="1">
      <c r="A11" s="1533"/>
      <c r="B11" s="1533"/>
      <c r="C11" s="1533"/>
      <c r="D11" s="1533"/>
      <c r="E11" s="2429"/>
      <c r="F11" s="2429"/>
      <c r="G11" s="2429"/>
      <c r="H11" s="2428"/>
      <c r="I11" s="1533"/>
      <c r="J11" s="1533"/>
      <c r="K11" s="1533"/>
      <c r="L11" s="1534"/>
      <c r="M11" s="1535"/>
      <c r="N11" s="1535"/>
      <c r="O11" s="707"/>
      <c r="P11" s="530"/>
      <c r="Q11" s="545"/>
      <c r="R11" s="525"/>
      <c r="S11" s="1448"/>
      <c r="T11" s="542" t="s">
        <v>494</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 xml:space="preserve">Добавить наименование признака дифференциации</v>
      </c>
      <c r="AW11" s="670"/>
      <c r="AX11" s="670"/>
      <c r="AY11" s="1325">
        <v>0</v>
      </c>
    </row>
    <row r="12" s="9218" customFormat="1" ht="14.25" hidden="1" customHeight="1">
      <c r="A12" s="1513"/>
      <c r="B12" s="1513"/>
      <c r="C12" s="1484"/>
      <c r="D12" s="1484"/>
      <c r="E12" s="2429"/>
      <c r="F12" s="2428"/>
      <c r="G12" s="1484"/>
      <c r="H12" s="1484"/>
      <c r="I12" s="1484"/>
      <c r="J12" s="1484"/>
      <c r="K12" s="1484"/>
      <c r="L12" s="1664"/>
      <c r="M12" s="1491"/>
      <c r="N12" s="1491"/>
      <c r="P12" s="1486"/>
      <c r="Q12" s="1487"/>
      <c r="R12" s="1486"/>
      <c r="S12" s="1492"/>
      <c r="T12" s="1495" t="s">
        <v>164</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 xml:space="preserve">Добавить централизованную систему для дифференциации</v>
      </c>
      <c r="AW12" s="959"/>
      <c r="AX12" s="959"/>
      <c r="AY12" s="688">
        <v>0</v>
      </c>
    </row>
    <row r="13" s="9218" customFormat="1" ht="14.25" hidden="1" customHeight="1">
      <c r="A13" s="1513"/>
      <c r="B13" s="1513"/>
      <c r="C13" s="1513"/>
      <c r="D13" s="1513"/>
      <c r="E13" s="2428"/>
      <c r="F13" s="1513"/>
      <c r="G13" s="1513"/>
      <c r="H13" s="1513"/>
      <c r="I13" s="1513"/>
      <c r="J13" s="1513"/>
      <c r="K13" s="1513"/>
      <c r="L13" s="1516"/>
      <c r="M13" s="1491"/>
      <c r="N13" s="1491"/>
      <c r="O13" s="688"/>
      <c r="P13" s="550"/>
      <c r="Q13" s="1514"/>
      <c r="R13" s="550"/>
      <c r="S13" s="1492"/>
      <c r="T13" s="1495" t="s">
        <v>165</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 xml:space="preserve">Добавить территорию для дифференциации</v>
      </c>
      <c r="AW13" s="670"/>
      <c r="AX13" s="670"/>
      <c r="AY13" s="681">
        <v>0</v>
      </c>
    </row>
    <row r="14" ht="14.25" hidden="1" customHeight="1">
      <c r="AF14" s="497"/>
      <c r="AQ14" s="497"/>
      <c r="AY14" s="1325">
        <v>0</v>
      </c>
    </row>
    <row r="15" ht="14.25" hidden="1" customHeight="1">
      <c r="AG15" s="1530"/>
      <c r="AH15" s="1530"/>
      <c r="AI15" s="1530"/>
      <c r="AJ15" s="1530"/>
      <c r="AK15" s="1530"/>
      <c r="AL15" s="1530"/>
      <c r="AM15" s="1531"/>
      <c r="AN15" s="2437"/>
      <c r="AO15" s="2438" t="s">
        <v>67</v>
      </c>
      <c r="AP15" s="2437"/>
      <c r="AQ15" s="2438" t="s">
        <v>67</v>
      </c>
      <c r="AY15" s="1325">
        <v>0</v>
      </c>
    </row>
    <row r="16" ht="14.25" hidden="1" customHeight="1">
      <c r="AG16" s="1530"/>
      <c r="AH16" s="1530"/>
      <c r="AI16" s="1530"/>
      <c r="AJ16" s="1530"/>
      <c r="AK16" s="1530"/>
      <c r="AL16" s="1530"/>
      <c r="AM16" s="498" t="str">
        <f>AN15&amp;"-"&amp;AP15</f>
        <v>-</v>
      </c>
      <c r="AN16" s="2438"/>
      <c r="AO16" s="2438"/>
      <c r="AP16" s="2438"/>
      <c r="AQ16" s="2438"/>
      <c r="AY16" s="1325">
        <v>0</v>
      </c>
    </row>
    <row r="17" ht="14.25" hidden="1" customHeight="1">
      <c r="AQ17" s="497"/>
      <c r="AY17" s="1325">
        <v>0</v>
      </c>
    </row>
    <row r="18" s="9217" customFormat="1" ht="22.5" hidden="1" customHeight="1">
      <c r="L18" s="1648"/>
      <c r="M18" s="1532"/>
      <c r="N18" s="1532"/>
      <c r="O18" s="1537" t="s">
        <v>421</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r="19" s="9217" customFormat="1" ht="14.25" hidden="1" customHeight="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r="20" s="9217" customFormat="1" ht="12" hidden="1" customHeight="1">
      <c r="L20" s="1648"/>
      <c r="M20" s="1532"/>
      <c r="N20" s="1532"/>
      <c r="O20" s="1534" t="s">
        <v>422</v>
      </c>
      <c r="P20" s="1532"/>
      <c r="Q20" s="1612"/>
      <c r="R20" s="1612"/>
      <c r="S20" s="899"/>
      <c r="T20" s="1330" t="s">
        <v>423</v>
      </c>
      <c r="W20" s="1536"/>
      <c r="X20" s="1536"/>
      <c r="Y20" s="1536"/>
      <c r="Z20" s="1536"/>
      <c r="AA20" s="1536"/>
      <c r="AD20" s="356" t="s">
        <v>424</v>
      </c>
      <c r="AF20" s="356" t="s">
        <v>425</v>
      </c>
      <c r="AG20" s="1330" t="s">
        <v>423</v>
      </c>
      <c r="AH20" s="1536"/>
      <c r="AI20" s="1536"/>
      <c r="AJ20" s="1536"/>
      <c r="AK20" s="1536"/>
      <c r="AL20" s="1536"/>
      <c r="AO20" s="356" t="s">
        <v>426</v>
      </c>
      <c r="AQ20" s="356" t="s">
        <v>425</v>
      </c>
      <c r="AY20" s="1330">
        <v>0</v>
      </c>
    </row>
    <row r="21" ht="14.25" hidden="1" customHeight="1">
      <c r="O21" s="1534"/>
      <c r="AY21" s="1325">
        <v>0</v>
      </c>
    </row>
    <row r="22" ht="14.25" hidden="1" customHeight="1">
      <c r="O22" s="1534"/>
      <c r="AY22" s="1325">
        <v>0</v>
      </c>
    </row>
    <row r="23" ht="14.65" customHeight="1">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r="24" ht="26.25" customHeight="1">
      <c r="Q24" s="546"/>
      <c r="R24" s="546"/>
      <c r="S24" s="2418" t="str">
        <f>IF(TEMPLATE_GROUP="P",PT_P_FORM_HOTVSNA_4_NAME_FORM,PT_R_FORM_HOTVSNA_16_NAME_FORM)</f>
        <v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r="25" ht="14.65" customHeight="1">
      <c r="Q25" s="546"/>
      <c r="R25" s="546"/>
      <c r="S25" s="2419" t="str">
        <f>IF(org=0,"Не определено",org)</f>
        <v xml:space="preserve">АО "ДГК" СП "Биробиджанская ТЭЦ"</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r="26" ht="14.25" hidden="1" customHeight="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r="27" s="9344" customFormat="1" ht="25.5" hidden="1" customHeight="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r="28" s="9344" customFormat="1" ht="18.75" hidden="1" customHeight="1">
      <c r="A28" s="1538"/>
      <c r="B28" s="1538"/>
      <c r="C28" s="1538"/>
      <c r="D28" s="1538"/>
      <c r="E28" s="1538"/>
      <c r="F28" s="1538"/>
      <c r="G28" s="1538"/>
      <c r="H28" s="1538"/>
      <c r="I28" s="1538"/>
      <c r="J28" s="1538"/>
      <c r="K28" s="1538"/>
      <c r="L28" s="1539"/>
      <c r="M28" s="1538"/>
      <c r="N28" s="1538"/>
      <c r="O28" s="1538"/>
      <c r="S28" s="2420" t="s">
        <v>427</v>
      </c>
      <c r="T28" s="2420"/>
      <c r="U28" s="1542"/>
      <c r="V28" s="2434" t="str">
        <f>IF(TITLE_DATE_PR_CHANGE="",IF(TITLE_DATE_PR="","",TITLE_DATE_PR),TITLE_DATE_PR_CHANGE)</f>
        <v>45646</v>
      </c>
      <c r="W28" s="2434"/>
      <c r="X28" s="2434"/>
      <c r="Y28" s="2434"/>
      <c r="Z28" s="2434"/>
      <c r="AA28" s="2434"/>
      <c r="AB28" s="2434"/>
      <c r="AC28" s="2434"/>
      <c r="AD28" s="2434"/>
      <c r="AE28" s="2434"/>
      <c r="AF28" s="496"/>
      <c r="AG28" s="2434" t="str">
        <f>IF(TITLE_DATE_PR_CHANGE="",IF(TITLE_DATE_PR="","",TITLE_DATE_PR),TITLE_DATE_PR_CHANGE)</f>
        <v>45646</v>
      </c>
      <c r="AH28" s="2434"/>
      <c r="AI28" s="2434"/>
      <c r="AJ28" s="2434"/>
      <c r="AK28" s="2434"/>
      <c r="AL28" s="2434"/>
      <c r="AM28" s="2434"/>
      <c r="AN28" s="2434"/>
      <c r="AO28" s="2434"/>
      <c r="AP28" s="2434"/>
      <c r="AQ28" s="496"/>
      <c r="AR28" s="496"/>
      <c r="AS28" s="450"/>
      <c r="AT28" s="538"/>
      <c r="AU28" s="538"/>
      <c r="AV28" s="538"/>
      <c r="AW28" s="538"/>
      <c r="AX28" s="538"/>
      <c r="AY28" s="588">
        <v>0</v>
      </c>
    </row>
    <row r="29" s="9344" customFormat="1" ht="18.75" hidden="1" customHeight="1">
      <c r="A29" s="1538"/>
      <c r="B29" s="1538"/>
      <c r="C29" s="1538"/>
      <c r="D29" s="1538"/>
      <c r="E29" s="1538"/>
      <c r="F29" s="1538"/>
      <c r="G29" s="1538"/>
      <c r="H29" s="1538"/>
      <c r="I29" s="1538"/>
      <c r="J29" s="1538"/>
      <c r="K29" s="1538"/>
      <c r="L29" s="1539"/>
      <c r="M29" s="1538"/>
      <c r="N29" s="1538"/>
      <c r="O29" s="1538"/>
      <c r="S29" s="2420" t="s">
        <v>428</v>
      </c>
      <c r="T29" s="2420"/>
      <c r="U29" s="1542"/>
      <c r="V29" s="2421" t="str">
        <f>IF(TITLE_NUMBER_PR_CHANGE="",IF(TITLE_NUMBER_PR="","",TITLE_NUMBER_PR),TITLE_NUMBER_PR_CHANGE)</f>
        <v>ДГК-01.1/22560</v>
      </c>
      <c r="W29" s="2421"/>
      <c r="X29" s="2421"/>
      <c r="Y29" s="2421"/>
      <c r="Z29" s="2421"/>
      <c r="AA29" s="2421"/>
      <c r="AB29" s="2421"/>
      <c r="AC29" s="2421"/>
      <c r="AD29" s="2421"/>
      <c r="AE29" s="2421"/>
      <c r="AF29" s="496"/>
      <c r="AG29" s="2421" t="str">
        <f>IF(TITLE_NUMBER_PR_CHANGE="",IF(TITLE_NUMBER_PR="","",TITLE_NUMBER_PR),TITLE_NUMBER_PR_CHANGE)</f>
        <v>ДГК-01.1/22560</v>
      </c>
      <c r="AH29" s="2421"/>
      <c r="AI29" s="2421"/>
      <c r="AJ29" s="2421"/>
      <c r="AK29" s="2421"/>
      <c r="AL29" s="2421"/>
      <c r="AM29" s="2421"/>
      <c r="AN29" s="2421"/>
      <c r="AO29" s="2421"/>
      <c r="AP29" s="2421"/>
      <c r="AQ29" s="496"/>
      <c r="AR29" s="496"/>
      <c r="AS29" s="450"/>
      <c r="AT29" s="538"/>
      <c r="AU29" s="538"/>
      <c r="AV29" s="538"/>
      <c r="AW29" s="538"/>
      <c r="AX29" s="538"/>
      <c r="AY29" s="588">
        <v>0</v>
      </c>
    </row>
    <row r="30" s="9344" customFormat="1" ht="18.75" hidden="1" customHeight="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r="31" ht="14.25" customHeight="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r="32" s="9344" customFormat="1" ht="18.75" customHeight="1">
      <c r="A32" s="1538"/>
      <c r="B32" s="1538"/>
      <c r="C32" s="1538"/>
      <c r="D32" s="1538"/>
      <c r="E32" s="1538"/>
      <c r="F32" s="1538"/>
      <c r="G32" s="1538"/>
      <c r="H32" s="1538"/>
      <c r="I32" s="1538"/>
      <c r="J32" s="1538"/>
      <c r="K32" s="1538"/>
      <c r="L32" s="1539"/>
      <c r="M32" s="1538"/>
      <c r="N32" s="1538"/>
      <c r="O32" s="1538"/>
      <c r="S32" s="2420" t="s">
        <v>429</v>
      </c>
      <c r="T32" s="2420"/>
      <c r="U32" s="1542"/>
      <c r="V32" s="2434" t="str">
        <f>IF(TITLE_DATE_PR_CHANGE="",IF(TITLE_DATE_PR="","",TITLE_DATE_PR),TITLE_DATE_PR_CHANGE)</f>
        <v>45646</v>
      </c>
      <c r="W32" s="2434"/>
      <c r="X32" s="2434"/>
      <c r="Y32" s="2434"/>
      <c r="Z32" s="2434"/>
      <c r="AA32" s="2434"/>
      <c r="AB32" s="2434"/>
      <c r="AC32" s="2434"/>
      <c r="AD32" s="2434"/>
      <c r="AE32" s="2434"/>
      <c r="AF32" s="496"/>
      <c r="AG32" s="2434" t="str">
        <f>IF(TITLE_DATE_PR_CHANGE="",IF(TITLE_DATE_PR="","",TITLE_DATE_PR),TITLE_DATE_PR_CHANGE)</f>
        <v>45646</v>
      </c>
      <c r="AH32" s="2434"/>
      <c r="AI32" s="2434"/>
      <c r="AJ32" s="2434"/>
      <c r="AK32" s="2434"/>
      <c r="AL32" s="2434"/>
      <c r="AM32" s="2434"/>
      <c r="AN32" s="2434"/>
      <c r="AO32" s="2434"/>
      <c r="AP32" s="2434"/>
      <c r="AQ32" s="496"/>
      <c r="AR32" s="496"/>
      <c r="AS32" s="450"/>
      <c r="AT32" s="538"/>
      <c r="AU32" s="538"/>
      <c r="AV32" s="538"/>
      <c r="AW32" s="538"/>
      <c r="AX32" s="538"/>
      <c r="AY32" s="588">
        <v>0</v>
      </c>
    </row>
    <row r="33" s="9344" customFormat="1" ht="18.75" customHeight="1">
      <c r="A33" s="1538"/>
      <c r="B33" s="1538"/>
      <c r="C33" s="1538"/>
      <c r="D33" s="1538"/>
      <c r="E33" s="1538"/>
      <c r="F33" s="1538"/>
      <c r="G33" s="1538"/>
      <c r="H33" s="1538"/>
      <c r="I33" s="1538"/>
      <c r="J33" s="1538"/>
      <c r="K33" s="1538"/>
      <c r="L33" s="1539"/>
      <c r="M33" s="1538"/>
      <c r="N33" s="1538"/>
      <c r="O33" s="1538"/>
      <c r="S33" s="2420" t="s">
        <v>430</v>
      </c>
      <c r="T33" s="2420"/>
      <c r="U33" s="1542"/>
      <c r="V33" s="2421" t="str">
        <f>IF(TITLE_NUMBER_PR_CHANGE="",IF(TITLE_NUMBER_PR="","",TITLE_NUMBER_PR),TITLE_NUMBER_PR_CHANGE)</f>
        <v>ДГК-01.1/22560</v>
      </c>
      <c r="W33" s="2421"/>
      <c r="X33" s="2421"/>
      <c r="Y33" s="2421"/>
      <c r="Z33" s="2421"/>
      <c r="AA33" s="2421"/>
      <c r="AB33" s="2421"/>
      <c r="AC33" s="2421"/>
      <c r="AD33" s="2421"/>
      <c r="AE33" s="2421"/>
      <c r="AF33" s="496"/>
      <c r="AG33" s="2421" t="str">
        <f>IF(TITLE_NUMBER_PR_CHANGE="",IF(TITLE_NUMBER_PR="","",TITLE_NUMBER_PR),TITLE_NUMBER_PR_CHANGE)</f>
        <v>ДГК-01.1/22560</v>
      </c>
      <c r="AH33" s="2421"/>
      <c r="AI33" s="2421"/>
      <c r="AJ33" s="2421"/>
      <c r="AK33" s="2421"/>
      <c r="AL33" s="2421"/>
      <c r="AM33" s="2421"/>
      <c r="AN33" s="2421"/>
      <c r="AO33" s="2421"/>
      <c r="AP33" s="2421"/>
      <c r="AQ33" s="496"/>
      <c r="AR33" s="496"/>
      <c r="AS33" s="450"/>
      <c r="AT33" s="538"/>
      <c r="AU33" s="538"/>
      <c r="AV33" s="538"/>
      <c r="AW33" s="538"/>
      <c r="AX33" s="538"/>
      <c r="AY33" s="588">
        <v>0</v>
      </c>
    </row>
    <row r="34" s="9344" customFormat="1" ht="1.05" customHeight="1">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431</v>
      </c>
      <c r="AG34" s="496"/>
      <c r="AH34" s="1805"/>
      <c r="AI34" s="1805"/>
      <c r="AJ34" s="1805"/>
      <c r="AK34" s="1805"/>
      <c r="AL34" s="1805"/>
      <c r="AM34" s="496"/>
      <c r="AN34" s="496"/>
      <c r="AO34" s="496"/>
      <c r="AP34" s="496"/>
      <c r="AQ34" s="448" t="s">
        <v>431</v>
      </c>
      <c r="AT34" s="538"/>
      <c r="AU34" s="538"/>
      <c r="AV34" s="538"/>
      <c r="AW34" s="538"/>
      <c r="AX34" s="538"/>
      <c r="AY34" s="588">
        <v>1</v>
      </c>
    </row>
    <row r="35" ht="14.65" customHeight="1">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r="36" ht="14.65" customHeight="1">
      <c r="Q36" s="546"/>
      <c r="R36" s="546"/>
      <c r="S36" s="2297" t="s">
        <v>307</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308</v>
      </c>
      <c r="AY36" s="1325">
        <v>14</v>
      </c>
    </row>
    <row r="37" ht="14.65" customHeight="1">
      <c r="Q37" s="546"/>
      <c r="R37" s="546"/>
      <c r="S37" s="2443" t="s">
        <v>89</v>
      </c>
      <c r="T37" s="2379" t="s">
        <v>433</v>
      </c>
      <c r="U37" s="471"/>
      <c r="V37" s="2444" t="s">
        <v>434</v>
      </c>
      <c r="W37" s="2445"/>
      <c r="X37" s="2445"/>
      <c r="Y37" s="2445"/>
      <c r="Z37" s="2445"/>
      <c r="AA37" s="2445"/>
      <c r="AB37" s="2445"/>
      <c r="AC37" s="2445"/>
      <c r="AD37" s="2445"/>
      <c r="AE37" s="2446"/>
      <c r="AF37" s="2447" t="s">
        <v>435</v>
      </c>
      <c r="AG37" s="2444" t="s">
        <v>434</v>
      </c>
      <c r="AH37" s="2445"/>
      <c r="AI37" s="2445"/>
      <c r="AJ37" s="2445"/>
      <c r="AK37" s="2445"/>
      <c r="AL37" s="2445"/>
      <c r="AM37" s="2445"/>
      <c r="AN37" s="2445"/>
      <c r="AO37" s="2445"/>
      <c r="AP37" s="2446"/>
      <c r="AQ37" s="2447" t="s">
        <v>436</v>
      </c>
      <c r="AR37" s="2450" t="s">
        <v>437</v>
      </c>
      <c r="AS37" s="2297"/>
      <c r="AY37" s="1325">
        <v>14</v>
      </c>
    </row>
    <row r="38" s="9138" customFormat="1" ht="19.949999999999999" customHeight="1">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538</v>
      </c>
      <c r="W38" s="2535" t="s">
        <v>539</v>
      </c>
      <c r="X38" s="2535"/>
      <c r="Y38" s="2535"/>
      <c r="Z38" s="2535" t="s">
        <v>540</v>
      </c>
      <c r="AA38" s="2535"/>
      <c r="AB38" s="2535"/>
      <c r="AC38" s="2464" t="s">
        <v>441</v>
      </c>
      <c r="AD38" s="2483"/>
      <c r="AE38" s="2484"/>
      <c r="AF38" s="2448"/>
      <c r="AG38" s="2536" t="s">
        <v>538</v>
      </c>
      <c r="AH38" s="2535" t="s">
        <v>539</v>
      </c>
      <c r="AI38" s="2535"/>
      <c r="AJ38" s="2535"/>
      <c r="AK38" s="2535" t="s">
        <v>540</v>
      </c>
      <c r="AL38" s="2535"/>
      <c r="AM38" s="2535"/>
      <c r="AN38" s="2464" t="s">
        <v>441</v>
      </c>
      <c r="AO38" s="2483"/>
      <c r="AP38" s="2484"/>
      <c r="AQ38" s="2448"/>
      <c r="AR38" s="2451"/>
      <c r="AS38" s="2297"/>
      <c r="AT38" s="1806"/>
      <c r="AU38" s="1806"/>
      <c r="AV38" s="1806"/>
      <c r="AW38" s="1806"/>
      <c r="AX38" s="1806"/>
      <c r="AY38" s="1801">
        <v>19</v>
      </c>
    </row>
    <row r="39" ht="19.949999999999999" customHeight="1">
      <c r="Q39" s="546"/>
      <c r="R39" s="546"/>
      <c r="S39" s="2443"/>
      <c r="T39" s="2379"/>
      <c r="U39" s="1201"/>
      <c r="V39" s="2536"/>
      <c r="W39" s="2535" t="s">
        <v>541</v>
      </c>
      <c r="X39" s="2535" t="s">
        <v>542</v>
      </c>
      <c r="Y39" s="2535"/>
      <c r="Z39" s="2535" t="s">
        <v>543</v>
      </c>
      <c r="AA39" s="2535" t="s">
        <v>542</v>
      </c>
      <c r="AB39" s="2535"/>
      <c r="AC39" s="2465"/>
      <c r="AD39" s="2485"/>
      <c r="AE39" s="2486"/>
      <c r="AF39" s="2448"/>
      <c r="AG39" s="2536"/>
      <c r="AH39" s="2535" t="s">
        <v>541</v>
      </c>
      <c r="AI39" s="2535" t="s">
        <v>542</v>
      </c>
      <c r="AJ39" s="2535"/>
      <c r="AK39" s="2535" t="s">
        <v>543</v>
      </c>
      <c r="AL39" s="2535" t="s">
        <v>542</v>
      </c>
      <c r="AM39" s="2535"/>
      <c r="AN39" s="2465"/>
      <c r="AO39" s="2485"/>
      <c r="AP39" s="2486"/>
      <c r="AQ39" s="2448"/>
      <c r="AR39" s="2451"/>
      <c r="AS39" s="2297"/>
      <c r="AY39" s="1325">
        <v>19</v>
      </c>
    </row>
    <row r="40" ht="61.950000000000003" customHeight="1">
      <c r="A40" s="1540"/>
      <c r="B40" s="1540" t="s">
        <v>135</v>
      </c>
      <c r="C40" s="1540" t="s">
        <v>136</v>
      </c>
      <c r="D40" s="1540" t="s">
        <v>137</v>
      </c>
      <c r="E40" s="1534" t="s">
        <v>442</v>
      </c>
      <c r="F40" s="1534" t="s">
        <v>443</v>
      </c>
      <c r="G40" s="1534" t="s">
        <v>444</v>
      </c>
      <c r="H40" s="1534"/>
      <c r="I40" s="1534" t="s">
        <v>496</v>
      </c>
      <c r="J40" s="1534" t="s">
        <v>447</v>
      </c>
      <c r="K40" s="1534" t="s">
        <v>497</v>
      </c>
      <c r="L40" s="1534" t="s">
        <v>422</v>
      </c>
      <c r="Q40" s="546"/>
      <c r="R40" s="546"/>
      <c r="S40" s="2443"/>
      <c r="T40" s="2379"/>
      <c r="U40" s="472"/>
      <c r="V40" s="2536"/>
      <c r="W40" s="2535"/>
      <c r="X40" s="2153" t="s">
        <v>544</v>
      </c>
      <c r="Y40" s="2153" t="s">
        <v>545</v>
      </c>
      <c r="Z40" s="2535"/>
      <c r="AA40" s="2153" t="s">
        <v>546</v>
      </c>
      <c r="AB40" s="2153" t="s">
        <v>547</v>
      </c>
      <c r="AC40" s="1659" t="s">
        <v>451</v>
      </c>
      <c r="AD40" s="2440" t="s">
        <v>452</v>
      </c>
      <c r="AE40" s="2441"/>
      <c r="AF40" s="2449"/>
      <c r="AG40" s="2536"/>
      <c r="AH40" s="2535"/>
      <c r="AI40" s="2153" t="s">
        <v>544</v>
      </c>
      <c r="AJ40" s="2153" t="s">
        <v>545</v>
      </c>
      <c r="AK40" s="2535"/>
      <c r="AL40" s="2153" t="s">
        <v>546</v>
      </c>
      <c r="AM40" s="2153" t="s">
        <v>547</v>
      </c>
      <c r="AN40" s="1659" t="s">
        <v>451</v>
      </c>
      <c r="AO40" s="2440" t="s">
        <v>452</v>
      </c>
      <c r="AP40" s="2441"/>
      <c r="AQ40" s="2449"/>
      <c r="AR40" s="2452"/>
      <c r="AS40" s="2297"/>
      <c r="AY40" s="1325">
        <v>59</v>
      </c>
    </row>
    <row r="41" s="9831" customFormat="1" ht="11.25" hidden="1" customHeight="1">
      <c r="A41" s="1540"/>
      <c r="B41" s="1540"/>
      <c r="C41" s="1540"/>
      <c r="D41" s="1540"/>
      <c r="E41" s="1540"/>
      <c r="F41" s="1540"/>
      <c r="G41" s="1540"/>
      <c r="H41" s="1540"/>
      <c r="I41" s="1540"/>
      <c r="J41" s="1540"/>
      <c r="K41" s="1540"/>
      <c r="L41" s="1534"/>
      <c r="M41" s="1532"/>
      <c r="N41" s="1532"/>
      <c r="O41" s="1532"/>
      <c r="P41" s="1416"/>
      <c r="Q41" s="1417"/>
      <c r="R41" s="1424">
        <v>1</v>
      </c>
      <c r="S41" s="1447" t="s">
        <v>110</v>
      </c>
      <c r="T41" s="1425" t="s">
        <v>111</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r="42" ht="24" customHeight="1">
      <c r="A42" s="1533" t="s">
        <v>263</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 xml:space="preserve">Наименование тарифа</v>
      </c>
      <c r="AW42" s="670"/>
      <c r="AX42" s="670"/>
      <c r="AY42" s="1325">
        <v>23</v>
      </c>
    </row>
    <row r="43" ht="24" customHeight="1">
      <c r="A43" s="1533" t="s">
        <v>263</v>
      </c>
      <c r="B43" s="1533" t="s">
        <v>264</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404</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405</v>
      </c>
      <c r="AU43" s="670"/>
      <c r="AV43" s="670" t="str">
        <f>IF(T43="","",T43)</f>
        <v xml:space="preserve">Территория действия тарифа</v>
      </c>
      <c r="AW43" s="670"/>
      <c r="AX43" s="670"/>
      <c r="AY43" s="1325">
        <v>23</v>
      </c>
    </row>
    <row r="44" ht="24" customHeight="1">
      <c r="A44" s="1533" t="s">
        <v>263</v>
      </c>
      <c r="B44" s="1533" t="s">
        <v>264</v>
      </c>
      <c r="C44" s="1533" t="s">
        <v>265</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536</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537</v>
      </c>
      <c r="AU44" s="670"/>
      <c r="AV44" s="670" t="str">
        <f>IF(T44="","",T44)</f>
        <v xml:space="preserve">Наименование централизованной системы горячего водоснабжения</v>
      </c>
      <c r="AW44" s="670"/>
      <c r="AX44" s="670"/>
      <c r="AY44" s="1325">
        <v>23</v>
      </c>
    </row>
    <row r="45" ht="24" customHeight="1">
      <c r="A45" s="1533" t="s">
        <v>263</v>
      </c>
      <c r="B45" s="1533" t="s">
        <v>264</v>
      </c>
      <c r="C45" s="1533" t="s">
        <v>265</v>
      </c>
      <c r="D45" s="1533" t="s">
        <v>549</v>
      </c>
      <c r="E45" s="2429"/>
      <c r="F45" s="2429"/>
      <c r="G45" s="2429"/>
      <c r="H45" s="2429"/>
      <c r="I45" s="2426" t="str">
        <f>S44&amp;".1"</f>
        <v>...1</v>
      </c>
      <c r="J45" s="1533"/>
      <c r="K45" s="1533"/>
      <c r="L45" s="1534"/>
      <c r="P45" s="2427">
        <v>1</v>
      </c>
      <c r="Q45" s="1651"/>
      <c r="R45" s="526"/>
      <c r="S45" s="1663" t="str">
        <f>$I45</f>
        <v>...1</v>
      </c>
      <c r="T45" s="455" t="s">
        <v>489</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490</v>
      </c>
      <c r="AU45" s="670"/>
      <c r="AV45" s="670" t="str">
        <f>IF(T45="","",T45)</f>
        <v xml:space="preserve">Наименование признака дифференциации</v>
      </c>
      <c r="AW45" s="670"/>
      <c r="AX45" s="670"/>
      <c r="AY45" s="1325">
        <v>23</v>
      </c>
    </row>
    <row r="46" ht="24" customHeight="1">
      <c r="A46" s="1533" t="s">
        <v>263</v>
      </c>
      <c r="B46" s="1533" t="s">
        <v>264</v>
      </c>
      <c r="C46" s="1533" t="s">
        <v>265</v>
      </c>
      <c r="D46" s="1533" t="s">
        <v>549</v>
      </c>
      <c r="E46" s="2429"/>
      <c r="F46" s="2429"/>
      <c r="G46" s="2429"/>
      <c r="H46" s="2429"/>
      <c r="I46" s="2456"/>
      <c r="J46" s="2426" t="str">
        <f>I45&amp;".1"</f>
        <v>...1.1</v>
      </c>
      <c r="K46" s="1533"/>
      <c r="L46" s="1534" t="s">
        <v>413</v>
      </c>
      <c r="P46" s="2427"/>
      <c r="Q46" s="2427">
        <v>1</v>
      </c>
      <c r="R46" s="527"/>
      <c r="S46" s="1663" t="str">
        <f>$J46</f>
        <v>...1.1</v>
      </c>
      <c r="T46" s="456" t="s">
        <v>414</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491</v>
      </c>
      <c r="AU46" s="670"/>
      <c r="AV46" s="670" t="str">
        <f>IF(T46="","",T46)</f>
        <v xml:space="preserve">Группа потребителей</v>
      </c>
      <c r="AW46" s="670"/>
      <c r="AX46" s="670"/>
      <c r="AY46" s="1325">
        <v>23</v>
      </c>
    </row>
    <row r="47" ht="24" customHeight="1">
      <c r="A47" s="1533" t="s">
        <v>263</v>
      </c>
      <c r="B47" s="1533" t="s">
        <v>264</v>
      </c>
      <c r="C47" s="1533" t="s">
        <v>265</v>
      </c>
      <c r="D47" s="1533" t="s">
        <v>549</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67</v>
      </c>
      <c r="AE47" s="2437"/>
      <c r="AF47" s="2438" t="s">
        <v>67</v>
      </c>
      <c r="AG47" s="921"/>
      <c r="AH47" s="921"/>
      <c r="AI47" s="921"/>
      <c r="AJ47" s="921"/>
      <c r="AK47" s="921"/>
      <c r="AL47" s="921"/>
      <c r="AM47" s="1427"/>
      <c r="AN47" s="2435"/>
      <c r="AO47" s="2277" t="s">
        <v>67</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 xml:space="preserve">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r="48" ht="0" customHeight="1">
      <c r="A48" s="1533" t="s">
        <v>263</v>
      </c>
      <c r="B48" s="1533" t="s">
        <v>264</v>
      </c>
      <c r="C48" s="1533" t="s">
        <v>265</v>
      </c>
      <c r="D48" s="1533" t="s">
        <v>549</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r="49" ht="21" customHeight="1">
      <c r="A49" s="1533" t="s">
        <v>263</v>
      </c>
      <c r="B49" s="1533" t="s">
        <v>264</v>
      </c>
      <c r="C49" s="1533" t="s">
        <v>265</v>
      </c>
      <c r="D49" s="1533" t="s">
        <v>549</v>
      </c>
      <c r="E49" s="2429"/>
      <c r="F49" s="2429"/>
      <c r="G49" s="2429"/>
      <c r="H49" s="2429"/>
      <c r="I49" s="2456"/>
      <c r="J49" s="2426"/>
      <c r="K49" s="1533"/>
      <c r="L49" s="1534"/>
      <c r="P49" s="2427"/>
      <c r="Q49" s="2427"/>
      <c r="R49" s="526"/>
      <c r="S49" s="1448"/>
      <c r="T49" s="457" t="s">
        <v>492</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493</v>
      </c>
      <c r="AU49" s="670"/>
      <c r="AV49" s="670" t="str">
        <f>IF(T49="","",T49)</f>
        <v xml:space="preserve">Добавить значение признака дифференциации</v>
      </c>
      <c r="AW49" s="670"/>
      <c r="AX49" s="670"/>
      <c r="AY49" s="1325">
        <v>20</v>
      </c>
    </row>
    <row r="50" ht="22" customHeight="1">
      <c r="A50" s="1533" t="s">
        <v>263</v>
      </c>
      <c r="B50" s="1533" t="s">
        <v>264</v>
      </c>
      <c r="C50" s="1533" t="s">
        <v>265</v>
      </c>
      <c r="D50" s="1533" t="s">
        <v>549</v>
      </c>
      <c r="E50" s="2429"/>
      <c r="F50" s="2429"/>
      <c r="G50" s="2429"/>
      <c r="H50" s="2429"/>
      <c r="I50" s="2426"/>
      <c r="J50" s="1533"/>
      <c r="K50" s="1533"/>
      <c r="L50" s="1534"/>
      <c r="P50" s="2427"/>
      <c r="Q50" s="1651"/>
      <c r="R50" s="526"/>
      <c r="S50" s="1448"/>
      <c r="T50" s="535" t="s">
        <v>419</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 xml:space="preserve">Добавить группу потребителей</v>
      </c>
      <c r="AW50" s="670"/>
      <c r="AX50" s="670"/>
      <c r="AY50" s="1325">
        <v>21</v>
      </c>
    </row>
    <row r="51" ht="22" customHeight="1">
      <c r="A51" s="1533" t="s">
        <v>263</v>
      </c>
      <c r="B51" s="1533" t="s">
        <v>264</v>
      </c>
      <c r="C51" s="1533" t="s">
        <v>265</v>
      </c>
      <c r="D51" s="1533" t="s">
        <v>549</v>
      </c>
      <c r="E51" s="2429"/>
      <c r="F51" s="2429"/>
      <c r="G51" s="2429"/>
      <c r="H51" s="2428"/>
      <c r="I51" s="1533"/>
      <c r="J51" s="1533"/>
      <c r="K51" s="1533"/>
      <c r="L51" s="1534"/>
      <c r="M51" s="1535"/>
      <c r="N51" s="1535"/>
      <c r="O51" s="707"/>
      <c r="P51" s="530"/>
      <c r="Q51" s="545"/>
      <c r="R51" s="525"/>
      <c r="S51" s="1448"/>
      <c r="T51" s="542" t="s">
        <v>494</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 xml:space="preserve">Добавить наименование признака дифференциации</v>
      </c>
      <c r="AW51" s="670"/>
      <c r="AX51" s="670"/>
      <c r="AY51" s="1325">
        <v>21</v>
      </c>
    </row>
    <row r="52" s="9218" customFormat="1" ht="0" customHeight="1">
      <c r="A52" s="1513" t="s">
        <v>263</v>
      </c>
      <c r="B52" s="1513" t="s">
        <v>264</v>
      </c>
      <c r="C52" s="1484"/>
      <c r="D52" s="1484"/>
      <c r="E52" s="2429"/>
      <c r="F52" s="2428"/>
      <c r="G52" s="1484"/>
      <c r="H52" s="1484"/>
      <c r="I52" s="1484"/>
      <c r="J52" s="1484"/>
      <c r="K52" s="1484"/>
      <c r="L52" s="1664"/>
      <c r="M52" s="1491"/>
      <c r="N52" s="1491"/>
      <c r="P52" s="1486"/>
      <c r="Q52" s="1487"/>
      <c r="R52" s="1486"/>
      <c r="S52" s="1492"/>
      <c r="T52" s="1495" t="s">
        <v>164</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 xml:space="preserve">Добавить централизованную систему для дифференциации</v>
      </c>
      <c r="AW52" s="959"/>
      <c r="AX52" s="959"/>
      <c r="AY52" s="688">
        <v>0</v>
      </c>
    </row>
    <row r="53" s="9218" customFormat="1" ht="0" customHeight="1">
      <c r="A53" s="1513" t="s">
        <v>263</v>
      </c>
      <c r="B53" s="1513"/>
      <c r="C53" s="1513"/>
      <c r="D53" s="1513"/>
      <c r="E53" s="2428"/>
      <c r="F53" s="1513"/>
      <c r="G53" s="1513"/>
      <c r="H53" s="1513"/>
      <c r="I53" s="1513"/>
      <c r="J53" s="1513"/>
      <c r="K53" s="1513"/>
      <c r="L53" s="1516"/>
      <c r="M53" s="1491"/>
      <c r="N53" s="1491"/>
      <c r="O53" s="688"/>
      <c r="P53" s="550"/>
      <c r="Q53" s="1514"/>
      <c r="R53" s="550"/>
      <c r="S53" s="1492"/>
      <c r="T53" s="1495" t="s">
        <v>165</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 xml:space="preserve">Добавить территорию для дифференциации</v>
      </c>
      <c r="AW53" s="670"/>
      <c r="AX53" s="670"/>
      <c r="AY53" s="681">
        <v>0</v>
      </c>
    </row>
    <row r="54" s="9218" customFormat="1" ht="0" customHeight="1">
      <c r="A54" s="1484"/>
      <c r="B54" s="1484"/>
      <c r="C54" s="1484"/>
      <c r="D54" s="1484"/>
      <c r="E54" s="1513"/>
      <c r="F54" s="1484"/>
      <c r="G54" s="1484"/>
      <c r="H54" s="1484"/>
      <c r="I54" s="1484"/>
      <c r="J54" s="1484"/>
      <c r="K54" s="1484"/>
      <c r="L54" s="1664"/>
      <c r="M54" s="1491"/>
      <c r="N54" s="1491"/>
      <c r="P54" s="1486"/>
      <c r="Q54" s="1487"/>
      <c r="R54" s="1486"/>
      <c r="S54" s="1492"/>
      <c r="T54" s="1495" t="s">
        <v>166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 xml:space="preserve">Добавить наименование тарифа</v>
      </c>
      <c r="AW54" s="959"/>
      <c r="AX54" s="959"/>
      <c r="AY54" s="688">
        <v>0</v>
      </c>
    </row>
    <row r="55" ht="11.5" customHeight="1">
      <c r="M55" s="1330"/>
      <c r="N55" s="1330"/>
      <c r="O55" s="707"/>
      <c r="P55" s="1325"/>
      <c r="Q55" s="1325"/>
      <c r="R55" s="1325"/>
      <c r="S55" s="1325"/>
      <c r="AT55" s="1325"/>
      <c r="AU55" s="1325"/>
      <c r="AV55" s="1325"/>
      <c r="AW55" s="1325"/>
      <c r="AX55" s="1325"/>
      <c r="AY55" s="1325">
        <v>11</v>
      </c>
    </row>
    <row r="56" ht="14.65" customHeight="1">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r="57" ht="14.65" customHeight="1">
      <c r="O57" s="707"/>
      <c r="AY57" s="1325">
        <v>14</v>
      </c>
    </row>
    <row r="58" ht="14.65" customHeight="1">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r="59" ht="22.5" hidden="1" customHeight="1">
      <c r="A59" s="1330" t="s">
        <v>83</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autoFilter="0" deleteColumns="1" deleteRows="1" formatColumns="0" formatRows="0" insertColumns="1" insertRows="1" sheet="1" sort="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4">
    <dataValidation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allowBlank="1" promptTitle="checkPeriodRange"/>
    <dataValidation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allowBlank="1" prompt="Для выбора выполните двойной щелчок левой клавиши мыши по соответствующей ячейке." showErrorMessage="1" showInputMessage="1"/>
    <dataValidation sqref="S131117:AS131123 S196653:AS196659 S262189:AS262195 S327725:AS327731 S393261:AS393267 S458797:AS458803 S524333:AS524339 S589869:AS589875 S655405:AS655411 S720941:AS720947 S786477:AS786483 S852013:AS852019 S917549:AS917555 S983085:AS983091 S65581:AS65587"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25000B-00A7-454E-8049-004000140063}" type="list" allowBlank="1" error="Выберите значение из списка" errorTitle="Ошибка" showErrorMessage="1" showInputMessage="1">
          <x14:formula1>
            <xm:f>kind_of_scheme_in</xm:f>
          </x14:formula1>
          <xm: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xm:sqref>
        </x14:dataValidation>
        <x14:dataValidation xr:uid="{00400056-00CB-495B-9240-0045009F0001}" type="textLength" allowBlank="1" error="Допускается ввод не более 900 символов!" errorTitle="Ошибка" operator="lessThanOrEqual" showErrorMessage="1" showInputMessage="1">
          <x14:formula1>
            <xm:f>900</xm:f>
          </x14:formula1>
          <xm: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xm:sqref>
        </x14:dataValidation>
        <x14:dataValidation xr:uid="{00C3008C-00F3-417D-B85D-00EE00DB003F}" type="list" allowBlank="1" error="Выберите значение из списка" errorTitle="Ошибка" showErrorMessage="1" showInputMessage="1">
          <x14:formula1>
            <xm:f>kind_of_heat_transfer</xm:f>
          </x14:formula1>
          <xm:sqref>T65579 T131115 T196651 T262187 T327723 T393259 T458795 T524331 T589867 T655403 T720939 T786475 T852011 T917547 T983083</xm:sqref>
        </x14:dataValidation>
        <x14:dataValidation xr:uid="{00B4000B-00D9-4650-8D66-00A0002D0031}" type="list" allowBlank="1" error="Выберите значение из списка" errorTitle="Ошибка" prompt="Выберите значение из списка" showInputMessage="1">
          <x14:formula1>
            <xm:f>kind_of_cons</xm:f>
          </x14:formula1>
          <xm:sqref>V983082:AR983082 V65578:AR65578 V131114:AR131114 V196650:AR196650 V262186:AR262186 V327722:AR327722 V393258:AR393258 V458794:AR458794 V524330:AR524330 V589866:AR589866 V655402:AR655402 V720938:AR720938 V786474:AR786474 V852010:AR852010 V917546:AR917546</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defaultRowHeight="14.25" customHeight="1"/>
  <cols>
    <col customWidth="1" hidden="1" min="1" max="1" style="9217" width="11.57421875"/>
    <col customWidth="1" hidden="1" min="2" max="2" style="9217" width="11.00390625"/>
    <col hidden="1" min="3" max="3" style="9217" width="10.57421875"/>
    <col customWidth="1" hidden="1" min="4" max="4" style="9217" width="12.8515625"/>
    <col customWidth="1" hidden="1" min="5" max="5" style="9217" width="10.00390625"/>
    <col customWidth="1" hidden="1" min="6" max="6" style="9217" width="8.7109375"/>
    <col customWidth="1" hidden="1" min="7" max="7" style="9217" width="7.57421875"/>
    <col customWidth="1" hidden="1" min="8" max="8" style="9217" width="11.421875"/>
    <col customWidth="1" hidden="1" min="9" max="9" style="9217" width="12.00390625"/>
    <col customWidth="1" hidden="1" min="10" max="10" style="9217" width="9.8515625"/>
    <col customWidth="1" hidden="1" min="11" max="11" style="9217" width="11.421875"/>
    <col customWidth="1" hidden="1" min="12" max="12" style="10311" width="19.140625"/>
    <col customWidth="1" hidden="1" min="13" max="14" style="10312" width="12.28125"/>
    <col customWidth="1" hidden="1" min="15" max="15" style="10312" width="23.421875"/>
    <col customWidth="1" hidden="1" min="16" max="16" style="10312" width="3.7109375"/>
    <col customWidth="1" hidden="1" min="17" max="17" style="10692" width="3.7109375"/>
    <col customWidth="1" min="18" max="18" style="10314" width="3.00390625"/>
    <col customWidth="1" min="19" max="19" style="10315" width="12.00390625"/>
    <col customWidth="1" min="20" max="20" style="9138" width="31.00390625"/>
    <col customWidth="1" min="21" max="21" style="9138" width="0.140625"/>
    <col customWidth="1" hidden="1" min="22" max="25" style="9138" width="21.7109375"/>
    <col customWidth="1" hidden="1" min="26" max="26" style="9138" width="11.7109375"/>
    <col customWidth="1" hidden="1" min="27" max="27" style="9138" width="3.7109375"/>
    <col customWidth="1" hidden="1" min="28" max="28" style="9138" width="11.7109375"/>
    <col customWidth="1" hidden="1" min="29" max="29" style="9138" width="8.57421875"/>
    <col customWidth="1" min="30" max="30" style="9138" width="3.7109375"/>
    <col customWidth="1" min="31" max="32" style="9138" width="3.00390625"/>
    <col customWidth="1" min="33" max="33" style="9138" width="24.00390625"/>
    <col customWidth="1" min="34" max="34" style="9138" width="3.7109375"/>
    <col customWidth="1" min="35" max="36" style="9138" width="3.00390625"/>
    <col customWidth="1" min="37" max="37" style="9138" width="24.00390625"/>
    <col customWidth="1" min="38" max="38" style="9138" width="3.7109375"/>
    <col customWidth="1" min="39" max="40" style="9138" width="3.00390625"/>
    <col customWidth="1" min="41" max="41" style="9138" width="18.00390625"/>
    <col customWidth="1" min="42" max="42" style="9138" width="3.7109375"/>
    <col customWidth="1" min="43" max="44" style="9138" width="3.00390625"/>
    <col customWidth="1" min="45" max="45" style="9138" width="18.00390625"/>
    <col customWidth="1" min="46" max="49" style="9138" width="21.00390625"/>
    <col customWidth="1" min="50" max="50" style="9138" width="11.00390625"/>
    <col customWidth="1" min="51" max="51" style="9138" width="3.7109375"/>
    <col customWidth="1" min="52" max="52" style="9138" width="11.00390625"/>
    <col customWidth="1" hidden="1" min="53" max="53" style="9138" width="8.57421875"/>
    <col customWidth="1" min="54" max="54" style="9138" width="4.00390625"/>
    <col customWidth="1" min="55" max="55" style="9138" width="115.00390625"/>
    <col customWidth="1" min="56" max="60" style="9218" width="10.00390625"/>
    <col hidden="1" min="61" max="61" style="9138" width="10.57421875"/>
  </cols>
  <sheetData>
    <row r="1" ht="22.5" hidden="1" customHeight="1">
      <c r="W1" s="497"/>
      <c r="Y1" s="497"/>
      <c r="Z1" s="497"/>
      <c r="AW1" s="497"/>
      <c r="AX1" s="497"/>
      <c r="BI1" s="1325" t="s">
        <v>14</v>
      </c>
    </row>
    <row r="2" ht="21" hidden="1" customHeight="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 xml:space="preserve">Наименование тарифа</v>
      </c>
      <c r="BG2" s="670"/>
      <c r="BH2" s="670"/>
      <c r="BI2" s="1325">
        <v>0</v>
      </c>
    </row>
    <row r="3" ht="21" hidden="1" customHeight="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404</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405</v>
      </c>
      <c r="BE3" s="670"/>
      <c r="BF3" s="670" t="str">
        <f>IF(T3="","",T3)</f>
        <v xml:space="preserve">Территория действия тарифа</v>
      </c>
      <c r="BG3" s="670"/>
      <c r="BH3" s="670"/>
      <c r="BI3" s="1325">
        <v>0</v>
      </c>
    </row>
    <row r="4" ht="33.75" hidden="1" customHeight="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536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537</v>
      </c>
      <c r="BE4" s="670"/>
      <c r="BF4" s="670" t="str">
        <f>IF(T4="","",T4)</f>
        <v xml:space="preserve">Наименование централизованной системы горячего водоснабжения</v>
      </c>
      <c r="BG4" s="670"/>
      <c r="BH4" s="670"/>
      <c r="BI4" s="1325">
        <v>0</v>
      </c>
    </row>
    <row r="5" s="9218" customFormat="1" ht="14.25" hidden="1" customHeight="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409</v>
      </c>
      <c r="BE5" s="670"/>
      <c r="BF5" s="670" t="str">
        <f>IF(T5="","",T5)</f>
        <v/>
      </c>
      <c r="BG5" s="670"/>
      <c r="BH5" s="670"/>
      <c r="BI5" s="681">
        <v>0</v>
      </c>
    </row>
    <row r="6" s="9218" customFormat="1" ht="14.25" hidden="1" customHeight="1">
      <c r="A6" s="1513"/>
      <c r="B6" s="1513"/>
      <c r="C6" s="1513"/>
      <c r="D6" s="1513"/>
      <c r="E6" s="2429"/>
      <c r="F6" s="2429"/>
      <c r="G6" s="2429"/>
      <c r="H6" s="2429"/>
      <c r="I6" s="2426" t="str">
        <f>S5&amp;".1"</f>
        <v>.1</v>
      </c>
      <c r="J6" s="1513"/>
      <c r="K6" s="1513"/>
      <c r="L6" s="1516" t="s">
        <v>410</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r="7" s="9218" customFormat="1" ht="14.25" hidden="1" customHeight="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r="8" ht="11.25" hidden="1" customHeight="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67</v>
      </c>
      <c r="AB8" s="1904"/>
      <c r="AC8" s="1639" t="s">
        <v>67</v>
      </c>
      <c r="AD8" s="2355" t="s">
        <v>67</v>
      </c>
      <c r="AE8" s="2496"/>
      <c r="AF8" s="2375">
        <v>1</v>
      </c>
      <c r="AG8" s="2533"/>
      <c r="AH8" s="2277" t="s">
        <v>67</v>
      </c>
      <c r="AI8" s="2496"/>
      <c r="AJ8" s="2375">
        <v>1</v>
      </c>
      <c r="AK8" s="2497" t="s">
        <v>28</v>
      </c>
      <c r="AL8" s="2277" t="s">
        <v>67</v>
      </c>
      <c r="AM8" s="2362"/>
      <c r="AN8" s="2375">
        <v>1</v>
      </c>
      <c r="AO8" s="2527"/>
      <c r="AP8" s="2528" t="s">
        <v>67</v>
      </c>
      <c r="AQ8" s="481"/>
      <c r="AR8" s="1656">
        <v>1</v>
      </c>
      <c r="AS8" s="1662" t="s">
        <v>28</v>
      </c>
      <c r="AT8" s="921"/>
      <c r="AU8" s="1427"/>
      <c r="AV8" s="921"/>
      <c r="AW8" s="1427"/>
      <c r="AX8" s="1904"/>
      <c r="AY8" s="1639" t="s">
        <v>67</v>
      </c>
      <c r="AZ8" s="1904"/>
      <c r="BA8" s="1639" t="s">
        <v>67</v>
      </c>
      <c r="BB8" s="1518"/>
      <c r="BC8" s="2423" t="s">
        <v>507</v>
      </c>
      <c r="BE8" s="670"/>
      <c r="BF8" s="670" t="str">
        <f>IF(T8="","",T8)</f>
        <v/>
      </c>
      <c r="BG8" s="670"/>
      <c r="BH8" s="670"/>
      <c r="BI8" s="1325">
        <v>0</v>
      </c>
    </row>
    <row r="9" ht="11.25" hidden="1" customHeight="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508</v>
      </c>
      <c r="AT9" s="1563"/>
      <c r="AU9" s="1666"/>
      <c r="AV9" s="1563"/>
      <c r="AW9" s="1666"/>
      <c r="AX9" s="1563"/>
      <c r="AY9" s="1563"/>
      <c r="AZ9" s="1563"/>
      <c r="BA9" s="1563"/>
      <c r="BB9" s="1567"/>
      <c r="BC9" s="2424"/>
      <c r="BE9" s="670"/>
      <c r="BF9" s="670"/>
      <c r="BG9" s="670"/>
      <c r="BH9" s="670"/>
      <c r="BI9" s="1325">
        <v>0</v>
      </c>
    </row>
    <row r="10" ht="11.25" hidden="1" customHeight="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509</v>
      </c>
      <c r="AP10" s="586"/>
      <c r="AQ10" s="586"/>
      <c r="AR10" s="586"/>
      <c r="AS10" s="1563"/>
      <c r="AT10" s="1563"/>
      <c r="AU10" s="1666"/>
      <c r="AV10" s="1563"/>
      <c r="AW10" s="1666"/>
      <c r="AX10" s="1563"/>
      <c r="AY10" s="1563"/>
      <c r="AZ10" s="1563"/>
      <c r="BA10" s="1563"/>
      <c r="BB10" s="1567"/>
      <c r="BC10" s="2424"/>
      <c r="BE10" s="670"/>
      <c r="BF10" s="670"/>
      <c r="BG10" s="670"/>
      <c r="BH10" s="670"/>
      <c r="BI10" s="1325">
        <v>0</v>
      </c>
    </row>
    <row r="11" ht="11.25" hidden="1" customHeight="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510</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r="12" ht="11.25" hidden="1" customHeight="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511</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r="13" ht="11.25" hidden="1" customHeight="1">
      <c r="A13" s="1533"/>
      <c r="B13" s="1533"/>
      <c r="C13" s="1533"/>
      <c r="D13" s="1533"/>
      <c r="E13" s="2429"/>
      <c r="F13" s="2429"/>
      <c r="G13" s="2429"/>
      <c r="H13" s="2429"/>
      <c r="I13" s="2456"/>
      <c r="J13" s="2426"/>
      <c r="K13" s="1533"/>
      <c r="L13" s="1534"/>
      <c r="P13" s="2427"/>
      <c r="Q13" s="2427"/>
      <c r="R13" s="526"/>
      <c r="S13" s="1448"/>
      <c r="T13" s="457" t="s">
        <v>474</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 xml:space="preserve">Добавить строку</v>
      </c>
      <c r="BG13" s="670"/>
      <c r="BH13" s="670"/>
      <c r="BI13" s="1325">
        <v>0</v>
      </c>
    </row>
    <row r="14" s="9218" customFormat="1" ht="14.25" hidden="1" customHeight="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r="15" s="9218" customFormat="1" ht="14.25" hidden="1" customHeight="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r="16" s="9218" customFormat="1" ht="14.25" hidden="1" customHeight="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r="17" s="9218" customFormat="1" ht="14.25" hidden="1" customHeight="1">
      <c r="A17" s="1513"/>
      <c r="B17" s="1513"/>
      <c r="C17" s="1484"/>
      <c r="D17" s="1484"/>
      <c r="E17" s="2429"/>
      <c r="F17" s="2428"/>
      <c r="G17" s="1484"/>
      <c r="H17" s="1484"/>
      <c r="I17" s="1484"/>
      <c r="J17" s="1484"/>
      <c r="K17" s="1484"/>
      <c r="L17" s="1664"/>
      <c r="M17" s="1491"/>
      <c r="N17" s="1491"/>
      <c r="P17" s="1486"/>
      <c r="Q17" s="1487"/>
      <c r="R17" s="1486"/>
      <c r="S17" s="1492"/>
      <c r="T17" s="1495" t="s">
        <v>164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 xml:space="preserve">Добавить централизованную систему для дифференциации</v>
      </c>
      <c r="BG17" s="959"/>
      <c r="BH17" s="959"/>
      <c r="BI17" s="688">
        <v>0</v>
      </c>
    </row>
    <row r="18" s="9218" customFormat="1" ht="14.25" hidden="1" customHeight="1">
      <c r="A18" s="1513"/>
      <c r="B18" s="1513"/>
      <c r="C18" s="1513"/>
      <c r="D18" s="1513"/>
      <c r="E18" s="2428"/>
      <c r="F18" s="1513"/>
      <c r="G18" s="1513"/>
      <c r="H18" s="1513"/>
      <c r="I18" s="1513"/>
      <c r="J18" s="1513"/>
      <c r="K18" s="1513"/>
      <c r="L18" s="1516"/>
      <c r="M18" s="1491"/>
      <c r="N18" s="1491"/>
      <c r="O18" s="688"/>
      <c r="P18" s="550"/>
      <c r="Q18" s="1514"/>
      <c r="R18" s="550"/>
      <c r="S18" s="1492"/>
      <c r="T18" s="1495" t="s">
        <v>165</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 xml:space="preserve">Добавить территорию для дифференциации</v>
      </c>
      <c r="BG18" s="670"/>
      <c r="BH18" s="670"/>
      <c r="BI18" s="681">
        <v>0</v>
      </c>
    </row>
    <row r="19" ht="14.25" hidden="1" customHeight="1">
      <c r="AC19" s="497"/>
      <c r="BA19" s="497"/>
      <c r="BI19" s="1325">
        <v>0</v>
      </c>
    </row>
    <row r="20" ht="14.25" hidden="1" customHeight="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67</v>
      </c>
      <c r="AZ20" s="1906"/>
      <c r="BA20" s="1655" t="s">
        <v>67</v>
      </c>
      <c r="BI20" s="1325">
        <v>0</v>
      </c>
    </row>
    <row r="21" ht="14.25" hidden="1" customHeight="1">
      <c r="BD21" s="666"/>
      <c r="BE21" s="666"/>
      <c r="BF21" s="666"/>
      <c r="BG21" s="666"/>
      <c r="BH21" s="666"/>
      <c r="BI21" s="1325">
        <v>0</v>
      </c>
    </row>
    <row r="22" ht="14.25" hidden="1" customHeight="1">
      <c r="O22" s="1537" t="s">
        <v>421</v>
      </c>
      <c r="Z22" s="1515"/>
      <c r="AB22" s="1515"/>
      <c r="AC22" s="497"/>
      <c r="AX22" s="1515"/>
      <c r="AZ22" s="1515"/>
      <c r="BA22" s="497"/>
      <c r="BD22" s="666"/>
      <c r="BE22" s="666"/>
      <c r="BF22" s="666"/>
      <c r="BG22" s="666"/>
      <c r="BH22" s="666"/>
      <c r="BI22" s="1325">
        <v>0</v>
      </c>
    </row>
    <row r="23" ht="14.25" hidden="1" customHeight="1">
      <c r="AC23" s="497"/>
      <c r="BA23" s="497"/>
      <c r="BD23" s="666"/>
      <c r="BE23" s="666"/>
      <c r="BF23" s="666"/>
      <c r="BG23" s="666"/>
      <c r="BH23" s="666"/>
      <c r="BI23" s="1325">
        <v>0</v>
      </c>
    </row>
    <row r="24" s="10663" customFormat="1" ht="14.25" hidden="1" customHeight="1">
      <c r="M24" s="1678"/>
      <c r="N24" s="1678"/>
      <c r="O24" s="1679" t="s">
        <v>422</v>
      </c>
      <c r="P24" s="1678"/>
      <c r="Q24" s="1680"/>
      <c r="R24" s="1680"/>
      <c r="AA24" s="1677" t="s">
        <v>424</v>
      </c>
      <c r="AC24" s="1677" t="s">
        <v>425</v>
      </c>
      <c r="AD24" s="1677" t="s">
        <v>475</v>
      </c>
      <c r="AH24" s="1677" t="s">
        <v>475</v>
      </c>
      <c r="AK24" s="1677" t="s">
        <v>512</v>
      </c>
      <c r="AL24" s="1677" t="s">
        <v>475</v>
      </c>
      <c r="AP24" s="1677" t="s">
        <v>475</v>
      </c>
      <c r="AY24" s="1677" t="s">
        <v>424</v>
      </c>
      <c r="BA24" s="1677" t="s">
        <v>425</v>
      </c>
      <c r="BD24" s="1681"/>
      <c r="BE24" s="1681"/>
      <c r="BF24" s="1681"/>
      <c r="BG24" s="1681"/>
      <c r="BH24" s="1681"/>
      <c r="BI24" s="1677">
        <v>0</v>
      </c>
    </row>
    <row r="25" ht="14.25" hidden="1" customHeight="1">
      <c r="O25" s="1534"/>
      <c r="BD25" s="666"/>
      <c r="BE25" s="666"/>
      <c r="BF25" s="666"/>
      <c r="BG25" s="666"/>
      <c r="BH25" s="666"/>
      <c r="BI25" s="1325">
        <v>0</v>
      </c>
    </row>
    <row r="26" ht="14.25" hidden="1" customHeight="1">
      <c r="O26" s="1534"/>
      <c r="BD26" s="666"/>
      <c r="BE26" s="666"/>
      <c r="BF26" s="666"/>
      <c r="BG26" s="666"/>
      <c r="BH26" s="666"/>
      <c r="BI26" s="1325">
        <v>0</v>
      </c>
    </row>
    <row r="27" ht="14.65" customHeight="1">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r="28" ht="14.65" customHeight="1">
      <c r="Q28" s="461"/>
      <c r="R28" s="546"/>
      <c r="S28" s="2418" t="str">
        <f>IF(TEMPLATE_GROUP="P",PT_P_FORM_HOTVSNA_5_NAME_FORM,PT_R_FORM_HOTVSNA_17_NAME_FORM)</f>
        <v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r="29" ht="14.65" customHeight="1">
      <c r="Q29" s="461"/>
      <c r="R29" s="546"/>
      <c r="S29" s="2419" t="str">
        <f>IF(org=0,"Не определено",org)</f>
        <v xml:space="preserve">АО "ДГК" СП "Биробиджанская ТЭЦ"</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r="30" ht="14.25" hidden="1" customHeight="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r="31" s="9344" customFormat="1" ht="25.5" hidden="1" customHeight="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r="32" s="9344" customFormat="1" ht="18.75" hidden="1" customHeight="1">
      <c r="A32" s="1538"/>
      <c r="B32" s="1538"/>
      <c r="C32" s="1538"/>
      <c r="D32" s="1538"/>
      <c r="E32" s="1538"/>
      <c r="F32" s="1538"/>
      <c r="G32" s="1538"/>
      <c r="H32" s="1538"/>
      <c r="I32" s="1538"/>
      <c r="J32" s="1538"/>
      <c r="K32" s="1538"/>
      <c r="L32" s="1539"/>
      <c r="M32" s="1538"/>
      <c r="N32" s="1538"/>
      <c r="O32" s="1538"/>
      <c r="P32" s="1538"/>
      <c r="Q32" s="1538"/>
      <c r="S32" s="2420" t="s">
        <v>427</v>
      </c>
      <c r="T32" s="2420"/>
      <c r="U32" s="1542"/>
      <c r="V32" s="2434" t="str">
        <f>IF(TITLE_DATE_PR_CHANGE="",IF(TITLE_DATE_PR="","",TITLE_DATE_PR),TITLE_DATE_PR_CHANGE)</f>
        <v>45646</v>
      </c>
      <c r="W32" s="2434"/>
      <c r="X32" s="2434"/>
      <c r="Y32" s="2434"/>
      <c r="Z32" s="2434"/>
      <c r="AA32" s="2434"/>
      <c r="AB32" s="2434"/>
      <c r="AC32" s="496"/>
      <c r="AD32" s="2434" t="str">
        <f>IF(TITLE_DATE_PR_CHANGE="",IF(TITLE_DATE_PR="","",TITLE_DATE_PR),TITLE_DATE_PR_CHANGE)</f>
        <v>45646</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r="33" s="9344" customFormat="1" ht="18.75" hidden="1" customHeight="1">
      <c r="A33" s="1538"/>
      <c r="B33" s="1538"/>
      <c r="C33" s="1538"/>
      <c r="D33" s="1538"/>
      <c r="E33" s="1538"/>
      <c r="F33" s="1538"/>
      <c r="G33" s="1538"/>
      <c r="H33" s="1538"/>
      <c r="I33" s="1538"/>
      <c r="J33" s="1538"/>
      <c r="K33" s="1538"/>
      <c r="L33" s="1539"/>
      <c r="M33" s="1538"/>
      <c r="N33" s="1538"/>
      <c r="O33" s="1538"/>
      <c r="P33" s="1538"/>
      <c r="Q33" s="1538"/>
      <c r="S33" s="2420" t="s">
        <v>428</v>
      </c>
      <c r="T33" s="2420"/>
      <c r="U33" s="1542"/>
      <c r="V33" s="2421" t="str">
        <f>IF(TITLE_NUMBER_PR_CHANGE="",IF(TITLE_NUMBER_PR="","",TITLE_NUMBER_PR),TITLE_NUMBER_PR_CHANGE)</f>
        <v>ДГК-01.1/22560</v>
      </c>
      <c r="W33" s="2421"/>
      <c r="X33" s="2421"/>
      <c r="Y33" s="2421"/>
      <c r="Z33" s="2421"/>
      <c r="AA33" s="2421"/>
      <c r="AB33" s="2421"/>
      <c r="AC33" s="496"/>
      <c r="AD33" s="2421" t="str">
        <f>IF(TITLE_NUMBER_PR_CHANGE="",IF(TITLE_NUMBER_PR="","",TITLE_NUMBER_PR),TITLE_NUMBER_PR_CHANGE)</f>
        <v>ДГК-01.1/22560</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r="34" s="9344" customFormat="1" ht="18.75" hidden="1" customHeight="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r="35" ht="14.25" customHeight="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r="36" s="9344" customFormat="1" ht="18.75" customHeight="1">
      <c r="A36" s="1538"/>
      <c r="B36" s="1538"/>
      <c r="C36" s="1538"/>
      <c r="D36" s="1538"/>
      <c r="E36" s="1538"/>
      <c r="F36" s="1538"/>
      <c r="G36" s="1538"/>
      <c r="H36" s="1538"/>
      <c r="I36" s="1538"/>
      <c r="J36" s="1538"/>
      <c r="K36" s="1538"/>
      <c r="L36" s="1539"/>
      <c r="M36" s="1538"/>
      <c r="N36" s="1538"/>
      <c r="O36" s="1538"/>
      <c r="P36" s="1538"/>
      <c r="Q36" s="1538"/>
      <c r="S36" s="2420" t="s">
        <v>427</v>
      </c>
      <c r="T36" s="2420"/>
      <c r="U36" s="1542"/>
      <c r="V36" s="2434" t="str">
        <f>IF(TITLE_DATE_PR_CHANGE="",IF(TITLE_DATE_PR="","",TITLE_DATE_PR),TITLE_DATE_PR_CHANGE)</f>
        <v>45646</v>
      </c>
      <c r="W36" s="2434"/>
      <c r="X36" s="2434"/>
      <c r="Y36" s="2434"/>
      <c r="Z36" s="2434"/>
      <c r="AA36" s="2434"/>
      <c r="AB36" s="2434"/>
      <c r="AC36" s="496"/>
      <c r="AD36" s="2434" t="str">
        <f>IF(TITLE_DATE_PR_CHANGE="",IF(TITLE_DATE_PR="","",TITLE_DATE_PR),TITLE_DATE_PR_CHANGE)</f>
        <v>45646</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r="37" s="9344" customFormat="1" ht="18.75" customHeight="1">
      <c r="A37" s="1538"/>
      <c r="B37" s="1538"/>
      <c r="C37" s="1538"/>
      <c r="D37" s="1538"/>
      <c r="E37" s="1538"/>
      <c r="F37" s="1538"/>
      <c r="G37" s="1538"/>
      <c r="H37" s="1538"/>
      <c r="I37" s="1538"/>
      <c r="J37" s="1538"/>
      <c r="K37" s="1538"/>
      <c r="L37" s="1539"/>
      <c r="M37" s="1538"/>
      <c r="N37" s="1538"/>
      <c r="O37" s="1538"/>
      <c r="P37" s="1538"/>
      <c r="Q37" s="1538"/>
      <c r="S37" s="2420" t="s">
        <v>428</v>
      </c>
      <c r="T37" s="2420"/>
      <c r="U37" s="1542"/>
      <c r="V37" s="2421" t="str">
        <f>IF(TITLE_NUMBER_PR_CHANGE="",IF(TITLE_NUMBER_PR="","",TITLE_NUMBER_PR),TITLE_NUMBER_PR_CHANGE)</f>
        <v>ДГК-01.1/22560</v>
      </c>
      <c r="W37" s="2421"/>
      <c r="X37" s="2421"/>
      <c r="Y37" s="2421"/>
      <c r="Z37" s="2421"/>
      <c r="AA37" s="2421"/>
      <c r="AB37" s="2421"/>
      <c r="AC37" s="496"/>
      <c r="AD37" s="2421" t="str">
        <f>IF(TITLE_NUMBER_PR_CHANGE="",IF(TITLE_NUMBER_PR="","",TITLE_NUMBER_PR),TITLE_NUMBER_PR_CHANGE)</f>
        <v>ДГК-01.1/22560</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r="38" s="9344" customFormat="1" ht="0" customHeight="1">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431</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431</v>
      </c>
      <c r="BD38" s="538"/>
      <c r="BE38" s="538"/>
      <c r="BF38" s="538"/>
      <c r="BG38" s="538"/>
      <c r="BH38" s="538"/>
      <c r="BI38" s="588">
        <v>0</v>
      </c>
    </row>
    <row r="39" ht="14.65" customHeight="1">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r="40" ht="14.65" customHeight="1">
      <c r="Q40" s="461"/>
      <c r="R40" s="546"/>
      <c r="S40" s="2297" t="s">
        <v>307</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308</v>
      </c>
      <c r="BI40" s="1325">
        <v>14</v>
      </c>
    </row>
    <row r="41" ht="14.65" customHeight="1">
      <c r="Q41" s="461"/>
      <c r="R41" s="546"/>
      <c r="S41" s="2443" t="s">
        <v>89</v>
      </c>
      <c r="T41" s="2379" t="s">
        <v>513</v>
      </c>
      <c r="U41" s="471"/>
      <c r="V41" s="2444" t="s">
        <v>434</v>
      </c>
      <c r="W41" s="2445"/>
      <c r="X41" s="2445"/>
      <c r="Y41" s="2445"/>
      <c r="Z41" s="2445"/>
      <c r="AA41" s="2445"/>
      <c r="AB41" s="2446"/>
      <c r="AC41" s="2447" t="s">
        <v>435</v>
      </c>
      <c r="AD41" s="2498" t="s">
        <v>514</v>
      </c>
      <c r="AE41" s="2461"/>
      <c r="AF41" s="2461"/>
      <c r="AG41" s="2499"/>
      <c r="AH41" s="2498" t="s">
        <v>515</v>
      </c>
      <c r="AI41" s="2461"/>
      <c r="AJ41" s="2461"/>
      <c r="AK41" s="2499"/>
      <c r="AL41" s="2498" t="s">
        <v>516</v>
      </c>
      <c r="AM41" s="2461"/>
      <c r="AN41" s="2461"/>
      <c r="AO41" s="2499"/>
      <c r="AP41" s="2498" t="s">
        <v>517</v>
      </c>
      <c r="AQ41" s="2461"/>
      <c r="AR41" s="2461"/>
      <c r="AS41" s="2499"/>
      <c r="AT41" s="2444" t="s">
        <v>434</v>
      </c>
      <c r="AU41" s="2445"/>
      <c r="AV41" s="2445"/>
      <c r="AW41" s="2445"/>
      <c r="AX41" s="2445"/>
      <c r="AY41" s="2445"/>
      <c r="AZ41" s="2446"/>
      <c r="BA41" s="2447" t="s">
        <v>435</v>
      </c>
      <c r="BB41" s="2450" t="s">
        <v>437</v>
      </c>
      <c r="BC41" s="2297"/>
      <c r="BI41" s="1325">
        <v>14</v>
      </c>
    </row>
    <row r="42" ht="35.649999999999999" customHeight="1">
      <c r="Q42" s="461"/>
      <c r="R42" s="546"/>
      <c r="S42" s="2443"/>
      <c r="T42" s="2379"/>
      <c r="U42" s="1201"/>
      <c r="V42" s="2362" t="s">
        <v>518</v>
      </c>
      <c r="W42" s="2363"/>
      <c r="X42" s="2362" t="s">
        <v>519</v>
      </c>
      <c r="Y42" s="2363"/>
      <c r="Z42" s="2464" t="s">
        <v>520</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518</v>
      </c>
      <c r="AU42" s="2363"/>
      <c r="AV42" s="2362" t="s">
        <v>519</v>
      </c>
      <c r="AW42" s="2363"/>
      <c r="AX42" s="2464" t="s">
        <v>520</v>
      </c>
      <c r="AY42" s="2483"/>
      <c r="AZ42" s="2484"/>
      <c r="BA42" s="2448"/>
      <c r="BB42" s="2451"/>
      <c r="BC42" s="2297"/>
      <c r="BI42" s="1325">
        <v>34</v>
      </c>
    </row>
    <row r="43" ht="14.65" customHeight="1">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r="44" ht="14.65" customHeight="1">
      <c r="A44" s="1540"/>
      <c r="B44" s="1540" t="s">
        <v>135</v>
      </c>
      <c r="C44" s="1540" t="s">
        <v>136</v>
      </c>
      <c r="D44" s="1540" t="s">
        <v>137</v>
      </c>
      <c r="E44" s="1534" t="s">
        <v>442</v>
      </c>
      <c r="F44" s="1534" t="s">
        <v>443</v>
      </c>
      <c r="G44" s="1534" t="s">
        <v>444</v>
      </c>
      <c r="H44" s="1534" t="s">
        <v>445</v>
      </c>
      <c r="I44" s="1534" t="s">
        <v>446</v>
      </c>
      <c r="J44" s="1534" t="s">
        <v>447</v>
      </c>
      <c r="K44" s="1534" t="s">
        <v>448</v>
      </c>
      <c r="L44" s="1534" t="s">
        <v>422</v>
      </c>
      <c r="Q44" s="461"/>
      <c r="R44" s="546"/>
      <c r="S44" s="2443"/>
      <c r="T44" s="2379"/>
      <c r="U44" s="472"/>
      <c r="V44" s="1649" t="s">
        <v>484</v>
      </c>
      <c r="W44" s="1649" t="s">
        <v>485</v>
      </c>
      <c r="X44" s="1649" t="s">
        <v>484</v>
      </c>
      <c r="Y44" s="1649" t="s">
        <v>485</v>
      </c>
      <c r="Z44" s="1659" t="s">
        <v>451</v>
      </c>
      <c r="AA44" s="2440" t="s">
        <v>452</v>
      </c>
      <c r="AB44" s="2441"/>
      <c r="AC44" s="2449"/>
      <c r="AD44" s="2503"/>
      <c r="AE44" s="2504"/>
      <c r="AF44" s="2504"/>
      <c r="AG44" s="2505"/>
      <c r="AH44" s="2503"/>
      <c r="AI44" s="2504"/>
      <c r="AJ44" s="2504"/>
      <c r="AK44" s="2505"/>
      <c r="AL44" s="2503"/>
      <c r="AM44" s="2504"/>
      <c r="AN44" s="2504"/>
      <c r="AO44" s="2505"/>
      <c r="AP44" s="2503"/>
      <c r="AQ44" s="2504"/>
      <c r="AR44" s="2504"/>
      <c r="AS44" s="2505"/>
      <c r="AT44" s="1649" t="s">
        <v>484</v>
      </c>
      <c r="AU44" s="1649" t="s">
        <v>485</v>
      </c>
      <c r="AV44" s="1649" t="s">
        <v>484</v>
      </c>
      <c r="AW44" s="1649" t="s">
        <v>485</v>
      </c>
      <c r="AX44" s="1659" t="s">
        <v>451</v>
      </c>
      <c r="AY44" s="2440" t="s">
        <v>452</v>
      </c>
      <c r="AZ44" s="2441"/>
      <c r="BA44" s="2449"/>
      <c r="BB44" s="2452"/>
      <c r="BC44" s="2297"/>
      <c r="BI44" s="1325">
        <v>14</v>
      </c>
    </row>
    <row r="45" s="9831" customFormat="1" ht="0" customHeight="1">
      <c r="A45" s="1540"/>
      <c r="B45" s="1540"/>
      <c r="C45" s="1540"/>
      <c r="D45" s="1540"/>
      <c r="E45" s="1540"/>
      <c r="F45" s="1540"/>
      <c r="G45" s="1540"/>
      <c r="H45" s="1540"/>
      <c r="I45" s="1540"/>
      <c r="J45" s="1540"/>
      <c r="K45" s="1540"/>
      <c r="L45" s="1534"/>
      <c r="M45" s="1532"/>
      <c r="N45" s="1532"/>
      <c r="O45" s="1532"/>
      <c r="P45" s="680"/>
      <c r="Q45" s="1424"/>
      <c r="R45" s="1424">
        <v>1</v>
      </c>
      <c r="S45" s="1447" t="s">
        <v>110</v>
      </c>
      <c r="T45" s="1425" t="s">
        <v>111</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r="46" ht="22" customHeight="1">
      <c r="A46" s="1533" t="s">
        <v>268</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 xml:space="preserve">Наименование тарифа</v>
      </c>
      <c r="BG46" s="670"/>
      <c r="BH46" s="670"/>
      <c r="BI46" s="1325">
        <v>21</v>
      </c>
    </row>
    <row r="47" ht="22" customHeight="1">
      <c r="A47" s="1533" t="s">
        <v>268</v>
      </c>
      <c r="B47" s="1533" t="s">
        <v>269</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404</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405</v>
      </c>
      <c r="BE47" s="670"/>
      <c r="BF47" s="670" t="str">
        <f>IF(T47="","",T47)</f>
        <v xml:space="preserve">Территория действия тарифа</v>
      </c>
      <c r="BG47" s="670"/>
      <c r="BH47" s="670"/>
      <c r="BI47" s="1325">
        <v>21</v>
      </c>
    </row>
    <row r="48" ht="35.649999999999999" customHeight="1">
      <c r="A48" s="1533" t="s">
        <v>268</v>
      </c>
      <c r="B48" s="1533" t="s">
        <v>269</v>
      </c>
      <c r="C48" s="1533" t="s">
        <v>270</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536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537</v>
      </c>
      <c r="BE48" s="670"/>
      <c r="BF48" s="670" t="str">
        <f>IF(T48="","",T48)</f>
        <v xml:space="preserve">Наименование централизованной системы горячего водоснабжения</v>
      </c>
      <c r="BG48" s="670"/>
      <c r="BH48" s="670"/>
      <c r="BI48" s="1325">
        <v>34</v>
      </c>
    </row>
    <row r="49" s="9218" customFormat="1" ht="0" customHeight="1">
      <c r="A49" s="1513" t="s">
        <v>268</v>
      </c>
      <c r="B49" s="1513" t="s">
        <v>269</v>
      </c>
      <c r="C49" s="1513" t="s">
        <v>270</v>
      </c>
      <c r="D49" s="1513" t="s">
        <v>550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409</v>
      </c>
      <c r="BE49" s="670"/>
      <c r="BF49" s="670" t="str">
        <f>IF(T49="","",T49)</f>
        <v/>
      </c>
      <c r="BG49" s="670"/>
      <c r="BH49" s="670"/>
      <c r="BI49" s="681">
        <v>0</v>
      </c>
    </row>
    <row r="50" s="9218" customFormat="1" ht="0" customHeight="1">
      <c r="A50" s="1513" t="s">
        <v>268</v>
      </c>
      <c r="B50" s="1513" t="s">
        <v>269</v>
      </c>
      <c r="C50" s="1513" t="s">
        <v>270</v>
      </c>
      <c r="D50" s="1513" t="s">
        <v>550</v>
      </c>
      <c r="E50" s="2429"/>
      <c r="F50" s="2429"/>
      <c r="G50" s="2429"/>
      <c r="H50" s="2429"/>
      <c r="I50" s="2426" t="str">
        <f>S49&amp;".1"</f>
        <v>.1</v>
      </c>
      <c r="J50" s="1513"/>
      <c r="K50" s="1513"/>
      <c r="L50" s="1516" t="s">
        <v>410</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r="51" s="9218" customFormat="1" ht="0" customHeight="1">
      <c r="A51" s="1513" t="s">
        <v>268</v>
      </c>
      <c r="B51" s="1513" t="s">
        <v>269</v>
      </c>
      <c r="C51" s="1513" t="s">
        <v>270</v>
      </c>
      <c r="D51" s="1513" t="s">
        <v>550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r="52" ht="11.5" customHeight="1">
      <c r="A52" s="1533" t="s">
        <v>268</v>
      </c>
      <c r="B52" s="1533" t="s">
        <v>269</v>
      </c>
      <c r="C52" s="1533" t="s">
        <v>270</v>
      </c>
      <c r="D52" s="1533" t="s">
        <v>550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67</v>
      </c>
      <c r="AB52" s="1904"/>
      <c r="AC52" s="1639" t="s">
        <v>67</v>
      </c>
      <c r="AD52" s="2355" t="s">
        <v>67</v>
      </c>
      <c r="AE52" s="2496"/>
      <c r="AF52" s="2375">
        <v>1</v>
      </c>
      <c r="AG52" s="2533"/>
      <c r="AH52" s="2277" t="s">
        <v>67</v>
      </c>
      <c r="AI52" s="2496"/>
      <c r="AJ52" s="2375">
        <v>1</v>
      </c>
      <c r="AK52" s="2497" t="s">
        <v>28</v>
      </c>
      <c r="AL52" s="2277" t="s">
        <v>67</v>
      </c>
      <c r="AM52" s="2362"/>
      <c r="AN52" s="2375">
        <v>1</v>
      </c>
      <c r="AO52" s="2527"/>
      <c r="AP52" s="2528" t="s">
        <v>67</v>
      </c>
      <c r="AQ52" s="481"/>
      <c r="AR52" s="1656">
        <v>1</v>
      </c>
      <c r="AS52" s="1662" t="s">
        <v>28</v>
      </c>
      <c r="AT52" s="921"/>
      <c r="AU52" s="1427"/>
      <c r="AV52" s="921"/>
      <c r="AW52" s="1427"/>
      <c r="AX52" s="1904"/>
      <c r="AY52" s="1639" t="s">
        <v>67</v>
      </c>
      <c r="AZ52" s="1904"/>
      <c r="BA52" s="1639" t="s">
        <v>67</v>
      </c>
      <c r="BB52" s="1518"/>
      <c r="BC52" s="2423" t="s">
        <v>507</v>
      </c>
      <c r="BE52" s="670"/>
      <c r="BF52" s="670" t="str">
        <f>IF(T52="","",T52)</f>
        <v/>
      </c>
      <c r="BG52" s="670"/>
      <c r="BH52" s="670"/>
      <c r="BI52" s="1325">
        <v>11</v>
      </c>
    </row>
    <row r="53" ht="11.5" customHeight="1">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508</v>
      </c>
      <c r="AT53" s="1563"/>
      <c r="AU53" s="1666"/>
      <c r="AV53" s="1563"/>
      <c r="AW53" s="1666"/>
      <c r="AX53" s="1563"/>
      <c r="AY53" s="1563"/>
      <c r="AZ53" s="1563"/>
      <c r="BA53" s="1563"/>
      <c r="BB53" s="1567"/>
      <c r="BC53" s="2424"/>
      <c r="BE53" s="670"/>
      <c r="BF53" s="670"/>
      <c r="BG53" s="670"/>
      <c r="BH53" s="670"/>
      <c r="BI53" s="1325">
        <v>11</v>
      </c>
    </row>
    <row r="54" ht="11.5" customHeight="1">
      <c r="A54" s="1533" t="s">
        <v>268</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509</v>
      </c>
      <c r="AP54" s="586"/>
      <c r="AQ54" s="586"/>
      <c r="AR54" s="586"/>
      <c r="AS54" s="1563"/>
      <c r="AT54" s="1563"/>
      <c r="AU54" s="1666"/>
      <c r="AV54" s="1563"/>
      <c r="AW54" s="1666"/>
      <c r="AX54" s="1563"/>
      <c r="AY54" s="1563"/>
      <c r="AZ54" s="1563"/>
      <c r="BA54" s="1563"/>
      <c r="BB54" s="1567"/>
      <c r="BC54" s="2424"/>
      <c r="BE54" s="670"/>
      <c r="BF54" s="670"/>
      <c r="BG54" s="670"/>
      <c r="BH54" s="670"/>
      <c r="BI54" s="1325">
        <v>11</v>
      </c>
    </row>
    <row r="55" ht="11.5" customHeight="1">
      <c r="A55" s="1533" t="s">
        <v>268</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510</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r="56" ht="11.5" customHeight="1">
      <c r="A56" s="1533" t="s">
        <v>268</v>
      </c>
      <c r="B56" s="1533" t="s">
        <v>269</v>
      </c>
      <c r="C56" s="1533" t="s">
        <v>270</v>
      </c>
      <c r="D56" s="1533" t="s">
        <v>550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511</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r="57" ht="11.5" customHeight="1">
      <c r="A57" s="1533" t="s">
        <v>268</v>
      </c>
      <c r="B57" s="1533" t="s">
        <v>269</v>
      </c>
      <c r="C57" s="1533" t="s">
        <v>270</v>
      </c>
      <c r="D57" s="1533" t="s">
        <v>550</v>
      </c>
      <c r="E57" s="2429"/>
      <c r="F57" s="2429"/>
      <c r="G57" s="2429"/>
      <c r="H57" s="2429"/>
      <c r="I57" s="2456"/>
      <c r="J57" s="2426"/>
      <c r="K57" s="1533"/>
      <c r="L57" s="1534"/>
      <c r="P57" s="2427"/>
      <c r="Q57" s="2427"/>
      <c r="R57" s="526"/>
      <c r="S57" s="1448"/>
      <c r="T57" s="457" t="s">
        <v>474</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 xml:space="preserve">Добавить строку</v>
      </c>
      <c r="BG57" s="670"/>
      <c r="BH57" s="670"/>
      <c r="BI57" s="1325">
        <v>11</v>
      </c>
    </row>
    <row r="58" s="9218" customFormat="1" ht="0" customHeight="1">
      <c r="A58" s="1513" t="s">
        <v>268</v>
      </c>
      <c r="B58" s="1513" t="s">
        <v>269</v>
      </c>
      <c r="C58" s="1513" t="s">
        <v>270</v>
      </c>
      <c r="D58" s="1513" t="s">
        <v>550</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r="59" s="9218" customFormat="1" ht="0" customHeight="1">
      <c r="A59" s="1513" t="s">
        <v>268</v>
      </c>
      <c r="B59" s="1513" t="s">
        <v>269</v>
      </c>
      <c r="C59" s="1513" t="s">
        <v>270</v>
      </c>
      <c r="D59" s="1513" t="s">
        <v>550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r="60" s="9218" customFormat="1" ht="0" customHeight="1">
      <c r="A60" s="1513" t="s">
        <v>268</v>
      </c>
      <c r="B60" s="1513" t="s">
        <v>269</v>
      </c>
      <c r="C60" s="1513" t="s">
        <v>270</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r="61" s="9218" customFormat="1" ht="0" customHeight="1">
      <c r="A61" s="1513" t="s">
        <v>268</v>
      </c>
      <c r="B61" s="1513" t="s">
        <v>269</v>
      </c>
      <c r="C61" s="1484"/>
      <c r="D61" s="1484"/>
      <c r="E61" s="2429"/>
      <c r="F61" s="2428"/>
      <c r="G61" s="1484"/>
      <c r="H61" s="1484"/>
      <c r="I61" s="1484"/>
      <c r="J61" s="1484"/>
      <c r="K61" s="1484"/>
      <c r="L61" s="1664"/>
      <c r="M61" s="1491"/>
      <c r="N61" s="1491"/>
      <c r="P61" s="1486"/>
      <c r="Q61" s="1487"/>
      <c r="R61" s="1486"/>
      <c r="S61" s="1492"/>
      <c r="T61" s="1495" t="s">
        <v>164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 xml:space="preserve">Добавить централизованную систему для дифференциации</v>
      </c>
      <c r="BG61" s="959"/>
      <c r="BH61" s="959"/>
      <c r="BI61" s="688">
        <v>0</v>
      </c>
    </row>
    <row r="62" s="9218" customFormat="1" ht="0" customHeight="1">
      <c r="A62" s="1513" t="s">
        <v>268</v>
      </c>
      <c r="B62" s="1513"/>
      <c r="C62" s="1513"/>
      <c r="D62" s="1513"/>
      <c r="E62" s="2428"/>
      <c r="F62" s="1513"/>
      <c r="G62" s="1513"/>
      <c r="H62" s="1513"/>
      <c r="I62" s="1513"/>
      <c r="J62" s="1513"/>
      <c r="K62" s="1513"/>
      <c r="L62" s="1516"/>
      <c r="M62" s="1491"/>
      <c r="N62" s="1491"/>
      <c r="O62" s="688"/>
      <c r="P62" s="550"/>
      <c r="Q62" s="1514"/>
      <c r="R62" s="550"/>
      <c r="S62" s="1492"/>
      <c r="T62" s="1495" t="s">
        <v>165</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 xml:space="preserve">Добавить территорию для дифференциации</v>
      </c>
      <c r="BG62" s="670"/>
      <c r="BH62" s="670"/>
      <c r="BI62" s="681">
        <v>0</v>
      </c>
    </row>
    <row r="63" s="9218" customFormat="1" ht="0" customHeight="1">
      <c r="A63" s="1484"/>
      <c r="B63" s="1484"/>
      <c r="C63" s="1484"/>
      <c r="D63" s="1484"/>
      <c r="E63" s="1513"/>
      <c r="F63" s="1484"/>
      <c r="G63" s="1484"/>
      <c r="H63" s="1484"/>
      <c r="I63" s="1484"/>
      <c r="J63" s="1484"/>
      <c r="K63" s="1484"/>
      <c r="L63" s="1664"/>
      <c r="M63" s="1491"/>
      <c r="N63" s="1491"/>
      <c r="P63" s="1486"/>
      <c r="Q63" s="1487"/>
      <c r="R63" s="1486"/>
      <c r="S63" s="1492"/>
      <c r="T63" s="1495" t="s">
        <v>166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 xml:space="preserve">Добавить наименование тарифа</v>
      </c>
      <c r="BG63" s="959"/>
      <c r="BH63" s="959"/>
      <c r="BI63" s="688">
        <v>0</v>
      </c>
    </row>
    <row r="64" ht="11.5" customHeight="1">
      <c r="M64" s="1330"/>
      <c r="N64" s="1330"/>
      <c r="O64" s="707"/>
      <c r="P64" s="1330"/>
      <c r="Q64" s="1330"/>
      <c r="R64" s="1325"/>
      <c r="S64" s="1325"/>
      <c r="BD64" s="1325"/>
      <c r="BE64" s="1325"/>
      <c r="BF64" s="1325"/>
      <c r="BG64" s="1325"/>
      <c r="BH64" s="1325"/>
      <c r="BI64" s="1325">
        <v>11</v>
      </c>
    </row>
    <row r="65" ht="19.949999999999999" customHeight="1">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r="66" ht="14.65" customHeight="1">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r="67" ht="19.949999999999999" customHeight="1">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r="68" ht="14.65" customHeight="1">
      <c r="O68" s="707"/>
      <c r="BI68" s="1325">
        <v>14</v>
      </c>
    </row>
    <row r="69" ht="14.25" hidden="1" customHeight="1">
      <c r="A69" s="1330" t="s">
        <v>83</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autoFilter="0" deleteColumns="1" deleteRows="1" formatColumns="0" formatRows="0" insertColumns="1" insertRows="1" sheet="1" sort="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4">
    <dataValidation sqref="S65591:BC65597 S983095:BC983101 S917559:BC917565 S852023:BC852029 S786487:BC786493 S720951:BC720957 S655415:BC655421 S589879:BC589885 S524343:BC524349 S458807:BC458813 S393271:BC393277 S327735:BC327741 S262199:BC262205 S196663:BC196669 S131127:BC131133" allowBlank="1"/>
    <dataValidation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allowBlank="1" prompt="Для выбора выполните двойной щелчок левой клавиши мыши по соответствующей ячейке." showErrorMessage="1" showInputMessage="1"/>
    <dataValidation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allowBlank="1" promptTitle="checkPeriodRange"/>
    <dataValidation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F40060-004A-41F2-903B-003F004B00ED}" type="list" allowBlank="1" error="Выберите значение из списка" errorTitle="Ошибка" prompt="Выберите значение из списка" showInputMessage="1">
          <x14:formula1>
            <xm:f>kind_of_cons</xm:f>
          </x14:formula1>
          <xm:sqref>V983092:BB983092 V917556:BB917556 V852020:BB852020 V786484:BB786484 V720948:BB720948 V655412:BB655412 V589876:BB589876 V524340:BB524340 V458804:BB458804 V393268:BB393268 V327732:BB327732 V262196:BB262196 V196660:BB196660 V131124:BB131124 V65588:BB65588</xm:sqref>
        </x14:dataValidation>
        <x14:dataValidation xr:uid="{00AF0085-0088-4A70-A6AA-003200A500E9}" type="decimal" allowBlank="1" error="Допускается ввод только действительных чисел!" errorTitle="Ошибка" showErrorMessage="1">
          <x14:formula1>
            <xm:f>-9.99999999999999E+23</xm:f>
          </x14:formula1>
          <x14:formula2>
            <xm:f>9.99999999999999E+23</xm:f>
          </x14:formula2>
          <xm:sqref>AO52:AO53 AG8:AG11 AO8:AO9 AG52:AG55</xm:sqref>
        </x14:dataValidation>
        <x14:dataValidation xr:uid="{009800A4-00F7-4967-87AD-006B00730063}" type="textLength" allowBlank="1" error="Допускается ввод не более 900 символов!" errorTitle="Ошибка" operator="lessThanOrEqual" showErrorMessage="1" showInputMessage="1">
          <x14:formula1>
            <xm:f>900</xm:f>
          </x14:formula1>
          <xm:sqref>BC65583:BC65590 BC131119:BC131126 BC196655:BC196662 BC262191:BC262198 BC327727:BC327734 BC393263:BC393270 BC458799:BC458806 BC524335:BC524342 BC589871:BC589878 BC655407:BC655414 BC720943:BC720950 BC786479:BC786486 BC852015:BC852022 BC917551:BC917558 BC983087:BC983094 AS8 T8:T12 AS52 T52:T56</xm:sqref>
        </x14:dataValidation>
        <x14:dataValidation xr:uid="{000B0029-00BC-4C1E-A481-00B100450025}" type="list" allowBlank="1" error="Выберите значение из списка" errorTitle="Ошибка" showErrorMessage="1" showInputMessage="1">
          <x14:formula1>
            <xm:f>kind_of_scheme_in</xm:f>
          </x14:formula1>
          <xm:sqref>AD917555:AS917555 AD983091:AS983091 AD65587:AS65587 AD131123:AS131123 AD196659:AS196659 AD262195:AS262195 AD327731:AS327731 AD393267:AS393267 AD458803:AS458803 AD524339:AS524339 AD589875:AS589875 AD655411:AS655411 AD720947:AS720947 AD786483:AS786483 AD852019:AS852019</xm:sqref>
        </x14:dataValidation>
        <x14:dataValidation xr:uid="{009D00EE-00A6-49B3-B2D3-004600690007}" type="list" allowBlank="1" error="Выберите значение из списка" errorTitle="Ошибка" showErrorMessage="1" showInputMessage="1">
          <x14:formula1>
            <xm:f>kind_of_heat_transfer</xm:f>
          </x14:formula1>
          <xm:sqref>T65589 T131125 T196661 T262197 T327733 T393269 T458805 T524341 T589877 T655413 T720949 T786485 T852021 T917557 T983093</xm:sqref>
        </x14:dataValidation>
      </x14:dataValidations>
    </ext>
  </extLs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defaultRowHeight="11.25" customHeight="1"/>
  <cols>
    <col customWidth="1" hidden="1" min="1" max="1" style="10927" width="10.7109375"/>
    <col customWidth="1" hidden="1" min="2" max="2" style="9217" width="16.8515625"/>
    <col customWidth="1" hidden="1" min="3" max="3" style="9218" width="5.57421875"/>
    <col customWidth="1" min="4" max="4" style="9138" width="3.00390625"/>
    <col customWidth="1" min="5" max="5" style="9138" width="7.00390625"/>
    <col customWidth="1" min="6" max="6" style="9138" width="54.00390625"/>
    <col customWidth="1" min="7" max="7" style="9138" width="10.00390625"/>
    <col customWidth="1" hidden="1" min="8" max="8" style="9138" width="40.7109375"/>
    <col customWidth="1" min="9" max="9" style="9138" width="40.7109375"/>
    <col customWidth="1" min="10" max="10" style="9138" width="102.00390625"/>
    <col customWidth="1" min="11" max="11" style="9217" width="9.00390625"/>
    <col customWidth="1" min="12" max="12" style="9218" width="5.00390625"/>
    <col customWidth="1" min="13" max="13" style="9218" width="3.00390625"/>
    <col customWidth="1" min="14" max="17" style="9217" width="3.00390625"/>
    <col customWidth="1" min="18" max="18" style="9218" width="10.00390625"/>
    <col customWidth="1" min="19" max="19" style="9217" width="34.00390625"/>
    <col customWidth="1" min="20" max="20" style="9217" width="9.00390625"/>
    <col customWidth="1" min="21" max="21" style="10928" width="8.00390625"/>
    <col customWidth="1" min="22" max="26" style="9217" width="8.00390625"/>
    <col customWidth="1" min="27" max="31" style="9102" width="8.00390625"/>
    <col hidden="1" min="32" max="32" style="9138" width="9.140625"/>
  </cols>
  <sheetData>
    <row r="1" ht="22.5" hidden="1" customHeight="1">
      <c r="AF1" s="1801" t="s">
        <v>14</v>
      </c>
    </row>
    <row r="2" ht="23.25" hidden="1" customHeight="1">
      <c r="B2" s="2269"/>
      <c r="C2" s="1337" t="s">
        <v>551</v>
      </c>
      <c r="D2" s="1808"/>
      <c r="E2" s="716">
        <f>B2</f>
        <v>0</v>
      </c>
      <c r="F2" s="717"/>
      <c r="G2" s="1816" t="s">
        <v>552</v>
      </c>
      <c r="H2" s="1816" t="s">
        <v>552</v>
      </c>
      <c r="I2" s="1816" t="s">
        <v>552</v>
      </c>
      <c r="J2" s="459" t="s">
        <v>553</v>
      </c>
      <c r="K2" s="713"/>
      <c r="AF2" s="1801">
        <v>0</v>
      </c>
    </row>
    <row r="3" s="9218" customFormat="1" ht="0.75" hidden="1" customHeight="1">
      <c r="B3" s="2269"/>
      <c r="C3" s="1337"/>
      <c r="D3" s="718"/>
      <c r="E3" s="719"/>
      <c r="F3" s="720" t="s">
        <v>554</v>
      </c>
      <c r="G3" s="721"/>
      <c r="H3" s="721">
        <f>H4*H5+H7</f>
        <v>0</v>
      </c>
      <c r="I3" s="721">
        <f>I4*I5+I6</f>
        <v>0</v>
      </c>
      <c r="J3" s="722"/>
      <c r="AF3" s="1806">
        <v>0</v>
      </c>
    </row>
    <row r="4" ht="23.25" hidden="1" customHeight="1">
      <c r="B4" s="2269"/>
      <c r="C4" s="1337"/>
      <c r="D4" s="1808"/>
      <c r="E4" s="716" t="str">
        <f>B2&amp;".1"</f>
        <v>.1</v>
      </c>
      <c r="F4" s="723" t="s">
        <v>555</v>
      </c>
      <c r="G4" s="724"/>
      <c r="H4" s="711"/>
      <c r="I4" s="711"/>
      <c r="J4" s="459" t="s">
        <v>556</v>
      </c>
      <c r="K4" s="713"/>
      <c r="AF4" s="1801">
        <v>0</v>
      </c>
    </row>
    <row r="5" ht="18.75" hidden="1" customHeight="1">
      <c r="B5" s="2269"/>
      <c r="C5" s="1337"/>
      <c r="D5" s="1808"/>
      <c r="E5" s="716" t="str">
        <f>B2&amp;".2"</f>
        <v>.2</v>
      </c>
      <c r="F5" s="723" t="s">
        <v>557</v>
      </c>
      <c r="G5" s="1816" t="s">
        <v>558</v>
      </c>
      <c r="H5" s="711"/>
      <c r="I5" s="711"/>
      <c r="J5" s="459"/>
      <c r="K5" s="713"/>
      <c r="AF5" s="1801">
        <v>0</v>
      </c>
    </row>
    <row r="6" ht="18.75" hidden="1" customHeight="1">
      <c r="B6" s="2269"/>
      <c r="C6" s="1337"/>
      <c r="D6" s="1808"/>
      <c r="E6" s="716" t="str">
        <f>B2&amp;".3"</f>
        <v>.3</v>
      </c>
      <c r="F6" s="723" t="s">
        <v>559</v>
      </c>
      <c r="G6" s="1816" t="s">
        <v>558</v>
      </c>
      <c r="H6" s="711"/>
      <c r="I6" s="711"/>
      <c r="J6" s="459"/>
      <c r="K6" s="713"/>
      <c r="AF6" s="1801">
        <v>0</v>
      </c>
    </row>
    <row r="7" ht="18.75" hidden="1" customHeight="1">
      <c r="B7" s="2269"/>
      <c r="C7" s="1337"/>
      <c r="D7" s="1808"/>
      <c r="E7" s="716" t="str">
        <f>B2&amp;".4"</f>
        <v>.4</v>
      </c>
      <c r="F7" s="723" t="s">
        <v>560</v>
      </c>
      <c r="G7" s="1816" t="s">
        <v>552</v>
      </c>
      <c r="H7" s="725"/>
      <c r="I7" s="725"/>
      <c r="J7" s="459"/>
      <c r="K7" s="713"/>
      <c r="AF7" s="1801">
        <v>0</v>
      </c>
    </row>
    <row r="8" s="9217" customFormat="1" ht="11.25" hidden="1" customHeight="1">
      <c r="A8" s="1157"/>
      <c r="C8" s="1806"/>
      <c r="D8" s="707"/>
      <c r="H8" s="1330">
        <v>4</v>
      </c>
      <c r="I8" s="1330">
        <v>4</v>
      </c>
      <c r="L8" s="1806"/>
      <c r="M8" s="1806"/>
      <c r="R8" s="1806"/>
      <c r="AF8" s="1330">
        <v>0</v>
      </c>
    </row>
    <row r="9" s="9217" customFormat="1" ht="22.5" hidden="1" customHeight="1">
      <c r="A9" s="1157"/>
      <c r="C9" s="1806"/>
      <c r="D9" s="708"/>
      <c r="E9" s="1818"/>
      <c r="F9" s="710"/>
      <c r="G9" s="1816" t="s">
        <v>558</v>
      </c>
      <c r="H9" s="711"/>
      <c r="I9" s="711"/>
      <c r="J9" s="712" t="s">
        <v>561</v>
      </c>
      <c r="K9" s="713"/>
      <c r="L9" s="1806"/>
      <c r="M9" s="1806"/>
      <c r="R9" s="1806"/>
      <c r="U9" s="714"/>
      <c r="AA9" s="1802"/>
      <c r="AB9" s="1802"/>
      <c r="AC9" s="1802"/>
      <c r="AD9" s="1802"/>
      <c r="AE9" s="1802"/>
      <c r="AF9" s="1330">
        <v>0</v>
      </c>
    </row>
    <row r="10" ht="11.25" hidden="1" customHeight="1">
      <c r="AF10" s="1801">
        <v>0</v>
      </c>
    </row>
    <row r="11" ht="18.75" hidden="1" customHeight="1">
      <c r="D11" s="1808"/>
      <c r="E11" s="716"/>
      <c r="F11" s="710"/>
      <c r="G11" s="1816" t="s">
        <v>562</v>
      </c>
      <c r="H11" s="711"/>
      <c r="I11" s="711"/>
      <c r="J11" s="459" t="s">
        <v>563</v>
      </c>
      <c r="K11" s="713"/>
      <c r="AF11" s="1801">
        <v>0</v>
      </c>
    </row>
    <row r="12" ht="11.25" hidden="1" customHeight="1">
      <c r="AF12" s="1801">
        <v>0</v>
      </c>
    </row>
    <row r="13" ht="22.5" hidden="1" customHeight="1">
      <c r="D13" s="1808"/>
      <c r="E13" s="716"/>
      <c r="F13" s="710"/>
      <c r="G13" s="1139" t="s">
        <v>564</v>
      </c>
      <c r="H13" s="715"/>
      <c r="I13" s="715"/>
      <c r="J13" s="915" t="s">
        <v>565</v>
      </c>
      <c r="K13" s="713"/>
      <c r="AF13" s="1801">
        <v>0</v>
      </c>
    </row>
    <row r="14" ht="11.25" hidden="1" customHeight="1">
      <c r="AF14" s="1801">
        <v>0</v>
      </c>
    </row>
    <row r="15" ht="22.5" hidden="1" customHeight="1">
      <c r="D15" s="1808"/>
      <c r="E15" s="716"/>
      <c r="F15" s="710"/>
      <c r="G15" s="1816" t="s">
        <v>566</v>
      </c>
      <c r="H15" s="715"/>
      <c r="I15" s="715"/>
      <c r="J15" s="459" t="s">
        <v>567</v>
      </c>
      <c r="K15" s="713"/>
      <c r="AF15" s="1801">
        <v>0</v>
      </c>
    </row>
    <row r="16" ht="11.25" hidden="1" customHeight="1">
      <c r="AF16" s="1801">
        <v>0</v>
      </c>
    </row>
    <row r="17" ht="22.5" hidden="1" customHeight="1">
      <c r="D17" s="1808"/>
      <c r="E17" s="716"/>
      <c r="F17" s="710"/>
      <c r="G17" s="1816" t="s">
        <v>568</v>
      </c>
      <c r="H17" s="715"/>
      <c r="I17" s="715"/>
      <c r="J17" s="459" t="s">
        <v>569</v>
      </c>
      <c r="K17" s="713"/>
      <c r="AF17" s="1801">
        <v>0</v>
      </c>
    </row>
    <row r="18" ht="11.25" hidden="1" customHeight="1">
      <c r="AF18" s="1801">
        <v>0</v>
      </c>
    </row>
    <row r="19" s="9102" customFormat="1" ht="11.25" hidden="1" customHeight="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r="20" ht="11.5" customHeight="1">
      <c r="AF20" s="1801">
        <v>11</v>
      </c>
    </row>
    <row r="21" ht="25.199999999999999" customHeight="1">
      <c r="E21" s="2418" t="str">
        <f>FHD_NAME_FORM</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18"/>
      <c r="G21" s="2418"/>
      <c r="H21" s="2418"/>
      <c r="I21" s="2418"/>
      <c r="J21" s="726"/>
      <c r="AF21" s="1801">
        <v>24</v>
      </c>
    </row>
    <row r="22" ht="25.199999999999999" customHeight="1">
      <c r="E22" s="2419" t="str">
        <f>IF(org=0,"Не определено",org)</f>
        <v xml:space="preserve">АО "ДГК" СП "Биробиджанская ТЭЦ"</v>
      </c>
      <c r="F22" s="2419"/>
      <c r="G22" s="2419"/>
      <c r="H22" s="2419"/>
      <c r="I22" s="2419"/>
      <c r="AF22" s="1801">
        <v>24</v>
      </c>
    </row>
    <row r="23" ht="11.5" customHeight="1">
      <c r="E23" s="1305"/>
      <c r="F23" s="1305"/>
      <c r="G23" s="1305"/>
      <c r="H23" s="1305"/>
      <c r="I23" s="1305"/>
      <c r="AF23" s="1801">
        <v>11</v>
      </c>
    </row>
    <row r="24" s="9218" customFormat="1" ht="1.05" customHeight="1">
      <c r="A24" s="1337"/>
      <c r="D24" s="1812"/>
      <c r="H24" s="1059"/>
      <c r="I24" s="1059" t="s">
        <v>117</v>
      </c>
      <c r="AF24" s="1806">
        <v>1</v>
      </c>
    </row>
    <row r="25" ht="11.5" customHeight="1">
      <c r="E25" s="881"/>
      <c r="F25" s="2537" t="s">
        <v>106</v>
      </c>
      <c r="G25" s="2538"/>
      <c r="H25" s="1822" t="str">
        <f>IF(H24="","",INDEX(DIFFERENTIATION_UNMERGE_VD,MATCH(H24,DIFFERENTIATION_ID_DIFF,0)))</f>
        <v/>
      </c>
      <c r="I25" s="1822">
        <f>IF(I24="","",INDEX(DIFFERENTIATION_UNMERGE_VD,MATCH(I24,DIFFERENTIATION_ID_DIFF,0)))</f>
        <v>0</v>
      </c>
      <c r="J25" s="2297"/>
      <c r="AF25" s="1801">
        <v>11</v>
      </c>
    </row>
    <row r="26" ht="11.5" customHeight="1">
      <c r="E26" s="881"/>
      <c r="F26" s="2537" t="s">
        <v>570</v>
      </c>
      <c r="G26" s="2538"/>
      <c r="H26" s="1822" t="str">
        <f>IF(H24="","",INDEX(DIFFERENTIATION_UNMERGE_AREA,MATCH(H24,DIFFERENTIATION_ID_DIFF,0)))</f>
        <v/>
      </c>
      <c r="I26" s="1822" t="str">
        <f>IF(I24="","",INDEX(DIFFERENTIATION_UNMERGE_AREA,MATCH(I24,DIFFERENTIATION_ID_DIFF,0)))</f>
        <v/>
      </c>
      <c r="J26" s="2297"/>
      <c r="AF26" s="1801">
        <v>11</v>
      </c>
    </row>
    <row r="27" ht="11.5" customHeight="1">
      <c r="E27" s="881"/>
      <c r="F27" s="2537" t="s">
        <v>571</v>
      </c>
      <c r="G27" s="2538"/>
      <c r="H27" s="1822" t="str">
        <f>IF(H24="","",INDEX(DIFFERENTIATION_UNMERGE_SYSTEM,MATCH(H24,DIFFERENTIATION_ID_DIFF,0)))</f>
        <v/>
      </c>
      <c r="I27" s="1822" t="str">
        <f>IF(I24="","",INDEX(DIFFERENTIATION_UNMERGE_SYSTEM,MATCH(I24,DIFFERENTIATION_ID_DIFF,0)))</f>
        <v xml:space="preserve">без дифференциации</v>
      </c>
      <c r="J27" s="2297"/>
      <c r="AF27" s="1801">
        <v>11</v>
      </c>
    </row>
    <row r="28" ht="11.5" customHeight="1">
      <c r="E28" s="2539" t="s">
        <v>307</v>
      </c>
      <c r="F28" s="2540"/>
      <c r="G28" s="2540"/>
      <c r="H28" s="1815"/>
      <c r="I28" s="1815"/>
      <c r="J28" s="2297"/>
      <c r="AF28" s="1801">
        <v>11</v>
      </c>
    </row>
    <row r="29" ht="24" customHeight="1">
      <c r="E29" s="1816" t="s">
        <v>89</v>
      </c>
      <c r="F29" s="1823" t="s">
        <v>309</v>
      </c>
      <c r="G29" s="1823" t="s">
        <v>572</v>
      </c>
      <c r="H29" s="1823" t="s">
        <v>310</v>
      </c>
      <c r="I29" s="1823" t="s">
        <v>310</v>
      </c>
      <c r="J29" s="2297"/>
      <c r="AF29" s="1801">
        <v>23</v>
      </c>
    </row>
    <row r="30" ht="19.949999999999999" customHeight="1">
      <c r="D30" s="1808"/>
      <c r="E30" s="716">
        <f>FHD_NUM_P_1</f>
        <v>1</v>
      </c>
      <c r="F30" s="2050" t="str">
        <f>FHD_P_1</f>
        <v xml:space="preserve">Выручка от регулируемого вида деятельности с распределением по видам деятельности</v>
      </c>
      <c r="G30" s="2048" t="s">
        <v>558</v>
      </c>
      <c r="H30" s="727"/>
      <c r="I30" s="727"/>
      <c r="J30" s="459" t="str">
        <f>FHD_NOTE_P_1</f>
        <v xml:space="preserve">Указывается выручка от регулируемого вида деятельности с распределением по видам деятельности.</v>
      </c>
      <c r="K30" s="713"/>
      <c r="AF30" s="1801">
        <v>19</v>
      </c>
    </row>
    <row r="31" ht="11.5" customHeight="1">
      <c r="D31" s="1808"/>
      <c r="E31" s="716">
        <f>FHD_NUM_P_2</f>
        <v>2</v>
      </c>
      <c r="F31" s="2050" t="str">
        <f>FHD_P_2</f>
        <v xml:space="preserve">Себестоимость производимых товаров (оказываемых услуг) по регулируемому виду деятельности, включая:</v>
      </c>
      <c r="G31" s="2048" t="s">
        <v>558</v>
      </c>
      <c r="H31" s="728">
        <f>SUMIF($K33:$K71,$K31,H33:H71)</f>
        <v>0</v>
      </c>
      <c r="I31" s="728">
        <f>SUMIF($K33:$K71,$K31,I33:I71)</f>
        <v>0</v>
      </c>
      <c r="J31" s="459" t="str">
        <f>FHD_NOTE_P_2</f>
        <v xml:space="preserve">Указывается суммарная себестоимость производимых товаров.</v>
      </c>
      <c r="K31" s="1806" t="s">
        <v>573</v>
      </c>
      <c r="AF31" s="1801">
        <v>11</v>
      </c>
    </row>
    <row r="32" ht="11.5" customHeight="1">
      <c r="D32" s="1808"/>
      <c r="E32" s="716" t="str">
        <f>FHD_NUM_P_3</f>
        <v>2.1</v>
      </c>
      <c r="F32" s="1694" t="str">
        <f>FHD_P_3</f>
        <v xml:space="preserve">Расходы на приобретаемую тепловую энергию (мощность), теплоноситель</v>
      </c>
      <c r="G32" s="2048" t="s">
        <v>558</v>
      </c>
      <c r="H32" s="727"/>
      <c r="I32" s="727"/>
      <c r="J32" s="459" t="str">
        <f>FHD_NOTE_P_3</f>
        <v/>
      </c>
      <c r="K32" s="1806" t="str">
        <f>IF((LEN(E32)-LEN(SUBSTITUTE(E32,".","")))/LEN(".")=1,"p","")</f>
        <v>p</v>
      </c>
      <c r="AF32" s="1801">
        <v>11</v>
      </c>
    </row>
    <row r="33" ht="11.25" customHeight="1">
      <c r="A33" s="2541" t="s">
        <v>574</v>
      </c>
      <c r="D33" s="1808"/>
      <c r="E33" s="716" t="str">
        <f>FHD_NUM_P_4</f>
        <v>2.2</v>
      </c>
      <c r="F33" s="1694" t="str">
        <f>FHD_P_4</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G33" s="2048" t="s">
        <v>558</v>
      </c>
      <c r="H33" s="728">
        <f>SUMIF($F34:$F40,$F3,H34:H40)</f>
        <v>0</v>
      </c>
      <c r="I33" s="728">
        <f>SUMIF($F34:$F40,$F3,I34:I40)</f>
        <v>0</v>
      </c>
      <c r="J33" s="459" t="str">
        <f>FHD_NOTE_P_4</f>
        <v xml:space="preserve">Указываются суммарные расходы на приобретение топлива всех видов.</v>
      </c>
      <c r="K33" s="1806" t="str">
        <f>IF((LEN(E33)-LEN(SUBSTITUTE(E33,".","")))/LEN(".")=1,"p","")</f>
        <v>p</v>
      </c>
      <c r="AF33" s="1801">
        <v>0</v>
      </c>
    </row>
    <row r="34" s="9831" customFormat="1" ht="0.75" customHeight="1">
      <c r="A34" s="2541"/>
      <c r="B34" s="2542" t="str">
        <f>E33&amp;".0"</f>
        <v>2.2.0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r="35" s="9831" customFormat="1" ht="0.75" customHeight="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r="36" s="9831" customFormat="1" ht="0.75" customHeight="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r="37" s="9831" customFormat="1" ht="0.75" customHeight="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r="38" s="9831" customFormat="1" ht="0.75" customHeight="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r="39" s="9831" customFormat="1" ht="0.75" customHeight="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r="40" s="9217" customFormat="1" ht="15" customHeight="1">
      <c r="A40" s="2541"/>
      <c r="C40" s="1806"/>
      <c r="D40" s="1803"/>
      <c r="E40" s="740"/>
      <c r="F40" s="741" t="s">
        <v>575</v>
      </c>
      <c r="G40" s="742"/>
      <c r="H40" s="743"/>
      <c r="I40" s="743"/>
      <c r="J40" s="471"/>
      <c r="K40" s="1806" t="str">
        <f>IF((LEN(E40)-LEN(SUBSTITUTE(E40,".","")))/LEN(".")=1,"p","")</f>
        <v/>
      </c>
      <c r="L40" s="1806"/>
      <c r="M40" s="1806"/>
      <c r="R40" s="1806"/>
      <c r="U40" s="714"/>
      <c r="AA40" s="1802"/>
      <c r="AB40" s="1802"/>
      <c r="AC40" s="1802"/>
      <c r="AD40" s="1802"/>
      <c r="AE40" s="1802"/>
      <c r="AF40" s="1330">
        <v>0</v>
      </c>
    </row>
    <row r="41" ht="11.25" hidden="1" customHeight="1">
      <c r="A41" s="2541" t="s">
        <v>576</v>
      </c>
      <c r="D41" s="1808"/>
      <c r="E41" s="716" t="str">
        <f>FHD_NUM_P_5</f>
        <v/>
      </c>
      <c r="F41" s="1694" t="str">
        <f>FHD_P_5</f>
        <v/>
      </c>
      <c r="G41" s="2048" t="s">
        <v>558</v>
      </c>
      <c r="H41" s="727"/>
      <c r="I41" s="727"/>
      <c r="J41" s="459" t="str">
        <f>FHD_NOTE_P_5</f>
        <v/>
      </c>
      <c r="K41" s="1806" t="str">
        <f>IF((LEN(E41)-LEN(SUBSTITUTE(E41,".","")))/LEN(".")=1,"p","")</f>
        <v/>
      </c>
      <c r="AF41" s="1801">
        <v>0</v>
      </c>
    </row>
    <row r="42" ht="11.25" hidden="1" customHeight="1">
      <c r="A42" s="2541"/>
      <c r="D42" s="1808"/>
      <c r="E42" s="716" t="str">
        <f>FHD_NUM_P_6</f>
        <v/>
      </c>
      <c r="F42" s="1694" t="str">
        <f>FHD_P_6</f>
        <v/>
      </c>
      <c r="G42" s="2048" t="s">
        <v>558</v>
      </c>
      <c r="H42" s="727"/>
      <c r="I42" s="727"/>
      <c r="J42" s="459" t="str">
        <f>FHD_NOTE_P_6</f>
        <v/>
      </c>
      <c r="K42" s="1806" t="str">
        <f>IF((LEN(E42)-LEN(SUBSTITUTE(E42,".","")))/LEN(".")=1,"p","")</f>
        <v/>
      </c>
      <c r="AF42" s="1801">
        <v>0</v>
      </c>
    </row>
    <row r="43" ht="11.25" hidden="1" customHeight="1">
      <c r="A43" s="2541"/>
      <c r="D43" s="1808"/>
      <c r="E43" s="716" t="str">
        <f>FHD_NUM_P_7</f>
        <v/>
      </c>
      <c r="F43" s="1694" t="str">
        <f>FHD_P_7</f>
        <v/>
      </c>
      <c r="G43" s="2048" t="s">
        <v>558</v>
      </c>
      <c r="H43" s="727"/>
      <c r="I43" s="727"/>
      <c r="J43" s="459" t="str">
        <f>FHD_NOTE_P_7</f>
        <v/>
      </c>
      <c r="K43" s="1806" t="str">
        <f>IF((LEN(E43)-LEN(SUBSTITUTE(E43,".","")))/LEN(".")=1,"p","")</f>
        <v/>
      </c>
      <c r="AF43" s="1801">
        <v>0</v>
      </c>
    </row>
    <row r="44" ht="11.5" customHeight="1">
      <c r="D44" s="1808"/>
      <c r="E44" s="716" t="str">
        <f>FHD_NUM_P_8</f>
        <v>2.3</v>
      </c>
      <c r="F44" s="1694" t="str">
        <f>FHD_P_8</f>
        <v xml:space="preserve">Расходы на приобретаемую электрическую энергию (мощность), используемую в технологическом процессе</v>
      </c>
      <c r="G44" s="2048" t="s">
        <v>558</v>
      </c>
      <c r="H44" s="727"/>
      <c r="I44" s="727"/>
      <c r="J44" s="459" t="str">
        <f>FHD_NOTE_P_8</f>
        <v/>
      </c>
      <c r="K44" s="1806" t="str">
        <f>IF((LEN(E44)-LEN(SUBSTITUTE(E44,".","")))/LEN(".")=1,"p","")</f>
        <v>p</v>
      </c>
      <c r="AF44" s="1801">
        <v>11</v>
      </c>
    </row>
    <row r="45" ht="11.5" customHeight="1">
      <c r="D45" s="1808"/>
      <c r="E45" s="716" t="str">
        <f>FHD_NUM_P_9</f>
        <v>2.3.1</v>
      </c>
      <c r="F45" s="1820" t="str">
        <f>FHD_P_9</f>
        <v xml:space="preserve">Средневзвешенная стоимость 1 кВт.ч (с учетом мощности)</v>
      </c>
      <c r="G45" s="2048" t="s">
        <v>577</v>
      </c>
      <c r="H45" s="727"/>
      <c r="I45" s="727"/>
      <c r="J45" s="459" t="str">
        <f>FHD_NOTE_P_9</f>
        <v/>
      </c>
      <c r="K45" s="1806" t="str">
        <f>IF((LEN(E45)-LEN(SUBSTITUTE(E45,".","")))/LEN(".")=1,"p","")</f>
        <v/>
      </c>
      <c r="AF45" s="1801">
        <v>11</v>
      </c>
    </row>
    <row r="46" s="9217" customFormat="1" ht="11.5" customHeight="1">
      <c r="A46" s="1157"/>
      <c r="C46" s="1806"/>
      <c r="D46" s="744"/>
      <c r="E46" s="716" t="str">
        <f>FHD_NUM_P_10</f>
        <v>2.3.2</v>
      </c>
      <c r="F46" s="1820" t="str">
        <f>FHD_P_10</f>
        <v xml:space="preserve">Объём приобретения электрической энергии</v>
      </c>
      <c r="G46" s="2048" t="s">
        <v>578</v>
      </c>
      <c r="H46" s="727"/>
      <c r="I46" s="727"/>
      <c r="J46" s="459" t="str">
        <f>FHD_NOTE_P_10</f>
        <v/>
      </c>
      <c r="K46" s="1806" t="str">
        <f>IF((LEN(E46)-LEN(SUBSTITUTE(E46,".","")))/LEN(".")=1,"p","")</f>
        <v/>
      </c>
      <c r="L46" s="1806"/>
      <c r="M46" s="1806"/>
      <c r="R46" s="1806"/>
      <c r="U46" s="714"/>
      <c r="AA46" s="1802"/>
      <c r="AB46" s="1802"/>
      <c r="AC46" s="1802"/>
      <c r="AD46" s="1802"/>
      <c r="AE46" s="1802"/>
      <c r="AF46" s="1330">
        <v>11</v>
      </c>
    </row>
    <row r="47" s="9217" customFormat="1" ht="11.25" customHeight="1">
      <c r="A47" s="1159" t="s">
        <v>579</v>
      </c>
      <c r="C47" s="1806"/>
      <c r="D47" s="745"/>
      <c r="E47" s="716" t="str">
        <f>FHD_NUM_P_11</f>
        <v>2.4</v>
      </c>
      <c r="F47" s="1694" t="str">
        <f>FHD_P_11</f>
        <v xml:space="preserve">Расходы на приобретение холодной воды, используемой в технологическом процессе</v>
      </c>
      <c r="G47" s="2048" t="s">
        <v>558</v>
      </c>
      <c r="H47" s="727"/>
      <c r="I47" s="727"/>
      <c r="J47" s="459" t="str">
        <f>FHD_NOTE_P_11</f>
        <v/>
      </c>
      <c r="K47" s="1806" t="str">
        <f>IF((LEN(E47)-LEN(SUBSTITUTE(E47,".","")))/LEN(".")=1,"p","")</f>
        <v>p</v>
      </c>
      <c r="L47" s="1806"/>
      <c r="M47" s="1806"/>
      <c r="R47" s="1806"/>
      <c r="U47" s="714"/>
      <c r="AA47" s="1802"/>
      <c r="AB47" s="1802"/>
      <c r="AC47" s="1802"/>
      <c r="AD47" s="1802"/>
      <c r="AE47" s="1802"/>
      <c r="AF47" s="1330">
        <v>0</v>
      </c>
    </row>
    <row r="48" s="9217" customFormat="1" ht="18.75" customHeight="1">
      <c r="A48" s="1159" t="s">
        <v>580</v>
      </c>
      <c r="C48" s="1806"/>
      <c r="D48" s="1808"/>
      <c r="E48" s="716" t="str">
        <f>FHD_NUM_P_12</f>
        <v>2.5</v>
      </c>
      <c r="F48" s="1694" t="str">
        <f>FHD_P_12</f>
        <v xml:space="preserve">Расходы на  химические реагенты, используемые в технологическом процессе</v>
      </c>
      <c r="G48" s="2048" t="s">
        <v>558</v>
      </c>
      <c r="H48" s="747"/>
      <c r="I48" s="747"/>
      <c r="J48" s="459" t="str">
        <f>FHD_NOTE_P_12</f>
        <v/>
      </c>
      <c r="K48" s="1806" t="str">
        <f>IF((LEN(E48)-LEN(SUBSTITUTE(E48,".","")))/LEN(".")=1,"p","")</f>
        <v>p</v>
      </c>
      <c r="L48" s="1806"/>
      <c r="M48" s="1806"/>
      <c r="R48" s="1806"/>
      <c r="U48" s="714"/>
      <c r="AA48" s="1802"/>
      <c r="AB48" s="1802"/>
      <c r="AC48" s="1802"/>
      <c r="AD48" s="1802"/>
      <c r="AE48" s="1802"/>
      <c r="AF48" s="1330">
        <v>18</v>
      </c>
    </row>
    <row r="49" s="10866" customFormat="1" ht="11.5" customHeight="1">
      <c r="A49" s="1158"/>
      <c r="C49" s="900"/>
      <c r="D49" s="843"/>
      <c r="E49" s="716" t="str">
        <f>FHD_NUM_P_13</f>
        <v>2.6</v>
      </c>
      <c r="F49" s="1694" t="str">
        <f>FHD_P_13</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558</v>
      </c>
      <c r="H49" s="727"/>
      <c r="I49" s="727"/>
      <c r="J49" s="459" t="str">
        <f>FHD_NOTE_P_13</f>
        <v/>
      </c>
      <c r="K49" s="1806" t="str">
        <f>IF((LEN(E49)-LEN(SUBSTITUTE(E49,".","")))/LEN(".")=1,"p","")</f>
        <v>p</v>
      </c>
      <c r="L49" s="900"/>
      <c r="M49" s="900"/>
      <c r="R49" s="900"/>
      <c r="U49" s="901"/>
      <c r="AA49" s="902"/>
      <c r="AB49" s="902"/>
      <c r="AC49" s="902"/>
      <c r="AD49" s="902"/>
      <c r="AE49" s="902"/>
      <c r="AF49" s="899">
        <v>11</v>
      </c>
    </row>
    <row r="50" s="10866" customFormat="1" ht="11.5" customHeight="1">
      <c r="A50" s="1158"/>
      <c r="C50" s="900"/>
      <c r="D50" s="843"/>
      <c r="E50" s="716" t="str">
        <f>FHD_NUM_P_14</f>
        <v>2.6.1</v>
      </c>
      <c r="F50" s="1820" t="str">
        <f>FHD_P_14</f>
        <v xml:space="preserve">Расходы на оплату труда основного производственного персонала</v>
      </c>
      <c r="G50" s="2048" t="s">
        <v>558</v>
      </c>
      <c r="H50" s="727"/>
      <c r="I50" s="727"/>
      <c r="J50" s="459" t="str">
        <f>FHD_NOTE_P_14</f>
        <v/>
      </c>
      <c r="K50" s="1806" t="str">
        <f>IF((LEN(E50)-LEN(SUBSTITUTE(E50,".","")))/LEN(".")=1,"p","")</f>
        <v/>
      </c>
      <c r="L50" s="900"/>
      <c r="M50" s="900"/>
      <c r="R50" s="900"/>
      <c r="U50" s="901"/>
      <c r="AA50" s="902"/>
      <c r="AB50" s="902"/>
      <c r="AC50" s="902"/>
      <c r="AD50" s="902"/>
      <c r="AE50" s="902"/>
      <c r="AF50" s="899">
        <v>11</v>
      </c>
    </row>
    <row r="51" s="10866" customFormat="1" ht="11.5" customHeight="1">
      <c r="A51" s="1158"/>
      <c r="C51" s="900"/>
      <c r="D51" s="843"/>
      <c r="E51" s="716" t="str">
        <f>FHD_NUM_P_15</f>
        <v>2.6.2</v>
      </c>
      <c r="F51" s="1820" t="str">
        <f>FHD_P_15</f>
        <v xml:space="preserve">Страховые взносы на обязательное социальное страхование, выплачиваемые из фонда оплаты труда основного производственного персонала</v>
      </c>
      <c r="G51" s="2048" t="s">
        <v>558</v>
      </c>
      <c r="H51" s="727"/>
      <c r="I51" s="727"/>
      <c r="J51" s="459" t="str">
        <f>FHD_NOTE_P_15</f>
        <v/>
      </c>
      <c r="K51" s="1806" t="str">
        <f>IF((LEN(E51)-LEN(SUBSTITUTE(E51,".","")))/LEN(".")=1,"p","")</f>
        <v/>
      </c>
      <c r="L51" s="900"/>
      <c r="M51" s="900"/>
      <c r="R51" s="900"/>
      <c r="U51" s="901"/>
      <c r="AA51" s="902"/>
      <c r="AB51" s="902"/>
      <c r="AC51" s="902"/>
      <c r="AD51" s="902"/>
      <c r="AE51" s="902"/>
      <c r="AF51" s="899">
        <v>11</v>
      </c>
    </row>
    <row r="52" s="9217" customFormat="1" ht="11.5" customHeight="1">
      <c r="A52" s="1157"/>
      <c r="C52" s="1806"/>
      <c r="D52" s="1808"/>
      <c r="E52" s="716" t="str">
        <f>FHD_NUM_P_16</f>
        <v>2.7</v>
      </c>
      <c r="F52" s="1694" t="str">
        <f>FHD_P_16</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558</v>
      </c>
      <c r="H52" s="727"/>
      <c r="I52" s="727"/>
      <c r="J52" s="459" t="str">
        <f>FHD_NOTE_P_16</f>
        <v/>
      </c>
      <c r="K52" s="1806" t="str">
        <f>IF((LEN(E52)-LEN(SUBSTITUTE(E52,".","")))/LEN(".")=1,"p","")</f>
        <v>p</v>
      </c>
      <c r="L52" s="1806"/>
      <c r="M52" s="1812"/>
      <c r="N52" s="707"/>
      <c r="O52" s="707"/>
      <c r="R52" s="1806"/>
      <c r="U52" s="714"/>
      <c r="AA52" s="1802"/>
      <c r="AB52" s="1802"/>
      <c r="AC52" s="1802"/>
      <c r="AD52" s="1802"/>
      <c r="AE52" s="1802"/>
      <c r="AF52" s="1330">
        <v>11</v>
      </c>
    </row>
    <row r="53" s="9217" customFormat="1" ht="11.5" customHeight="1">
      <c r="A53" s="1157"/>
      <c r="C53" s="1806"/>
      <c r="D53" s="1808"/>
      <c r="E53" s="716" t="str">
        <f>FHD_NUM_P_17</f>
        <v>2.7.1</v>
      </c>
      <c r="F53" s="1820" t="str">
        <f>FHD_P_17</f>
        <v xml:space="preserve">Расходы на оплату труда административно-управленческого персонала</v>
      </c>
      <c r="G53" s="2048" t="s">
        <v>558</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r="54" s="9217" customFormat="1" ht="11.5" customHeight="1">
      <c r="A54" s="1157"/>
      <c r="C54" s="1806"/>
      <c r="D54" s="1808"/>
      <c r="E54" s="716" t="str">
        <f>FHD_NUM_P_18</f>
        <v>2.7.2</v>
      </c>
      <c r="F54" s="1820" t="str">
        <f>FHD_P_18</f>
        <v xml:space="preserve">Страховые взносы на обязательное социальное страхование, выплачиваемые из фонда оплаты труда административно-управленческого персонала</v>
      </c>
      <c r="G54" s="2048" t="s">
        <v>558</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r="55" s="9217" customFormat="1" ht="11.5" customHeight="1">
      <c r="A55" s="1157"/>
      <c r="C55" s="1806"/>
      <c r="D55" s="745"/>
      <c r="E55" s="716" t="str">
        <f>FHD_NUM_P_19</f>
        <v>2.8</v>
      </c>
      <c r="F55" s="1694" t="str">
        <f>FHD_P_19</f>
        <v xml:space="preserve">Расходы на амортизацию основных средств и нематериальных активов</v>
      </c>
      <c r="G55" s="2048" t="s">
        <v>558</v>
      </c>
      <c r="H55" s="727"/>
      <c r="I55" s="727"/>
      <c r="J55" s="459" t="str">
        <f>FHD_NOTE_P_19</f>
        <v/>
      </c>
      <c r="K55" s="1806" t="str">
        <f>IF((LEN(E55)-LEN(SUBSTITUTE(E55,".","")))/LEN(".")=1,"p","")</f>
        <v>p</v>
      </c>
      <c r="L55" s="1806"/>
      <c r="M55" s="1806"/>
      <c r="R55" s="1806"/>
      <c r="U55" s="714"/>
      <c r="AA55" s="1802"/>
      <c r="AB55" s="1802"/>
      <c r="AC55" s="1802"/>
      <c r="AD55" s="1802"/>
      <c r="AE55" s="1802"/>
      <c r="AF55" s="1330">
        <v>11</v>
      </c>
    </row>
    <row r="56" s="9217" customFormat="1" ht="11.5" customHeight="1">
      <c r="A56" s="1157"/>
      <c r="C56" s="1806"/>
      <c r="D56" s="745"/>
      <c r="E56" s="716" t="str">
        <f>FHD_NUM_P_20</f>
        <v>2.8.1</v>
      </c>
      <c r="F56" s="1820" t="str">
        <f>FHD_P_20</f>
        <v xml:space="preserve">Расходы на амортизацию основных средств</v>
      </c>
      <c r="G56" s="2048" t="s">
        <v>558</v>
      </c>
      <c r="H56" s="727"/>
      <c r="I56" s="727"/>
      <c r="J56" s="459" t="str">
        <f>FHD_NOTE_P_20</f>
        <v/>
      </c>
      <c r="K56" s="1806" t="str">
        <f>IF((LEN(E56)-LEN(SUBSTITUTE(E56,".","")))/LEN(".")=1,"p","")</f>
        <v/>
      </c>
      <c r="L56" s="1806"/>
      <c r="M56" s="1806"/>
      <c r="R56" s="1806"/>
      <c r="U56" s="714"/>
      <c r="AA56" s="1802"/>
      <c r="AB56" s="1802"/>
      <c r="AC56" s="1802"/>
      <c r="AD56" s="1802"/>
      <c r="AE56" s="1802"/>
      <c r="AF56" s="1330">
        <v>11</v>
      </c>
    </row>
    <row r="57" s="9217" customFormat="1" ht="11.5" customHeight="1">
      <c r="A57" s="1157"/>
      <c r="C57" s="1806"/>
      <c r="D57" s="745"/>
      <c r="E57" s="716" t="str">
        <f>FHD_NUM_P_21</f>
        <v>2.8.2</v>
      </c>
      <c r="F57" s="1820" t="str">
        <f>FHD_P_21</f>
        <v xml:space="preserve">Расходы на амортизацию нематериальных активов</v>
      </c>
      <c r="G57" s="2048" t="s">
        <v>558</v>
      </c>
      <c r="H57" s="727"/>
      <c r="I57" s="727"/>
      <c r="J57" s="459" t="str">
        <f>FHD_NOTE_P_21</f>
        <v/>
      </c>
      <c r="K57" s="1806" t="str">
        <f>IF((LEN(E57)-LEN(SUBSTITUTE(E57,".","")))/LEN(".")=1,"p","")</f>
        <v/>
      </c>
      <c r="L57" s="1806"/>
      <c r="M57" s="1806"/>
      <c r="R57" s="1806"/>
      <c r="U57" s="714"/>
      <c r="AA57" s="1802"/>
      <c r="AB57" s="1802"/>
      <c r="AC57" s="1802"/>
      <c r="AD57" s="1802"/>
      <c r="AE57" s="1802"/>
      <c r="AF57" s="1330">
        <v>11</v>
      </c>
    </row>
    <row r="58" s="9217" customFormat="1" ht="11.5" customHeight="1">
      <c r="A58" s="1157"/>
      <c r="C58" s="1806"/>
      <c r="D58" s="1808"/>
      <c r="E58" s="716" t="str">
        <f>FHD_NUM_P_22</f>
        <v>2.9</v>
      </c>
      <c r="F58" s="1694" t="str">
        <f>FHD_P_22</f>
        <v xml:space="preserve">Расходы на аренду имущества, используемого для осуществления регулируемого вида деятельности</v>
      </c>
      <c r="G58" s="2048" t="s">
        <v>558</v>
      </c>
      <c r="H58" s="727"/>
      <c r="I58" s="727"/>
      <c r="J58" s="459" t="str">
        <f>FHD_NOTE_P_22</f>
        <v/>
      </c>
      <c r="K58" s="1806" t="str">
        <f>IF((LEN(E58)-LEN(SUBSTITUTE(E58,".","")))/LEN(".")=1,"p","")</f>
        <v>p</v>
      </c>
      <c r="L58" s="1806"/>
      <c r="M58" s="1806"/>
      <c r="R58" s="1806"/>
      <c r="U58" s="714"/>
      <c r="AA58" s="1802"/>
      <c r="AB58" s="1802"/>
      <c r="AC58" s="1802"/>
      <c r="AD58" s="1802"/>
      <c r="AE58" s="1802"/>
      <c r="AF58" s="1330">
        <v>11</v>
      </c>
    </row>
    <row r="59" s="9217" customFormat="1" ht="11.5" customHeight="1">
      <c r="A59" s="1157"/>
      <c r="C59" s="1806"/>
      <c r="D59" s="745"/>
      <c r="E59" s="716" t="str">
        <f>FHD_NUM_P_23</f>
        <v>2.10</v>
      </c>
      <c r="F59" s="1694" t="str">
        <f>FHD_P_23</f>
        <v xml:space="preserve">Общепроизводственные расходы, в том числе:</v>
      </c>
      <c r="G59" s="2048" t="s">
        <v>558</v>
      </c>
      <c r="H59" s="727"/>
      <c r="I59" s="727"/>
      <c r="J59" s="459" t="str">
        <f>FHD_NOTE_P_23</f>
        <v xml:space="preserve">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r="60" s="9217" customFormat="1" ht="11.5" customHeight="1">
      <c r="A60" s="1157"/>
      <c r="C60" s="1806"/>
      <c r="D60" s="745"/>
      <c r="E60" s="716" t="str">
        <f>FHD_NUM_P_24</f>
        <v>2.10.1</v>
      </c>
      <c r="F60" s="1820" t="str">
        <f>FHD_P_24</f>
        <v xml:space="preserve">Расходы на текущий ремонт</v>
      </c>
      <c r="G60" s="2048" t="s">
        <v>558</v>
      </c>
      <c r="H60" s="727"/>
      <c r="I60" s="727"/>
      <c r="J60" s="459" t="str">
        <f>FHD_NOTE_P_24</f>
        <v xml:space="preserve">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r="61" s="9217" customFormat="1" ht="11.5" customHeight="1">
      <c r="A61" s="1157"/>
      <c r="C61" s="1806"/>
      <c r="D61" s="745"/>
      <c r="E61" s="716" t="str">
        <f>FHD_NUM_P_25</f>
        <v>2.10.2</v>
      </c>
      <c r="F61" s="1820" t="str">
        <f>FHD_P_25</f>
        <v xml:space="preserve">Расходы на капитальный ремонт</v>
      </c>
      <c r="G61" s="2048" t="s">
        <v>558</v>
      </c>
      <c r="H61" s="727"/>
      <c r="I61" s="727"/>
      <c r="J61" s="459" t="str">
        <f>FHD_NOTE_P_25</f>
        <v xml:space="preserve">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r="62" s="9217" customFormat="1" ht="11.5" customHeight="1">
      <c r="A62" s="1157"/>
      <c r="C62" s="1806"/>
      <c r="D62" s="1808"/>
      <c r="E62" s="716" t="str">
        <f>FHD_NUM_P_26</f>
        <v>2.11</v>
      </c>
      <c r="F62" s="1694" t="str">
        <f>FHD_P_26</f>
        <v xml:space="preserve">Общехозяйственные расходы, в том числе:</v>
      </c>
      <c r="G62" s="2048" t="s">
        <v>558</v>
      </c>
      <c r="H62" s="727"/>
      <c r="I62" s="727"/>
      <c r="J62" s="459" t="str">
        <f>FHD_NOTE_P_26</f>
        <v xml:space="preserve">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r="63" s="9217" customFormat="1" ht="11.5" customHeight="1">
      <c r="A63" s="1157"/>
      <c r="C63" s="1806"/>
      <c r="D63" s="1808"/>
      <c r="E63" s="716" t="str">
        <f>FHD_NUM_P_27</f>
        <v>2.11.1</v>
      </c>
      <c r="F63" s="1820" t="str">
        <f>FHD_P_27</f>
        <v xml:space="preserve">Расходы на текущий ремонт</v>
      </c>
      <c r="G63" s="2048" t="s">
        <v>558</v>
      </c>
      <c r="H63" s="727"/>
      <c r="I63" s="727"/>
      <c r="J63" s="459" t="str">
        <f>FHD_NOTE_P_27</f>
        <v xml:space="preserve">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r="64" s="9217" customFormat="1" ht="11.5" customHeight="1">
      <c r="A64" s="1157"/>
      <c r="C64" s="1806"/>
      <c r="D64" s="1808"/>
      <c r="E64" s="716" t="str">
        <f>FHD_NUM_P_28</f>
        <v>2.11.2</v>
      </c>
      <c r="F64" s="1820" t="str">
        <f>FHD_P_28</f>
        <v xml:space="preserve">Расходы на капитальный ремонт</v>
      </c>
      <c r="G64" s="2048" t="s">
        <v>558</v>
      </c>
      <c r="H64" s="727"/>
      <c r="I64" s="727"/>
      <c r="J64" s="459" t="str">
        <f>FHD_NOTE_P_28</f>
        <v xml:space="preserve">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r="65" s="9217" customFormat="1" ht="11.5" customHeight="1">
      <c r="A65" s="1157"/>
      <c r="C65" s="1806"/>
      <c r="D65" s="1808"/>
      <c r="E65" s="716" t="str">
        <f>FHD_NUM_P_29</f>
        <v>2.12</v>
      </c>
      <c r="F65" s="1694" t="str">
        <f>FHD_P_29</f>
        <v xml:space="preserve">Расходы на капитальный и текущий ремонт основных средств</v>
      </c>
      <c r="G65" s="2048" t="s">
        <v>558</v>
      </c>
      <c r="H65" s="727"/>
      <c r="I65" s="727"/>
      <c r="J65" s="459" t="str">
        <f>FHD_NOTE_P_29</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r="66" s="9217" customFormat="1" ht="11.5" customHeight="1">
      <c r="A66" s="1157"/>
      <c r="C66" s="1806"/>
      <c r="D66" s="1808"/>
      <c r="E66" s="716" t="str">
        <f>FHD_NUM_P_30</f>
        <v>2.12.1</v>
      </c>
      <c r="F66" s="1820" t="str">
        <f>FHD_P_30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313</v>
      </c>
      <c r="H66" s="1819" t="s">
        <v>581</v>
      </c>
      <c r="I66" s="1819" t="s">
        <v>581</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r="67" s="9217" customFormat="1" ht="23.25" hidden="1" customHeight="1">
      <c r="A67" s="2541" t="s">
        <v>582</v>
      </c>
      <c r="C67" s="1806"/>
      <c r="D67" s="1808"/>
      <c r="E67" s="716" t="str">
        <f>FHD_NUM_P_31</f>
        <v/>
      </c>
      <c r="F67" s="1694" t="str">
        <f>FHD_P_31</f>
        <v/>
      </c>
      <c r="G67" s="2048" t="s">
        <v>558</v>
      </c>
      <c r="H67" s="727"/>
      <c r="I67" s="727"/>
      <c r="J67" s="459" t="str">
        <f>FHD_NOTE_P_31</f>
        <v/>
      </c>
      <c r="K67" s="1806" t="str">
        <f>IF((LEN(E67)-LEN(SUBSTITUTE(E67,".","")))/LEN(".")=1,"p","")</f>
        <v/>
      </c>
      <c r="L67" s="1806"/>
      <c r="M67" s="1806"/>
      <c r="R67" s="1806"/>
      <c r="U67" s="714"/>
      <c r="AA67" s="1802"/>
      <c r="AB67" s="1802"/>
      <c r="AC67" s="1802"/>
      <c r="AD67" s="1802"/>
      <c r="AE67" s="1802"/>
      <c r="AF67" s="1330">
        <v>22</v>
      </c>
    </row>
    <row r="68" s="9217" customFormat="1" ht="47.25" hidden="1" customHeight="1">
      <c r="A68" s="2541"/>
      <c r="C68" s="1806"/>
      <c r="D68" s="1808"/>
      <c r="E68" s="716" t="str">
        <f>FHD_NUM_P_32</f>
        <v/>
      </c>
      <c r="F68" s="1820" t="str">
        <f>FHD_P_32</f>
        <v/>
      </c>
      <c r="G68" s="2048" t="s">
        <v>313</v>
      </c>
      <c r="H68" s="1819" t="s">
        <v>581</v>
      </c>
      <c r="I68" s="1819" t="s">
        <v>581</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r="69" s="9217" customFormat="1" ht="11.5" customHeight="1">
      <c r="A69" s="1157"/>
      <c r="C69" s="1806"/>
      <c r="D69" s="1808"/>
      <c r="E69" s="716" t="str">
        <f>FHD_NUM_P_33</f>
        <v>2.13</v>
      </c>
      <c r="F69" s="1694" t="str">
        <f>FHD_P_33</f>
        <v xml:space="preserve">Прочие расходы, которые подлежат отнесению на регулируемые виды деятельности в соответствии с законодательством Российской Федерации</v>
      </c>
      <c r="G69" s="2049" t="s">
        <v>558</v>
      </c>
      <c r="H69" s="749">
        <f>SUM(H70:H71)</f>
        <v>0</v>
      </c>
      <c r="I69" s="749">
        <f>SUM(I70:I71)</f>
        <v>0</v>
      </c>
      <c r="J69" s="459" t="str">
        <f>FHD_NOTE_P_33</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06" t="str">
        <f>IF((LEN(E69)-LEN(SUBSTITUTE(E69,".","")))/LEN(".")=1,"p","")</f>
        <v>p</v>
      </c>
      <c r="L69" s="1806"/>
      <c r="M69" s="1806"/>
      <c r="R69" s="1806"/>
      <c r="U69" s="714"/>
      <c r="AA69" s="1802"/>
      <c r="AB69" s="1802"/>
      <c r="AC69" s="1802"/>
      <c r="AD69" s="1802"/>
      <c r="AE69" s="1802"/>
      <c r="AF69" s="1330">
        <v>11</v>
      </c>
    </row>
    <row r="70" s="9218" customFormat="1" ht="1.05" customHeight="1">
      <c r="A70" s="1337"/>
      <c r="D70" s="718"/>
      <c r="E70" s="1183" t="str">
        <f>E69&amp;".0"</f>
        <v>2.13.0</v>
      </c>
      <c r="F70" s="1161"/>
      <c r="G70" s="1183"/>
      <c r="H70" s="1162"/>
      <c r="I70" s="1162"/>
      <c r="J70" s="1163"/>
      <c r="K70" s="1806" t="str">
        <f>IF((LEN(E70)-LEN(SUBSTITUTE(E70,".","")))/LEN(".")=1,"p","")</f>
        <v/>
      </c>
      <c r="AF70" s="1806">
        <v>1</v>
      </c>
    </row>
    <row r="71" s="9217" customFormat="1" ht="14.65" customHeight="1">
      <c r="A71" s="1157"/>
      <c r="C71" s="1806"/>
      <c r="D71" s="1803"/>
      <c r="E71" s="740"/>
      <c r="F71" s="741" t="s">
        <v>583</v>
      </c>
      <c r="G71" s="742"/>
      <c r="H71" s="743"/>
      <c r="I71" s="743"/>
      <c r="J71" s="471"/>
      <c r="K71" s="1806"/>
      <c r="L71" s="1806"/>
      <c r="M71" s="1806"/>
      <c r="R71" s="1806"/>
      <c r="U71" s="714"/>
      <c r="AA71" s="1802"/>
      <c r="AB71" s="1802"/>
      <c r="AC71" s="1802"/>
      <c r="AD71" s="1802"/>
      <c r="AE71" s="1802"/>
      <c r="AF71" s="1330">
        <v>14</v>
      </c>
    </row>
    <row r="72" s="9217" customFormat="1" ht="18.75" customHeight="1">
      <c r="A72" s="1159" t="s">
        <v>584</v>
      </c>
      <c r="C72" s="1806"/>
      <c r="D72" s="1808"/>
      <c r="E72" s="716" t="str">
        <f>FHD_NUM_P_34</f>
        <v>3</v>
      </c>
      <c r="F72" s="2050" t="str">
        <f>FHD_P_34</f>
        <v xml:space="preserve">Валовая прибыль (убытки) от реализации товаров и оказания услуг по регулируемому виду деятельности</v>
      </c>
      <c r="G72" s="2048" t="s">
        <v>558</v>
      </c>
      <c r="H72" s="727"/>
      <c r="I72" s="727"/>
      <c r="J72" s="459" t="str">
        <f>FHD_NOTE_P_34</f>
        <v/>
      </c>
      <c r="K72" s="713"/>
      <c r="L72" s="1806"/>
      <c r="M72" s="1806"/>
      <c r="R72" s="1806"/>
      <c r="U72" s="714"/>
      <c r="AA72" s="1802"/>
      <c r="AB72" s="1802"/>
      <c r="AC72" s="1802"/>
      <c r="AD72" s="1802"/>
      <c r="AE72" s="1802"/>
      <c r="AF72" s="1330">
        <v>0</v>
      </c>
    </row>
    <row r="73" s="9217" customFormat="1" ht="19.949999999999999" customHeight="1">
      <c r="A73" s="1157"/>
      <c r="C73" s="1806"/>
      <c r="D73" s="745"/>
      <c r="E73" s="716" t="str">
        <f>FHD_NUM_P_35</f>
        <v>4</v>
      </c>
      <c r="F73" s="2050" t="str">
        <f>FHD_P_35</f>
        <v xml:space="preserve">Чистая прибыль, полученная от регулируемого вида деятельности, в том числе:</v>
      </c>
      <c r="G73" s="2048" t="s">
        <v>558</v>
      </c>
      <c r="H73" s="727"/>
      <c r="I73" s="727"/>
      <c r="J73" s="459" t="str">
        <f>FHD_NOTE_P_35</f>
        <v xml:space="preserve">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r="74" s="9217" customFormat="1" ht="19.949999999999999" customHeight="1">
      <c r="A74" s="1157"/>
      <c r="C74" s="1806"/>
      <c r="D74" s="1808"/>
      <c r="E74" s="716" t="str">
        <f>FHD_NUM_P_36</f>
        <v>4.1</v>
      </c>
      <c r="F74" s="1694" t="str">
        <f>FHD_P_36</f>
        <v xml:space="preserve">Размер расходования чистой прибыли на финансирование мероприятий, предусмотренных инвестиционной программой регулируемой организации</v>
      </c>
      <c r="G74" s="2048" t="s">
        <v>558</v>
      </c>
      <c r="H74" s="727"/>
      <c r="I74" s="727"/>
      <c r="J74" s="459" t="str">
        <f>FHD_NOTE_P_36</f>
        <v/>
      </c>
      <c r="K74" s="713"/>
      <c r="L74" s="1806"/>
      <c r="M74" s="1806"/>
      <c r="R74" s="1806"/>
      <c r="U74" s="714"/>
      <c r="AA74" s="1802"/>
      <c r="AB74" s="1802"/>
      <c r="AC74" s="1802"/>
      <c r="AD74" s="1802"/>
      <c r="AE74" s="1802"/>
      <c r="AF74" s="1330">
        <v>19</v>
      </c>
    </row>
    <row r="75" s="9217" customFormat="1" ht="19.949999999999999" customHeight="1">
      <c r="A75" s="1157"/>
      <c r="C75" s="1806"/>
      <c r="D75" s="1808"/>
      <c r="E75" s="716" t="str">
        <f>FHD_NUM_P_37</f>
        <v>5</v>
      </c>
      <c r="F75" s="2050" t="str">
        <f>FHD_P_37</f>
        <v xml:space="preserve">Изменение стоимости основных фондов, в том числе:</v>
      </c>
      <c r="G75" s="2048" t="s">
        <v>558</v>
      </c>
      <c r="H75" s="727"/>
      <c r="I75" s="727"/>
      <c r="J75" s="459" t="str">
        <f>FHD_NOTE_P_37</f>
        <v xml:space="preserve">Указывается общее изменение стоимости основных фондов.</v>
      </c>
      <c r="K75" s="713"/>
      <c r="L75" s="1806"/>
      <c r="M75" s="1806"/>
      <c r="R75" s="1806"/>
      <c r="U75" s="714"/>
      <c r="AA75" s="1802"/>
      <c r="AB75" s="1802"/>
      <c r="AC75" s="1802"/>
      <c r="AD75" s="1802"/>
      <c r="AE75" s="1802"/>
      <c r="AF75" s="1330">
        <v>19</v>
      </c>
    </row>
    <row r="76" s="9217" customFormat="1" ht="19.949999999999999" customHeight="1">
      <c r="A76" s="1157"/>
      <c r="C76" s="1806"/>
      <c r="D76" s="1808"/>
      <c r="E76" s="716" t="str">
        <f>FHD_NUM_P_38</f>
        <v>5.1</v>
      </c>
      <c r="F76" s="1694" t="str">
        <f>FHD_P_38</f>
        <v xml:space="preserve">Изменение стоимости основных фондов за счет:</v>
      </c>
      <c r="G76" s="2048" t="s">
        <v>558</v>
      </c>
      <c r="H76" s="727"/>
      <c r="I76" s="727"/>
      <c r="J76" s="459" t="str">
        <f>FHD_NOTE_P_38</f>
        <v xml:space="preserve">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r="77" s="9217" customFormat="1" ht="19.949999999999999" customHeight="1">
      <c r="A77" s="1157"/>
      <c r="C77" s="1806"/>
      <c r="D77" s="1808"/>
      <c r="E77" s="716" t="str">
        <f>FHD_NUM_P_39</f>
        <v>5.1.1</v>
      </c>
      <c r="F77" s="1820" t="str">
        <f>FHD_P_39</f>
        <v xml:space="preserve">Изменения стоимости основных фондов за счет их ввода в эксплуатацию</v>
      </c>
      <c r="G77" s="2242" t="s">
        <v>558</v>
      </c>
      <c r="H77" s="727"/>
      <c r="I77" s="727"/>
      <c r="J77" s="459" t="str">
        <f>FHD_NOTE_P_39</f>
        <v xml:space="preserve">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r="78" s="9217" customFormat="1" ht="19.949999999999999" customHeight="1">
      <c r="A78" s="1157"/>
      <c r="C78" s="1806"/>
      <c r="D78" s="1808"/>
      <c r="E78" s="716" t="str">
        <f>FHD_NUM_P_40</f>
        <v>5.1.2</v>
      </c>
      <c r="F78" s="2246" t="str">
        <f>FHD_P_40</f>
        <v xml:space="preserve">Изменения стоимости основных фондов за счет их вывода в эксплуатацию</v>
      </c>
      <c r="G78" s="2241" t="s">
        <v>558</v>
      </c>
      <c r="H78" s="1146"/>
      <c r="I78" s="727"/>
      <c r="J78" s="459" t="str">
        <f>FHD_NOTE_P_40</f>
        <v xml:space="preserve">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r="79" s="9217" customFormat="1" ht="19.949999999999999" customHeight="1">
      <c r="A79" s="1157"/>
      <c r="C79" s="1806"/>
      <c r="D79" s="1808"/>
      <c r="E79" s="716" t="str">
        <f>FHD_NUM_P_41</f>
        <v>5.2</v>
      </c>
      <c r="F79" s="2245" t="str">
        <f>FHD_P_41</f>
        <v xml:space="preserve">Изменение стоимости основных фондов за счет их переоценки</v>
      </c>
      <c r="G79" s="2241" t="s">
        <v>558</v>
      </c>
      <c r="H79" s="1146"/>
      <c r="I79" s="727"/>
      <c r="J79" s="459" t="str">
        <f>FHD_NOTE_P_41</f>
        <v/>
      </c>
      <c r="K79" s="713"/>
      <c r="L79" s="1806"/>
      <c r="M79" s="1806"/>
      <c r="R79" s="1806"/>
      <c r="U79" s="714"/>
      <c r="AA79" s="1802"/>
      <c r="AB79" s="1802"/>
      <c r="AC79" s="1802"/>
      <c r="AD79" s="1802"/>
      <c r="AE79" s="1802"/>
      <c r="AF79" s="1330">
        <v>19</v>
      </c>
    </row>
    <row r="80" s="9217" customFormat="1" ht="20.25" hidden="1" customHeight="1">
      <c r="A80" s="1159" t="s">
        <v>585</v>
      </c>
      <c r="C80" s="1806"/>
      <c r="D80" s="1808"/>
      <c r="E80" s="716" t="str">
        <f>FHD_NUM_P_42</f>
        <v/>
      </c>
      <c r="F80" s="2243" t="str">
        <f>FHD_P_42</f>
        <v/>
      </c>
      <c r="G80" s="2241" t="s">
        <v>558</v>
      </c>
      <c r="H80" s="1146"/>
      <c r="I80" s="727"/>
      <c r="J80" s="459" t="str">
        <f>FHD_NOTE_P_42</f>
        <v/>
      </c>
      <c r="K80" s="713"/>
      <c r="L80" s="1806"/>
      <c r="M80" s="1806"/>
      <c r="R80" s="1806"/>
      <c r="U80" s="714"/>
      <c r="AA80" s="1802"/>
      <c r="AB80" s="1802"/>
      <c r="AC80" s="1802"/>
      <c r="AD80" s="1802"/>
      <c r="AE80" s="1802"/>
      <c r="AF80" s="1330">
        <v>19</v>
      </c>
    </row>
    <row r="81" s="9217" customFormat="1" ht="19.949999999999999" customHeight="1">
      <c r="A81" s="1157"/>
      <c r="C81" s="1806"/>
      <c r="D81" s="1808"/>
      <c r="E81" s="716" t="str">
        <f>FHD_NUM_P_43</f>
        <v>6</v>
      </c>
      <c r="F81" s="2050" t="str">
        <f>FHD_P_43</f>
        <v xml:space="preserve">Годовая бухгалтерская (финансовая) отчетность, включая бухгалтерский баланс и приложения к нему</v>
      </c>
      <c r="G81" s="2244" t="s">
        <v>313</v>
      </c>
      <c r="H81" s="1225"/>
      <c r="I81" s="988"/>
      <c r="J81" s="459" t="str">
        <f>FHD_NOTE_P_43</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13"/>
      <c r="L81" s="1806"/>
      <c r="M81" s="1806"/>
      <c r="R81" s="1806"/>
      <c r="U81" s="714"/>
      <c r="AA81" s="1802"/>
      <c r="AB81" s="1802"/>
      <c r="AC81" s="1802"/>
      <c r="AD81" s="1802"/>
      <c r="AE81" s="1802"/>
      <c r="AF81" s="1330">
        <v>19</v>
      </c>
    </row>
    <row r="82" s="9217" customFormat="1" ht="18.75" hidden="1" customHeight="1">
      <c r="A82" s="2541" t="s">
        <v>586</v>
      </c>
      <c r="C82" s="905"/>
      <c r="D82" s="903"/>
      <c r="E82" s="716" t="str">
        <f>FHD_NUM_P_44</f>
        <v/>
      </c>
      <c r="F82" s="2050" t="str">
        <f>FHD_P_44</f>
        <v/>
      </c>
      <c r="G82" s="2051" t="s">
        <v>587</v>
      </c>
      <c r="H82" s="1147"/>
      <c r="I82" s="747"/>
      <c r="J82" s="459" t="str">
        <f>FHD_NOTE_P_44</f>
        <v/>
      </c>
      <c r="K82" s="904"/>
      <c r="L82" s="905"/>
      <c r="M82" s="905"/>
      <c r="R82" s="905"/>
      <c r="U82" s="906"/>
      <c r="AA82" s="907"/>
      <c r="AB82" s="907"/>
      <c r="AC82" s="907"/>
      <c r="AD82" s="907"/>
      <c r="AE82" s="907"/>
      <c r="AF82" s="1080">
        <v>0</v>
      </c>
    </row>
    <row r="83" s="9217" customFormat="1" ht="18.75" hidden="1" customHeight="1">
      <c r="A83" s="2541"/>
      <c r="C83" s="905"/>
      <c r="D83" s="903"/>
      <c r="E83" s="716" t="str">
        <f>FHD_NUM_P_45</f>
        <v/>
      </c>
      <c r="F83" s="2050" t="str">
        <f>FHD_P_45</f>
        <v/>
      </c>
      <c r="G83" s="2051" t="s">
        <v>587</v>
      </c>
      <c r="H83" s="1147"/>
      <c r="I83" s="747"/>
      <c r="J83" s="459" t="str">
        <f>FHD_NOTE_P_45</f>
        <v/>
      </c>
      <c r="K83" s="904"/>
      <c r="L83" s="905"/>
      <c r="M83" s="905"/>
      <c r="R83" s="905"/>
      <c r="U83" s="906"/>
      <c r="AA83" s="907"/>
      <c r="AB83" s="907"/>
      <c r="AC83" s="907"/>
      <c r="AD83" s="907"/>
      <c r="AE83" s="907"/>
      <c r="AF83" s="1080">
        <v>0</v>
      </c>
    </row>
    <row r="84" s="9217" customFormat="1" ht="18.75" hidden="1" customHeight="1">
      <c r="A84" s="2541"/>
      <c r="C84" s="905"/>
      <c r="D84" s="908"/>
      <c r="E84" s="716" t="str">
        <f>FHD_NUM_P_46</f>
        <v/>
      </c>
      <c r="F84" s="2050" t="str">
        <f>FHD_P_46</f>
        <v/>
      </c>
      <c r="G84" s="2051" t="s">
        <v>587</v>
      </c>
      <c r="H84" s="1147"/>
      <c r="I84" s="747"/>
      <c r="J84" s="459" t="str">
        <f>FHD_NOTE_P_46</f>
        <v/>
      </c>
      <c r="K84" s="904"/>
      <c r="L84" s="905"/>
      <c r="M84" s="905"/>
      <c r="R84" s="905"/>
      <c r="U84" s="906"/>
      <c r="AA84" s="907"/>
      <c r="AB84" s="907"/>
      <c r="AC84" s="907"/>
      <c r="AD84" s="907"/>
      <c r="AE84" s="907"/>
      <c r="AF84" s="1080">
        <v>0</v>
      </c>
    </row>
    <row r="85" s="9217" customFormat="1" ht="18.75" hidden="1" customHeight="1">
      <c r="A85" s="2541"/>
      <c r="C85" s="905"/>
      <c r="D85" s="903"/>
      <c r="E85" s="716" t="str">
        <f>FHD_NUM_P_47</f>
        <v/>
      </c>
      <c r="F85" s="2050" t="str">
        <f>FHD_P_47</f>
        <v/>
      </c>
      <c r="G85" s="2051" t="s">
        <v>587</v>
      </c>
      <c r="H85" s="1147"/>
      <c r="I85" s="747"/>
      <c r="J85" s="459" t="str">
        <f>FHD_NOTE_P_47</f>
        <v/>
      </c>
      <c r="K85" s="904"/>
      <c r="L85" s="905"/>
      <c r="M85" s="905"/>
      <c r="R85" s="905"/>
      <c r="U85" s="906"/>
      <c r="AA85" s="907"/>
      <c r="AB85" s="907"/>
      <c r="AC85" s="907"/>
      <c r="AD85" s="907"/>
      <c r="AE85" s="907"/>
      <c r="AF85" s="1080">
        <v>0</v>
      </c>
    </row>
    <row r="86" s="9138" customFormat="1" ht="18.75" hidden="1" customHeight="1">
      <c r="A86" s="2541"/>
      <c r="B86" s="1080"/>
      <c r="C86" s="905"/>
      <c r="D86" s="903"/>
      <c r="E86" s="716" t="str">
        <f>FHD_NUM_P_48</f>
        <v/>
      </c>
      <c r="F86" s="2050" t="str">
        <f>FHD_P_48</f>
        <v/>
      </c>
      <c r="G86" s="2051" t="s">
        <v>587</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r="87" s="9138" customFormat="1" ht="18.75" hidden="1" customHeight="1">
      <c r="A87" s="2541"/>
      <c r="B87" s="1080"/>
      <c r="C87" s="905"/>
      <c r="D87" s="903"/>
      <c r="E87" s="716" t="str">
        <f>FHD_NUM_P_49</f>
        <v/>
      </c>
      <c r="F87" s="2050" t="str">
        <f>FHD_P_49</f>
        <v/>
      </c>
      <c r="G87" s="2051" t="s">
        <v>587</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r="88" s="9138" customFormat="1" ht="18.75" hidden="1" customHeight="1">
      <c r="A88" s="2541"/>
      <c r="B88" s="1080"/>
      <c r="C88" s="905"/>
      <c r="D88" s="903"/>
      <c r="E88" s="716" t="str">
        <f>FHD_NUM_P_50</f>
        <v/>
      </c>
      <c r="F88" s="2050" t="str">
        <f>FHD_P_50</f>
        <v/>
      </c>
      <c r="G88" s="2051" t="s">
        <v>587</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r="89" s="9138" customFormat="1" ht="18.75" hidden="1" customHeight="1">
      <c r="A89" s="2541"/>
      <c r="B89" s="1080"/>
      <c r="C89" s="905"/>
      <c r="D89" s="903"/>
      <c r="E89" s="716" t="str">
        <f>FHD_NUM_P_51</f>
        <v/>
      </c>
      <c r="F89" s="2050" t="str">
        <f>FHD_P_51</f>
        <v/>
      </c>
      <c r="G89" s="2051" t="s">
        <v>587</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r="90" s="9138" customFormat="1" ht="18.75" hidden="1" customHeight="1">
      <c r="A90" s="2541"/>
      <c r="B90" s="1080"/>
      <c r="C90" s="905"/>
      <c r="D90" s="903"/>
      <c r="E90" s="716" t="str">
        <f>FHD_NUM_P_52</f>
        <v/>
      </c>
      <c r="F90" s="2050" t="str">
        <f>FHD_P_52</f>
        <v/>
      </c>
      <c r="G90" s="2051" t="s">
        <v>564</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r="91" s="9217" customFormat="1" ht="18.75" hidden="1" customHeight="1">
      <c r="A91" s="2543" t="s">
        <v>588</v>
      </c>
      <c r="C91" s="905"/>
      <c r="D91" s="903"/>
      <c r="E91" s="716" t="str">
        <f>FHD_NUM_P_53</f>
        <v/>
      </c>
      <c r="F91" s="2050" t="str">
        <f>FHD_P_53</f>
        <v/>
      </c>
      <c r="G91" s="2051" t="s">
        <v>587</v>
      </c>
      <c r="H91" s="1147"/>
      <c r="I91" s="747"/>
      <c r="J91" s="459" t="str">
        <f>FHD_NOTE_P_53</f>
        <v/>
      </c>
      <c r="K91" s="904"/>
      <c r="L91" s="905"/>
      <c r="M91" s="905"/>
      <c r="R91" s="905"/>
      <c r="U91" s="906"/>
      <c r="AA91" s="907"/>
      <c r="AB91" s="907"/>
      <c r="AC91" s="907"/>
      <c r="AD91" s="907"/>
      <c r="AE91" s="907"/>
      <c r="AF91" s="1080">
        <v>0</v>
      </c>
    </row>
    <row r="92" s="9217" customFormat="1" ht="18.75" hidden="1" customHeight="1">
      <c r="A92" s="2543"/>
      <c r="C92" s="905"/>
      <c r="D92" s="903"/>
      <c r="E92" s="716" t="str">
        <f>FHD_NUM_P_54</f>
        <v/>
      </c>
      <c r="F92" s="2050" t="str">
        <f>FHD_P_54</f>
        <v/>
      </c>
      <c r="G92" s="2051" t="s">
        <v>587</v>
      </c>
      <c r="H92" s="1147"/>
      <c r="I92" s="747"/>
      <c r="J92" s="459" t="str">
        <f>FHD_NOTE_P_54</f>
        <v/>
      </c>
      <c r="K92" s="904"/>
      <c r="L92" s="905"/>
      <c r="M92" s="905"/>
      <c r="R92" s="905"/>
      <c r="U92" s="906"/>
      <c r="AA92" s="907"/>
      <c r="AB92" s="907"/>
      <c r="AC92" s="907"/>
      <c r="AD92" s="907"/>
      <c r="AE92" s="907"/>
      <c r="AF92" s="1080">
        <v>0</v>
      </c>
    </row>
    <row r="93" s="9217" customFormat="1" ht="18.75" hidden="1" customHeight="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r="94" s="9217" customFormat="1" ht="18.75" hidden="1" customHeight="1">
      <c r="A94" s="2543"/>
      <c r="C94" s="905"/>
      <c r="D94" s="903"/>
      <c r="E94" s="716" t="str">
        <f>FHD_NUM_P_56</f>
        <v/>
      </c>
      <c r="F94" s="2050" t="str">
        <f>FHD_P_56</f>
        <v/>
      </c>
      <c r="G94" s="2051" t="s">
        <v>589</v>
      </c>
      <c r="H94" s="1147"/>
      <c r="I94" s="747"/>
      <c r="J94" s="459" t="str">
        <f>FHD_NOTE_P_56</f>
        <v/>
      </c>
      <c r="K94" s="904"/>
      <c r="L94" s="905"/>
      <c r="M94" s="905"/>
      <c r="R94" s="905"/>
      <c r="U94" s="906"/>
      <c r="AA94" s="907"/>
      <c r="AB94" s="907"/>
      <c r="AC94" s="907"/>
      <c r="AD94" s="907"/>
      <c r="AE94" s="907"/>
      <c r="AF94" s="1080">
        <v>0</v>
      </c>
    </row>
    <row r="95" s="9138" customFormat="1" ht="18.75" hidden="1" customHeight="1">
      <c r="A95" s="2543"/>
      <c r="B95" s="1080"/>
      <c r="C95" s="905"/>
      <c r="D95" s="903"/>
      <c r="E95" s="716" t="str">
        <f>FHD_NUM_P_57</f>
        <v/>
      </c>
      <c r="F95" s="2050" t="str">
        <f>FHD_P_57</f>
        <v/>
      </c>
      <c r="G95" s="2051" t="s">
        <v>564</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r="96" ht="18.75" hidden="1" customHeight="1">
      <c r="A96" s="2541" t="s">
        <v>590</v>
      </c>
      <c r="D96" s="1808"/>
      <c r="E96" s="716" t="str">
        <f>FHD_NUM_P_58</f>
        <v/>
      </c>
      <c r="F96" s="2050" t="str">
        <f>FHD_P_58</f>
        <v/>
      </c>
      <c r="G96" s="2051" t="s">
        <v>587</v>
      </c>
      <c r="H96" s="1147"/>
      <c r="I96" s="747"/>
      <c r="J96" s="459" t="str">
        <f>FHD_NOTE_P_58</f>
        <v/>
      </c>
      <c r="K96" s="713"/>
      <c r="AF96" s="1801">
        <v>0</v>
      </c>
    </row>
    <row r="97" ht="18.75" hidden="1" customHeight="1">
      <c r="A97" s="2541"/>
      <c r="D97" s="1808"/>
      <c r="E97" s="716" t="str">
        <f>FHD_NUM_P_59</f>
        <v/>
      </c>
      <c r="F97" s="2050" t="str">
        <f>FHD_P_59</f>
        <v/>
      </c>
      <c r="G97" s="2051" t="s">
        <v>587</v>
      </c>
      <c r="H97" s="1147"/>
      <c r="I97" s="747"/>
      <c r="J97" s="459" t="str">
        <f>FHD_NOTE_P_59</f>
        <v/>
      </c>
      <c r="K97" s="713"/>
      <c r="AF97" s="1801">
        <v>0</v>
      </c>
    </row>
    <row r="98" ht="18.75" hidden="1" customHeight="1">
      <c r="A98" s="2541"/>
      <c r="D98" s="1808"/>
      <c r="E98" s="716" t="str">
        <f>FHD_NUM_P_60</f>
        <v/>
      </c>
      <c r="F98" s="2050" t="str">
        <f>FHD_P_60</f>
        <v/>
      </c>
      <c r="G98" s="2051" t="s">
        <v>587</v>
      </c>
      <c r="H98" s="1147"/>
      <c r="I98" s="747"/>
      <c r="J98" s="459" t="str">
        <f>FHD_NOTE_P_60</f>
        <v/>
      </c>
      <c r="K98" s="713"/>
      <c r="AF98" s="1801">
        <v>0</v>
      </c>
    </row>
    <row r="99" s="9217" customFormat="1" ht="18.75" customHeight="1">
      <c r="A99" s="2541" t="s">
        <v>591</v>
      </c>
      <c r="C99" s="1806"/>
      <c r="D99" s="1808"/>
      <c r="E99" s="716" t="str">
        <f>FHD_NUM_P_61</f>
        <v>7</v>
      </c>
      <c r="F99" s="2050" t="str">
        <f>FHD_P_61</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G99" s="2048" t="s">
        <v>562</v>
      </c>
      <c r="H99" s="1149"/>
      <c r="I99" s="912"/>
      <c r="J99" s="459" t="str">
        <f>FHD_NOTE_P_61</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13"/>
      <c r="L99" s="1806"/>
      <c r="M99" s="1806"/>
      <c r="R99" s="1806"/>
      <c r="U99" s="714"/>
      <c r="AA99" s="1802"/>
      <c r="AB99" s="1802"/>
      <c r="AC99" s="1802"/>
      <c r="AD99" s="1802"/>
      <c r="AE99" s="1802"/>
      <c r="AF99" s="1330">
        <v>0</v>
      </c>
    </row>
    <row r="100" s="9218" customFormat="1" ht="0.75" customHeight="1">
      <c r="A100" s="2541"/>
      <c r="D100" s="718"/>
      <c r="E100" s="1183" t="str">
        <f>E99&amp;".0"</f>
        <v>7.0</v>
      </c>
      <c r="F100" s="1164"/>
      <c r="G100" s="1165"/>
      <c r="H100" s="1162"/>
      <c r="I100" s="1162"/>
      <c r="J100" s="1166"/>
      <c r="AF100" s="1806">
        <v>0</v>
      </c>
    </row>
    <row r="101" ht="15" customHeight="1">
      <c r="A101" s="2541"/>
      <c r="D101" s="1803"/>
      <c r="E101" s="1141"/>
      <c r="F101" s="1142" t="s">
        <v>592</v>
      </c>
      <c r="G101" s="742"/>
      <c r="H101" s="743"/>
      <c r="I101" s="743"/>
      <c r="J101" s="1174" t="s">
        <v>593</v>
      </c>
      <c r="K101" s="713"/>
      <c r="AF101" s="1801">
        <v>0</v>
      </c>
    </row>
    <row r="102" s="9217" customFormat="1" ht="18.75" customHeight="1">
      <c r="A102" s="2541"/>
      <c r="C102" s="1806"/>
      <c r="D102" s="1808"/>
      <c r="E102" s="716" t="str">
        <f>FHD_NUM_P_62</f>
        <v>8</v>
      </c>
      <c r="F102" s="2050" t="str">
        <f>FHD_P_62</f>
        <v xml:space="preserve">Тепловая нагрузка по договорам, заключенным в рамках осуществления регулируемых видов деятельности</v>
      </c>
      <c r="G102" s="2047" t="s">
        <v>562</v>
      </c>
      <c r="H102" s="727"/>
      <c r="I102" s="727"/>
      <c r="J102" s="459" t="str">
        <f>FHD_NOTE_P_62</f>
        <v xml:space="preserve">Регулируемыми организациями указывается информация по договорам, заключенным в рамках осуществления регулируемых видов деятельности</v>
      </c>
      <c r="K102" s="713"/>
      <c r="L102" s="1806"/>
      <c r="M102" s="1806"/>
      <c r="R102" s="1806"/>
      <c r="U102" s="714"/>
      <c r="AA102" s="1802"/>
      <c r="AB102" s="1802"/>
      <c r="AC102" s="1802"/>
      <c r="AD102" s="1802"/>
      <c r="AE102" s="1802"/>
      <c r="AF102" s="1330">
        <v>0</v>
      </c>
    </row>
    <row r="103" s="9217" customFormat="1" ht="18.75" customHeight="1">
      <c r="A103" s="2541"/>
      <c r="C103" s="1806"/>
      <c r="D103" s="1808"/>
      <c r="E103" s="716" t="str">
        <f>FHD_NUM_P_63</f>
        <v>9</v>
      </c>
      <c r="F103" s="2050" t="str">
        <f>FHD_P_63</f>
        <v xml:space="preserve">Объем вырабатываемой регулируемой организацией тепловой энергии в рамках осуществления регулируемых видов деятельности</v>
      </c>
      <c r="G103" s="2047" t="s">
        <v>589</v>
      </c>
      <c r="H103" s="747"/>
      <c r="I103" s="747"/>
      <c r="J103" s="459" t="str">
        <f>FHD_NOTE_P_63</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K103" s="713"/>
      <c r="L103" s="1806"/>
      <c r="M103" s="1806"/>
      <c r="R103" s="1806"/>
      <c r="U103" s="714"/>
      <c r="AA103" s="1802"/>
      <c r="AB103" s="1802"/>
      <c r="AC103" s="1802"/>
      <c r="AD103" s="1802"/>
      <c r="AE103" s="1802"/>
      <c r="AF103" s="1330">
        <v>0</v>
      </c>
    </row>
    <row r="104" s="9217" customFormat="1" ht="18.75" customHeight="1">
      <c r="A104" s="2541"/>
      <c r="C104" s="1806" t="s">
        <v>594</v>
      </c>
      <c r="D104" s="1808"/>
      <c r="E104" s="716" t="str">
        <f>FHD_NUM_P_64</f>
        <v>9.1</v>
      </c>
      <c r="F104" s="2050" t="str">
        <f>FHD_P_64</f>
        <v xml:space="preserve">Объем приобретаемой регулируемой организацией тепловой энергии в рамках осуществления регулируемых видов деятельности</v>
      </c>
      <c r="G104" s="2047" t="s">
        <v>589</v>
      </c>
      <c r="H104" s="715"/>
      <c r="I104" s="715"/>
      <c r="J104" s="459" t="str">
        <f>FHD_NOTE_P_64</f>
        <v xml:space="preserve">Информация указывается только едиными теплоснабжающими организациями.</v>
      </c>
      <c r="K104" s="713"/>
      <c r="L104" s="1806"/>
      <c r="M104" s="1806"/>
      <c r="R104" s="1806"/>
      <c r="U104" s="714"/>
      <c r="AA104" s="1802"/>
      <c r="AB104" s="1802"/>
      <c r="AC104" s="1802"/>
      <c r="AD104" s="1802"/>
      <c r="AE104" s="1802"/>
      <c r="AF104" s="1330">
        <v>0</v>
      </c>
    </row>
    <row r="105" s="9217" customFormat="1" ht="18.75" customHeight="1">
      <c r="A105" s="2541"/>
      <c r="C105" s="1806"/>
      <c r="D105" s="1808"/>
      <c r="E105" s="716" t="str">
        <f>FHD_NUM_P_65</f>
        <v>10</v>
      </c>
      <c r="F105" s="2050" t="str">
        <f>FHD_P_65</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047" t="s">
        <v>589</v>
      </c>
      <c r="H105" s="747"/>
      <c r="I105" s="747"/>
      <c r="J105" s="459" t="str">
        <f>FHD_NOTE_P_65</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13"/>
      <c r="L105" s="1806"/>
      <c r="M105" s="1806"/>
      <c r="R105" s="1806"/>
      <c r="U105" s="714"/>
      <c r="AA105" s="1802"/>
      <c r="AB105" s="1802"/>
      <c r="AC105" s="1802"/>
      <c r="AD105" s="1802"/>
      <c r="AE105" s="1802"/>
      <c r="AF105" s="1330">
        <v>0</v>
      </c>
    </row>
    <row r="106" s="9217" customFormat="1" ht="18.75" customHeight="1">
      <c r="A106" s="2541"/>
      <c r="C106" s="1806"/>
      <c r="D106" s="1808"/>
      <c r="E106" s="716" t="str">
        <f>FHD_NUM_P_66</f>
        <v>10.1</v>
      </c>
      <c r="F106" s="1694" t="str">
        <f>FHD_P_66</f>
        <v xml:space="preserve">По приборам учёта</v>
      </c>
      <c r="G106" s="2047" t="s">
        <v>589</v>
      </c>
      <c r="H106" s="747"/>
      <c r="I106" s="747"/>
      <c r="J106" s="459" t="str">
        <f>FHD_NOTE_P_66</f>
        <v/>
      </c>
      <c r="K106" s="713"/>
      <c r="L106" s="1806"/>
      <c r="M106" s="1806"/>
      <c r="R106" s="1806"/>
      <c r="U106" s="714"/>
      <c r="AA106" s="1802"/>
      <c r="AB106" s="1802"/>
      <c r="AC106" s="1802"/>
      <c r="AD106" s="1802"/>
      <c r="AE106" s="1802"/>
      <c r="AF106" s="1330">
        <v>0</v>
      </c>
    </row>
    <row r="107" s="9217" customFormat="1" ht="18.75" customHeight="1">
      <c r="A107" s="2541"/>
      <c r="C107" s="1806"/>
      <c r="D107" s="1808"/>
      <c r="E107" s="716" t="str">
        <f>FHD_NUM_P_67</f>
        <v>10.1.1</v>
      </c>
      <c r="F107" s="1820" t="str">
        <f>FHD_P_67</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047" t="s">
        <v>589</v>
      </c>
      <c r="H107" s="747"/>
      <c r="I107" s="747"/>
      <c r="J107" s="459" t="str">
        <f>FHD_NOTE_P_67</f>
        <v/>
      </c>
      <c r="K107" s="713"/>
      <c r="L107" s="1806"/>
      <c r="M107" s="1806"/>
      <c r="R107" s="1806"/>
      <c r="U107" s="714"/>
      <c r="AA107" s="1802"/>
      <c r="AB107" s="1802"/>
      <c r="AC107" s="1802"/>
      <c r="AD107" s="1802"/>
      <c r="AE107" s="1802"/>
      <c r="AF107" s="1330">
        <v>0</v>
      </c>
    </row>
    <row r="108" s="9217" customFormat="1" ht="18.75" customHeight="1">
      <c r="A108" s="2541"/>
      <c r="C108" s="1806"/>
      <c r="D108" s="1808"/>
      <c r="E108" s="716" t="str">
        <f>FHD_NUM_P_68</f>
        <v>10.2</v>
      </c>
      <c r="F108" s="1694" t="str">
        <f>FHD_P_68</f>
        <v xml:space="preserve">Расчётным путём</v>
      </c>
      <c r="G108" s="2047" t="s">
        <v>589</v>
      </c>
      <c r="H108" s="747"/>
      <c r="I108" s="747"/>
      <c r="J108" s="459" t="str">
        <f>FHD_NOTE_P_68</f>
        <v/>
      </c>
      <c r="K108" s="713"/>
      <c r="L108" s="1806"/>
      <c r="M108" s="1806"/>
      <c r="R108" s="1806"/>
      <c r="U108" s="714"/>
      <c r="AA108" s="1802"/>
      <c r="AB108" s="1802"/>
      <c r="AC108" s="1802"/>
      <c r="AD108" s="1802"/>
      <c r="AE108" s="1802"/>
      <c r="AF108" s="1330">
        <v>0</v>
      </c>
    </row>
    <row r="109" s="9217" customFormat="1" ht="18.75" customHeight="1">
      <c r="A109" s="2541"/>
      <c r="C109" s="1806"/>
      <c r="D109" s="1808"/>
      <c r="E109" s="716" t="str">
        <f>FHD_NUM_P_69</f>
        <v>10.3</v>
      </c>
      <c r="F109" s="1694" t="str">
        <f>FHD_P_69</f>
        <v xml:space="preserve">По нормативам потребления коммунальных услуг и нормативам потребления коммунальных ресурсов</v>
      </c>
      <c r="G109" s="2047" t="s">
        <v>589</v>
      </c>
      <c r="H109" s="747"/>
      <c r="I109" s="747"/>
      <c r="J109" s="459" t="str">
        <f>FHD_NOTE_P_69</f>
        <v/>
      </c>
      <c r="K109" s="713"/>
      <c r="L109" s="1806"/>
      <c r="M109" s="1806"/>
      <c r="R109" s="1806"/>
      <c r="U109" s="714"/>
      <c r="AA109" s="1802"/>
      <c r="AB109" s="1802"/>
      <c r="AC109" s="1802"/>
      <c r="AD109" s="1802"/>
      <c r="AE109" s="1802"/>
      <c r="AF109" s="1330">
        <v>0</v>
      </c>
    </row>
    <row r="110" s="9217" customFormat="1" ht="22.5" customHeight="1">
      <c r="A110" s="2541"/>
      <c r="C110" s="1806"/>
      <c r="D110" s="1808"/>
      <c r="E110" s="716" t="str">
        <f>FHD_NUM_P_70</f>
        <v>11</v>
      </c>
      <c r="F110" s="2050" t="str">
        <f>FHD_P_70</f>
        <v xml:space="preserve">Нормативы технологических потерь при передаче тепловой энергии, теплоносителя по тепловым сетям, утвержденные уполномоченным органом</v>
      </c>
      <c r="G110" s="2047" t="s">
        <v>595</v>
      </c>
      <c r="H110" s="727"/>
      <c r="I110" s="727"/>
      <c r="J110" s="459" t="str">
        <f>FHD_NOTE_P_70</f>
        <v/>
      </c>
      <c r="K110" s="713"/>
      <c r="L110" s="1806"/>
      <c r="M110" s="1806"/>
      <c r="R110" s="1806"/>
      <c r="U110" s="714"/>
      <c r="AA110" s="1802"/>
      <c r="AB110" s="1802"/>
      <c r="AC110" s="1802"/>
      <c r="AD110" s="1802"/>
      <c r="AE110" s="1802"/>
      <c r="AF110" s="1330">
        <v>0</v>
      </c>
    </row>
    <row r="111" s="9217" customFormat="1" ht="22.5" customHeight="1">
      <c r="A111" s="2541"/>
      <c r="C111" s="1806"/>
      <c r="D111" s="1808"/>
      <c r="E111" s="716" t="str">
        <f>FHD_NUM_P_71</f>
        <v>12</v>
      </c>
      <c r="F111" s="2050" t="str">
        <f>FHD_P_71</f>
        <v xml:space="preserve">Фактический объем потерь при передаче тепловой энергии</v>
      </c>
      <c r="G111" s="2047" t="s">
        <v>595</v>
      </c>
      <c r="H111" s="727"/>
      <c r="I111" s="727"/>
      <c r="J111" s="459" t="str">
        <f>FHD_NOTE_P_71</f>
        <v/>
      </c>
      <c r="K111" s="713"/>
      <c r="L111" s="1806"/>
      <c r="M111" s="1806"/>
      <c r="R111" s="1806"/>
      <c r="U111" s="714"/>
      <c r="AA111" s="1802"/>
      <c r="AB111" s="1802"/>
      <c r="AC111" s="1802"/>
      <c r="AD111" s="1802"/>
      <c r="AE111" s="1802"/>
      <c r="AF111" s="1330">
        <v>0</v>
      </c>
    </row>
    <row r="112" ht="19.949999999999999" customHeight="1">
      <c r="D112" s="1808"/>
      <c r="E112" s="716" t="str">
        <f>FHD_NUM_P_72</f>
        <v>13</v>
      </c>
      <c r="F112" s="2050" t="str">
        <f>FHD_P_72</f>
        <v xml:space="preserve">Среднесписочная численность основного производственного персонала</v>
      </c>
      <c r="G112" s="2046" t="s">
        <v>596</v>
      </c>
      <c r="H112" s="747"/>
      <c r="I112" s="747"/>
      <c r="J112" s="459" t="str">
        <f>FHD_NOTE_P_72</f>
        <v/>
      </c>
      <c r="K112" s="713"/>
      <c r="AF112" s="1801">
        <v>19</v>
      </c>
    </row>
    <row r="113" ht="18.75" customHeight="1">
      <c r="A113" s="1159" t="s">
        <v>597</v>
      </c>
      <c r="D113" s="1808"/>
      <c r="E113" s="716" t="str">
        <f>FHD_NUM_P_73</f>
        <v>14</v>
      </c>
      <c r="F113" s="2050" t="str">
        <f>FHD_P_73</f>
        <v xml:space="preserve">Среднесписочная численность административно-управленческого персонала</v>
      </c>
      <c r="G113" s="1140" t="s">
        <v>596</v>
      </c>
      <c r="H113" s="1138"/>
      <c r="I113" s="1138"/>
      <c r="J113" s="459" t="str">
        <f>FHD_NOTE_P_73</f>
        <v/>
      </c>
      <c r="K113" s="713"/>
      <c r="AF113" s="1801">
        <v>0</v>
      </c>
    </row>
    <row r="114" ht="33.75" hidden="1" customHeight="1">
      <c r="A114" s="1159" t="s">
        <v>598</v>
      </c>
      <c r="D114" s="1808"/>
      <c r="E114" s="716" t="str">
        <f>FHD_NUM_P_74</f>
        <v/>
      </c>
      <c r="F114" s="2050" t="str">
        <f>FHD_P_74</f>
        <v/>
      </c>
      <c r="G114" s="2046" t="s">
        <v>599</v>
      </c>
      <c r="H114" s="747"/>
      <c r="I114" s="747"/>
      <c r="J114" s="459" t="str">
        <f>FHD_NOTE_P_74</f>
        <v/>
      </c>
      <c r="K114" s="713"/>
      <c r="AF114" s="1801">
        <v>0</v>
      </c>
    </row>
    <row r="115" s="9138" customFormat="1" ht="18.75" hidden="1" customHeight="1">
      <c r="A115" s="2543" t="s">
        <v>600</v>
      </c>
      <c r="B115" s="1080"/>
      <c r="C115" s="905"/>
      <c r="D115" s="903"/>
      <c r="E115" s="716" t="str">
        <f>FHD_NUM_P_75</f>
        <v/>
      </c>
      <c r="F115" s="2050" t="str">
        <f>FHD_P_75</f>
        <v/>
      </c>
      <c r="G115" s="2046" t="s">
        <v>564</v>
      </c>
      <c r="H115" s="727"/>
      <c r="I115" s="727"/>
      <c r="J115" s="459" t="str">
        <f>FHD_NOTE_P_75</f>
        <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r="116" s="9138" customFormat="1" ht="18.75" hidden="1" customHeight="1">
      <c r="A116" s="2543"/>
      <c r="B116" s="1080"/>
      <c r="C116" s="905"/>
      <c r="D116" s="903"/>
      <c r="E116" s="716" t="str">
        <f>FHD_NUM_P_76</f>
        <v/>
      </c>
      <c r="F116" s="2050" t="str">
        <f>FHD_P_76</f>
        <v/>
      </c>
      <c r="G116" s="2046" t="s">
        <v>564</v>
      </c>
      <c r="H116" s="727"/>
      <c r="I116" s="727"/>
      <c r="J116" s="459" t="str">
        <f>FHD_NOTE_P_76</f>
        <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r="117" s="9138" customFormat="1" ht="18.75" hidden="1" customHeight="1">
      <c r="A117" s="2543"/>
      <c r="B117" s="1080"/>
      <c r="C117" s="905"/>
      <c r="D117" s="903"/>
      <c r="E117" s="716" t="str">
        <f>FHD_NUM_P_77</f>
        <v/>
      </c>
      <c r="F117" s="2050" t="str">
        <f>FHD_P_77</f>
        <v/>
      </c>
      <c r="G117" s="2046" t="s">
        <v>564</v>
      </c>
      <c r="H117" s="727"/>
      <c r="I117" s="727"/>
      <c r="J117" s="459" t="str">
        <f>FHD_NOTE_P_77</f>
        <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r="118" s="9218" customFormat="1" ht="0.75" hidden="1" customHeight="1">
      <c r="A118" s="2543"/>
      <c r="D118" s="718"/>
      <c r="E118" s="1183" t="str">
        <f>E117&amp;".0"</f>
        <v>.0</v>
      </c>
      <c r="F118" s="1167"/>
      <c r="G118" s="1821"/>
      <c r="H118" s="1162"/>
      <c r="I118" s="1162"/>
      <c r="J118" s="1166"/>
      <c r="AF118" s="1806">
        <v>0</v>
      </c>
    </row>
    <row r="119" s="9138" customFormat="1" ht="15" hidden="1" customHeight="1">
      <c r="A119" s="2543"/>
      <c r="B119" s="1080"/>
      <c r="C119" s="905"/>
      <c r="D119" s="916"/>
      <c r="E119" s="1143"/>
      <c r="F119" s="1144" t="s">
        <v>601</v>
      </c>
      <c r="G119" s="917"/>
      <c r="H119" s="918"/>
      <c r="I119" s="918"/>
      <c r="J119" s="1173" t="s">
        <v>602</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r="120" ht="22.5" customHeight="1">
      <c r="A120" s="2541" t="s">
        <v>603</v>
      </c>
      <c r="D120" s="1808"/>
      <c r="E120" s="716" t="str">
        <f>FHD_NUM_P_78</f>
        <v>15</v>
      </c>
      <c r="F120" s="2050" t="str">
        <f>FHD_P_78</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047" t="s">
        <v>566</v>
      </c>
      <c r="H120" s="747"/>
      <c r="I120" s="747"/>
      <c r="J120" s="459" t="str">
        <f>FHD_NOTE_P_78</f>
        <v/>
      </c>
      <c r="K120" s="713"/>
      <c r="AF120" s="1801">
        <v>0</v>
      </c>
    </row>
    <row r="121" s="9218" customFormat="1" ht="0.75" customHeight="1">
      <c r="A121" s="2541"/>
      <c r="D121" s="718"/>
      <c r="E121" s="1183" t="str">
        <f>E120&amp;".0"</f>
        <v>15.0</v>
      </c>
      <c r="F121" s="1167"/>
      <c r="G121" s="1821"/>
      <c r="H121" s="1162"/>
      <c r="I121" s="1162"/>
      <c r="J121" s="1166"/>
      <c r="AF121" s="1806">
        <v>0</v>
      </c>
    </row>
    <row r="122" ht="15" customHeight="1">
      <c r="A122" s="2541"/>
      <c r="D122" s="1803"/>
      <c r="E122" s="740"/>
      <c r="F122" s="1338" t="s">
        <v>592</v>
      </c>
      <c r="G122" s="742"/>
      <c r="H122" s="743"/>
      <c r="I122" s="743"/>
      <c r="J122" s="1174" t="s">
        <v>604</v>
      </c>
      <c r="K122" s="713"/>
      <c r="AF122" s="1801">
        <v>0</v>
      </c>
    </row>
    <row r="123" ht="22.5" customHeight="1">
      <c r="A123" s="2541"/>
      <c r="D123" s="1808"/>
      <c r="E123" s="716" t="str">
        <f>FHD_NUM_P_79</f>
        <v>16</v>
      </c>
      <c r="F123" s="2050" t="str">
        <f>FHD_P_79</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048" t="s">
        <v>568</v>
      </c>
      <c r="H123" s="747"/>
      <c r="I123" s="747"/>
      <c r="J123" s="459" t="str">
        <f>FHD_NOTE_P_79</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13"/>
      <c r="AF123" s="1801">
        <v>0</v>
      </c>
    </row>
    <row r="124" s="9218" customFormat="1" ht="0.75" customHeight="1">
      <c r="A124" s="2541"/>
      <c r="D124" s="718"/>
      <c r="E124" s="1183" t="str">
        <f>E123&amp;".0"</f>
        <v>16.0</v>
      </c>
      <c r="F124" s="1168"/>
      <c r="G124" s="1821"/>
      <c r="H124" s="1162"/>
      <c r="I124" s="1162"/>
      <c r="J124" s="1166"/>
      <c r="AF124" s="1806">
        <v>0</v>
      </c>
    </row>
    <row r="125" ht="15" customHeight="1">
      <c r="A125" s="2541"/>
      <c r="D125" s="1803"/>
      <c r="E125" s="740"/>
      <c r="F125" s="1338" t="s">
        <v>592</v>
      </c>
      <c r="G125" s="742"/>
      <c r="H125" s="743"/>
      <c r="I125" s="743"/>
      <c r="J125" s="1174" t="s">
        <v>605</v>
      </c>
      <c r="K125" s="713"/>
      <c r="AF125" s="1801">
        <v>0</v>
      </c>
    </row>
    <row r="126" ht="22.5" customHeight="1">
      <c r="A126" s="2541"/>
      <c r="D126" s="1808"/>
      <c r="E126" s="716" t="str">
        <f>FHD_NUM_P_80</f>
        <v>17</v>
      </c>
      <c r="F126" s="2050" t="str">
        <f>FHD_P_80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048" t="s">
        <v>606</v>
      </c>
      <c r="H126" s="727"/>
      <c r="I126" s="727"/>
      <c r="J126" s="459" t="str">
        <f>FHD_NOTE_P_80</f>
        <v xml:space="preserve">Регулируемыми организациями указывается информация с по договорам, заключенным в рамках осуществления регулируемой деятельности.</v>
      </c>
      <c r="K126" s="713"/>
      <c r="AF126" s="1801">
        <v>0</v>
      </c>
    </row>
    <row r="127" ht="18.75" customHeight="1">
      <c r="A127" s="2541"/>
      <c r="D127" s="1808"/>
      <c r="E127" s="716" t="str">
        <f>FHD_NUM_P_81</f>
        <v>18</v>
      </c>
      <c r="F127" s="2050" t="str">
        <f>FHD_P_81</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048" t="s">
        <v>607</v>
      </c>
      <c r="H127" s="727"/>
      <c r="I127" s="727"/>
      <c r="J127" s="459" t="str">
        <f>FHD_NOTE_P_81</f>
        <v xml:space="preserve">Регулируемыми организациями указывается информация с по договорам, заключенным в рамках осуществления регулируемой деятельности.</v>
      </c>
      <c r="K127" s="713"/>
      <c r="AF127" s="1801">
        <v>0</v>
      </c>
    </row>
    <row r="128" ht="18.75" customHeight="1">
      <c r="A128" s="2541"/>
      <c r="C128" s="1806" t="s">
        <v>594</v>
      </c>
      <c r="D128" s="1808"/>
      <c r="E128" s="716" t="str">
        <f>FHD_NUM_P_82</f>
        <v>19</v>
      </c>
      <c r="F128" s="2050" t="str">
        <f>FHD_P_82</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048" t="s">
        <v>313</v>
      </c>
      <c r="H128" s="571"/>
      <c r="I128" s="571"/>
      <c r="J128" s="459" t="str">
        <f>FHD_NOTE_P_82</f>
        <v xml:space="preserve">Указывается ссылка на документ, предварительно загруженный в хранилище файлов ФГИС ЕИАС.</v>
      </c>
      <c r="K128" s="713"/>
      <c r="AF128" s="1801">
        <v>0</v>
      </c>
    </row>
    <row r="129" ht="18.75" customHeight="1">
      <c r="A129" s="2541"/>
      <c r="C129" s="1806" t="s">
        <v>594</v>
      </c>
      <c r="D129" s="1808"/>
      <c r="E129" s="716" t="str">
        <f>FHD_NUM_P_83</f>
        <v>19.1</v>
      </c>
      <c r="F129" s="1694" t="str">
        <f>FHD_P_83</f>
        <v xml:space="preserve">Информация о показателях физического износа объектов теплоснабжения</v>
      </c>
      <c r="G129" s="2048" t="s">
        <v>313</v>
      </c>
      <c r="H129" s="571"/>
      <c r="I129" s="571"/>
      <c r="J129" s="459" t="str">
        <f>FHD_NOTE_P_83</f>
        <v xml:space="preserve">Указывается ссылка на документ, предварительно загруженный в хранилище файлов ФГИС ЕИАС.</v>
      </c>
      <c r="K129" s="713"/>
      <c r="AF129" s="1801">
        <v>0</v>
      </c>
    </row>
    <row r="130" ht="18.75" customHeight="1">
      <c r="A130" s="2541"/>
      <c r="C130" s="1806" t="s">
        <v>594</v>
      </c>
      <c r="D130" s="1808"/>
      <c r="E130" s="716" t="str">
        <f>FHD_NUM_P_84</f>
        <v>19.2</v>
      </c>
      <c r="F130" s="1694" t="str">
        <f>FHD_P_84</f>
        <v xml:space="preserve">Информация о показателях энергетической эффективности объектов теплоснабжения</v>
      </c>
      <c r="G130" s="2048" t="s">
        <v>313</v>
      </c>
      <c r="H130" s="571"/>
      <c r="I130" s="571"/>
      <c r="J130" s="459" t="str">
        <f>FHD_NOTE_P_84</f>
        <v xml:space="preserve">Указывается ссылка на документ, предварительно загруженный в хранилище файлов ФГИС ЕИАС.</v>
      </c>
      <c r="K130" s="713"/>
      <c r="AF130" s="1801">
        <v>0</v>
      </c>
    </row>
    <row r="131" ht="11.5" customHeight="1">
      <c r="D131" s="1808"/>
      <c r="AF131" s="1801">
        <v>11</v>
      </c>
    </row>
    <row r="132" ht="13.5" customHeight="1">
      <c r="D132" s="1808"/>
      <c r="E132" s="506"/>
      <c r="F132" s="539"/>
      <c r="G132" s="539"/>
      <c r="H132" s="539"/>
      <c r="I132" s="1817"/>
      <c r="J132" s="751"/>
      <c r="AF132" s="1801">
        <v>13</v>
      </c>
    </row>
    <row r="133" s="9831" customFormat="1" ht="11.5" customHeight="1">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r="134" s="9831" customFormat="1" ht="11.5" customHeight="1">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r="135" s="9831" customFormat="1" ht="11.5" customHeight="1">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r="136" s="9831" customFormat="1" ht="11.5" customHeight="1">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r="137" s="9831" customFormat="1" ht="11.5" customHeight="1">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r="138" s="9831" customFormat="1" ht="11.5" customHeight="1">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r="139" s="9831" customFormat="1" ht="11.5" customHeight="1">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r="140" s="9831" customFormat="1" ht="11.5" customHeight="1">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r="141" s="9831" customFormat="1" ht="11.5" customHeight="1">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r="142" s="9831" customFormat="1" ht="11.5" customHeight="1">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r="143" s="9831" customFormat="1" ht="11.5" customHeight="1">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r="144" s="9831" customFormat="1" ht="11.5" customHeight="1">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r="145" s="9831" customFormat="1" ht="11.5" customHeight="1">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r="146" s="9831" customFormat="1" ht="11.5" customHeight="1">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r="147" s="9831" customFormat="1" ht="11.5" customHeight="1">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r="148" s="9831" customFormat="1" ht="11.5" customHeight="1">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r="149" s="9831" customFormat="1" ht="11.5" customHeight="1">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r="150" s="9831" customFormat="1" ht="11.5" customHeight="1">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r="151" s="9831" customFormat="1" ht="11.5" customHeight="1">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r="152" s="9831" customFormat="1" ht="11.5" customHeight="1">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r="153" s="9831" customFormat="1" ht="11.5" customHeight="1">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r="154" s="9831" customFormat="1" ht="11.5" customHeight="1">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r="155" s="9831" customFormat="1" ht="11.5" customHeight="1">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r="156" s="9831" customFormat="1" ht="11.5" customHeight="1">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r="157" s="9831" customFormat="1" ht="11.5" customHeight="1">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r="158" s="9831" customFormat="1" ht="11.5" customHeight="1">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r="159" s="9831" customFormat="1" ht="11.5" customHeight="1">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r="160" s="9831" customFormat="1" ht="11.5" customHeight="1">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r="161" s="9831" customFormat="1" ht="11.5" customHeight="1">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r="162" s="9831" customFormat="1" ht="11.5" customHeight="1">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r="163" s="9831" customFormat="1" ht="11.5" customHeight="1">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r="164" s="9831" customFormat="1" ht="11.5" customHeight="1">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r="165" s="9831" customFormat="1" ht="11.5" customHeight="1">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r="166" s="9831" customFormat="1" ht="11.5" customHeight="1">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r="167" s="9831" customFormat="1" ht="11.5" customHeight="1">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r="168" s="9831" customFormat="1" ht="11.5" customHeight="1">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r="169" s="9831" customFormat="1" ht="11.5" customHeight="1">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r="170" s="9831" customFormat="1" ht="11.5" customHeight="1">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r="171" s="9831" customFormat="1" ht="11.5" customHeight="1">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r="172" s="9831" customFormat="1" ht="11.5" customHeight="1">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r="173" s="9831" customFormat="1" ht="11.5" customHeight="1">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r="174" s="9831" customFormat="1" ht="11.5" customHeight="1">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r="175" s="9831" customFormat="1" ht="11.5" customHeight="1">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r="176" s="9831" customFormat="1" ht="11.5" customHeight="1">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r="177" s="9831" customFormat="1" ht="11.5" customHeight="1">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r="178" s="9831" customFormat="1" ht="11.5" customHeight="1">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r="179" s="9831" customFormat="1" ht="11.5" customHeight="1">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r="180" s="9831" customFormat="1" ht="11.5" customHeight="1">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r="181" s="9831" customFormat="1" ht="11.5" customHeight="1">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r="182" s="9831" customFormat="1" ht="11.5" customHeight="1">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r="183" s="9831" customFormat="1" ht="11.5" customHeight="1">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r="184" s="9831" customFormat="1" ht="11.5" customHeight="1">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r="185" s="9831" customFormat="1" ht="11.5" customHeight="1">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r="186" s="9831" customFormat="1" ht="11.5" customHeight="1">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r="187" s="9831" customFormat="1" ht="11.5" customHeight="1">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r="188" s="9831" customFormat="1" ht="11.5" customHeight="1">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r="189" s="9831" customFormat="1" ht="11.5" customHeight="1">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r="190" s="9831" customFormat="1" ht="11.5" customHeight="1">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r="191" s="9831" customFormat="1" ht="11.5" customHeight="1">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r="192" s="9831" customFormat="1" ht="11.5" customHeight="1">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r="193" s="9831" customFormat="1" ht="11.5" customHeight="1">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r="194" s="9831" customFormat="1" ht="11.5" customHeight="1">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r="195" s="9831" customFormat="1" ht="11.5" customHeight="1">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r="196" s="9831" customFormat="1" ht="11.5" customHeight="1">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r="197" s="9831" customFormat="1" ht="11.5" customHeight="1">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r="198" s="9831" customFormat="1" ht="11.5" customHeight="1">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r="199" s="9831" customFormat="1" ht="11.5" customHeight="1">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r="200" s="9831" customFormat="1" ht="11.5" customHeight="1">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r="201" s="9831" customFormat="1" ht="11.5" customHeight="1">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r="202" s="9831" customFormat="1" ht="11.5" customHeight="1">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r="203" s="9831" customFormat="1" ht="11.5" customHeight="1">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r="204" s="9831" customFormat="1" ht="11.5" customHeight="1">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r="205" s="9831" customFormat="1" ht="11.5" customHeight="1">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r="206" s="9831" customFormat="1" ht="11.5" customHeight="1">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r="207" s="9831" customFormat="1" ht="11.5" customHeight="1">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r="208" s="9831" customFormat="1" ht="11.5" customHeight="1">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r="209" s="9831" customFormat="1" ht="11.5" customHeight="1">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r="210" s="9831" customFormat="1" ht="11.5" customHeight="1">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r="211" s="9831" customFormat="1" ht="11.5" customHeight="1">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r="212" s="9831" customFormat="1" ht="11.5" customHeight="1">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r="213" s="9831" customFormat="1" ht="11.5" customHeight="1">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r="214" s="9831" customFormat="1" ht="11.5" customHeight="1">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r="215" s="9831" customFormat="1" ht="11.5" customHeight="1">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r="216" s="9831" customFormat="1" ht="11.5" customHeight="1">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r="217" s="9831" customFormat="1" ht="11.5" customHeight="1">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r="218" s="9831" customFormat="1" ht="11.5" customHeight="1">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r="219" s="9831" customFormat="1" ht="11.5" customHeight="1">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r="220" s="9831" customFormat="1" ht="11.5" customHeight="1">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r="221" s="9831" customFormat="1" ht="11.5" customHeight="1">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r="222" s="9831" customFormat="1" ht="11.5" customHeight="1">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r="223" s="9831" customFormat="1" ht="11.5" customHeight="1">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r="224" s="9831" customFormat="1" ht="11.5" customHeight="1">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r="225" s="9831" customFormat="1" ht="11.5" customHeight="1">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r="226" s="9831" customFormat="1" ht="11.5" customHeight="1">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r="227" s="9831" customFormat="1" ht="11.5" customHeight="1">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r="228" s="9831" customFormat="1" ht="11.5" customHeight="1">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r="229" s="9831" customFormat="1" ht="11.5" customHeight="1">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r="230" s="9831" customFormat="1" ht="11.5" customHeight="1">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r="231" s="9831" customFormat="1" ht="11.5" customHeight="1">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r="232" s="9831" customFormat="1" ht="11.5" customHeight="1">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r="233" s="9831" customFormat="1" ht="11.5" customHeight="1">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r="234" s="9831" customFormat="1" ht="11.5" customHeight="1">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r="235" s="9831" customFormat="1" ht="11.5" customHeight="1">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r="236" s="9831" customFormat="1" ht="11.5" customHeight="1">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r="237" s="9831" customFormat="1" ht="11.5" customHeight="1">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r="238" s="9831" customFormat="1" ht="11.5" customHeight="1">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r="239" s="9831" customFormat="1" ht="11.5" customHeight="1">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r="240" s="9831" customFormat="1" ht="11.5" customHeight="1">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r="241" s="9831" customFormat="1" ht="11.5" customHeight="1">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r="242" s="9831" customFormat="1" ht="11.5" customHeight="1">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r="243" s="9831" customFormat="1" ht="11.5" customHeight="1">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r="244" s="9831" customFormat="1" ht="11.5" customHeight="1">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r="245" s="9831" customFormat="1" ht="11.5" customHeight="1">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r="246" s="9831" customFormat="1" ht="11.5" customHeight="1">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r="247" s="9831" customFormat="1" ht="11.5" customHeight="1">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r="248" s="9831" customFormat="1" ht="11.5" customHeight="1">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r="249" s="9831" customFormat="1" ht="11.5" customHeight="1">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r="250" s="9831" customFormat="1" ht="11.5" customHeight="1">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r="251" s="9831" customFormat="1" ht="11.5" customHeight="1">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r="252" s="9831" customFormat="1" ht="11.5" customHeight="1">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r="253" s="9831" customFormat="1" ht="11.5" customHeight="1">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r="254" s="9831" customFormat="1" ht="11.5" customHeight="1">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r="255" s="9831" customFormat="1" ht="11.5" customHeight="1">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r="256" s="9831" customFormat="1" ht="11.5" customHeight="1">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r="257" s="9831" customFormat="1" ht="11.5" customHeight="1">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r="258" s="9831" customFormat="1" ht="11.5" customHeight="1">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r="259" s="9831" customFormat="1" ht="11.5" customHeight="1">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r="260" s="9831" customFormat="1" ht="11.5" customHeight="1">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r="261" s="9831" customFormat="1" ht="11.5" customHeight="1">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r="262" s="9831" customFormat="1" ht="11.5" customHeight="1">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r="263" s="9831" customFormat="1" ht="11.5" customHeight="1">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r="264" s="9831" customFormat="1" ht="11.5" customHeight="1">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r="265" s="9831" customFormat="1" ht="11.5" customHeight="1">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r="266" s="9831" customFormat="1" ht="11.5" customHeight="1">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r="267" s="9831" customFormat="1" ht="11.5" customHeight="1">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r="268" s="9831" customFormat="1" ht="11.5" customHeight="1">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r="269" s="9831" customFormat="1" ht="11.5" customHeight="1">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r="270" s="9831" customFormat="1" ht="11.5" customHeight="1">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r="271" s="9831" customFormat="1" ht="11.5" customHeight="1">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r="272" s="9831" customFormat="1" ht="11.5" customHeight="1">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r="273" s="9831" customFormat="1" ht="11.5" customHeight="1">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r="274" s="9831" customFormat="1" ht="11.5" customHeight="1">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r="275" s="9831" customFormat="1" ht="11.5" customHeight="1">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r="276" s="9831" customFormat="1" ht="11.5" customHeight="1">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r="277" s="9831" customFormat="1" ht="11.5" customHeight="1">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r="278" s="9831" customFormat="1" ht="11.5" customHeight="1">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r="279" s="9831" customFormat="1" ht="11.5" customHeight="1">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r="280" s="9831" customFormat="1" ht="11.5" customHeight="1">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r="281" s="9831" customFormat="1" ht="11.5" customHeight="1">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r="282" s="9831" customFormat="1" ht="11.5" customHeight="1">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r="283" s="9831" customFormat="1" ht="11.5" customHeight="1">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r="284" s="9831" customFormat="1" ht="11.5" customHeight="1">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r="285" s="9831" customFormat="1" ht="11.5" customHeight="1">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r="286" s="9831" customFormat="1" ht="11.5" customHeight="1">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r="287" s="9831" customFormat="1" ht="11.5" customHeight="1">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r="288" s="9831" customFormat="1" ht="11.5" customHeight="1">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r="289" ht="11.5" customHeight="1">
      <c r="AF289" s="1801">
        <v>11</v>
      </c>
    </row>
    <row r="290" ht="11.5" customHeight="1">
      <c r="AF290" s="1801">
        <v>11</v>
      </c>
    </row>
    <row r="291" ht="11.5" customHeight="1">
      <c r="AF291" s="1801">
        <v>11</v>
      </c>
    </row>
    <row r="292" ht="11.5" customHeight="1">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r="293" ht="11.5" customHeight="1">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r="294" ht="11.5" customHeight="1">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r="295" ht="11.5" customHeight="1">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r="296" ht="11.5" customHeight="1">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r="297" ht="11.5" customHeight="1">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r="298" ht="11.5" customHeight="1">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r="299" ht="11.5" customHeight="1">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r="300" ht="11.5" customHeight="1">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r="301" ht="11.5" customHeight="1">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r="302" ht="11.5" customHeight="1">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r="303" ht="11.25" hidden="1" customHeight="1">
      <c r="A303" s="1157" t="s">
        <v>83</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autoFilter="0" deleteColumns="1" deleteRows="1" formatColumns="0" formatRows="0" insertColumns="1" insertRows="1" sheet="1" sort="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
    <dataValidation sqref="H68:I68 H66:I66" allowBlank="1" prompt="Для выбора выполните двойной щелчок левой клавиши мыши по соответствующей ячейке."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1">
        <x14:dataValidation xr:uid="{000C006A-0066-45A9-96AC-00E10020004B}" type="list" allowBlank="1" error="Выберите значение из списка" errorTitle="Ошибка" prompt="Выберите значение из списка" showErrorMessage="1" showInputMessage="1">
          <x14:formula1>
            <xm:f>kind_of_purchase_method</xm:f>
          </x14:formula1>
          <xm:sqref>H7:I7</xm:sqref>
        </x14:dataValidation>
        <x14:dataValidation xr:uid="{00F100D9-0092-47CC-A410-00ED00D500DA}"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F12 F10 H70:I70</xm:sqref>
        </x14:dataValidation>
        <x14:dataValidation xr:uid="{004F0000-0090-4247-A105-0067008B00D7}" type="textLength" allowBlank="1" error="Допускается ввод не более 900 символов!" errorTitle="Ошибка" operator="lessThanOrEqual" showErrorMessage="1" showInputMessage="1">
          <x14:formula1>
            <xm:f>900</xm:f>
          </x14:formula1>
          <xm:sqref>G4 H34:I34 H39:I39</xm:sqref>
        </x14:dataValidation>
        <x14:dataValidation xr:uid="{0037004A-0037-4CEC-A48A-0049004600F9}" type="decimal" allowBlank="1" error="Допускается ввод только неотрицательных чисел!" errorTitle="Ошибка" showErrorMessage="1">
          <x14:formula1>
            <xm:f>0</xm:f>
          </x14:formula1>
          <x14:formula2>
            <xm:f>9.99999999999999E+23</xm:f>
          </x14:formula2>
          <xm:sqref>H67:I67 H69:I69 H91:I94 H127:I127 H30:I30 H32:I33 H35:I38 H40:I65 H82:I86 H17:I17 H9:I13 H15:I15 H96:I119 H74:I74 H88:I89 H4:I6</xm:sqref>
        </x14:dataValidation>
        <x14:dataValidation xr:uid="{006C000D-005C-4592-BC0C-00F2002B0057}" type="textLength" allowBlank="1" error="Допускается ввод не более 900 символов!" errorTitle="Ошибка" operator="lessThanOrEqual" prompt="Введите источник тепловой энергии" showErrorMessage="1" showInputMessage="1">
          <x14:formula1>
            <xm:f>900</xm:f>
          </x14:formula1>
          <xm:sqref>1:1</xm:sqref>
        </x14:dataValidation>
        <x14:dataValidation xr:uid="{006300EF-0086-438C-BF54-00AD00FA0031}" type="list" allowBlank="1" error="Выберите значение из списка" errorTitle="Ошибка" prompt="Выберите значение из списка" showErrorMessage="1" showInputMessage="1">
          <x14:formula1>
            <xm:f>kind_of_fuels</xm:f>
          </x14:formula1>
          <xm:sqref>F2</xm:sqref>
        </x14:dataValidation>
        <x14:dataValidation xr:uid="{00E000A8-0058-4EE6-8B48-005800560011}" type="list" allowBlank="1" error="Выберите значение из списка" errorTitle="Ошибка" prompt="Выберите значение из списка" showErrorMessage="1" showInputMessage="1">
          <x14:formula1>
            <xm:f>kind_of_volume_te_unit</xm:f>
          </x14:formula1>
          <xm:sqref>G93</xm:sqref>
        </x14:dataValidation>
        <x14:dataValidation xr:uid="{007F00C1-00D7-4028-AC0D-008D00F1009E}"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H128:I130 H81:I81</xm:sqref>
        </x14:dataValidation>
        <x14:dataValidation xr:uid="{00400000-008D-440F-9C25-008000B30002}" type="decimal" allowBlank="1" error="Допускается ввод только действительных чисел!" errorTitle="Ошибка" showErrorMessage="1">
          <x14:formula1>
            <xm:f>-9.99999999999999E+23</xm:f>
          </x14:formula1>
          <x14:formula2>
            <xm:f>9.99999999999999E+23</xm:f>
          </x14:formula2>
          <xm:sqref>H72:I73</xm:sqref>
        </x14:dataValidation>
        <x14:dataValidation xr:uid="{00450077-002D-4434-B9F9-003E00AD0087}" type="decimal" allowBlank="1" error="Допускается ввод только действительных чисел!" errorTitle="Ошибка" showErrorMessage="1">
          <x14:formula1>
            <xm:f>-9.99999999999999E+37</xm:f>
          </x14:formula1>
          <x14:formula2>
            <xm:f>9.99999999999999E+37</xm:f>
          </x14:formula2>
          <xm:sqref>H123:I123 H120:I120 H126:I126 H75:I80</xm:sqref>
        </x14:dataValidation>
        <x14:dataValidation xr:uid="{00C70049-0046-4D28-A107-009E00D00083}" type="decimal" allowBlank="1" error="Введите значение от 0 до 100%" errorTitle="Ошибка" showErrorMessage="1">
          <x14:formula1>
            <xm:f>0</xm:f>
          </x14:formula1>
          <x14:formula2>
            <xm:f>100</xm:f>
          </x14:formula2>
          <xm:sqref>H90:I90 H95:I95</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topLeftCell="C4" zoomScale="90" workbookViewId="0">
      <selection activeCell="A1" sqref="A1"/>
    </sheetView>
  </sheetViews>
  <sheetFormatPr defaultColWidth="9.140625" defaultRowHeight="11.25" customHeight="1"/>
  <cols>
    <col customWidth="1" hidden="1" min="1" max="1" style="10995" width="14.7109375"/>
    <col customWidth="1" hidden="1" min="2" max="2" style="9102" width="17.00390625"/>
    <col customWidth="1" min="3" max="3" style="9138" width="3.00390625"/>
    <col customWidth="1" hidden="1" min="4" max="4" style="9138" width="1.8515625"/>
    <col customWidth="1" min="5" max="6" style="9138" width="7.00390625"/>
    <col customWidth="1" min="7" max="7" style="9138" width="29.00390625"/>
    <col customWidth="1" min="8" max="8" style="9138" width="3.7109375"/>
    <col customWidth="1" min="9" max="9" style="9138" width="5.00390625"/>
    <col customWidth="1" min="10" max="11" style="9138" width="24.00390625"/>
    <col customWidth="1" min="12" max="12" style="9138" width="3.00390625"/>
    <col customWidth="1" min="13" max="13" style="9138" width="6.00390625"/>
    <col customWidth="1" min="14" max="14" style="9138" width="25.00390625"/>
    <col customWidth="1" min="15" max="18" style="9138" width="18.00390625"/>
    <col customWidth="1" min="19" max="19" style="9138" width="93.00390625"/>
    <col customWidth="1" min="20" max="20" style="9138" width="10.00390625"/>
    <col customWidth="1" min="21" max="21" style="9218" width="10.00390625"/>
    <col customWidth="1" min="22" max="22" style="9218" width="11.00390625"/>
    <col customWidth="1" min="23" max="27" style="9102" width="10.00390625"/>
    <col customWidth="1" min="28" max="83" style="9138" width="8.00390625"/>
    <col hidden="1" min="84" max="84" style="9138" width="9.140625"/>
  </cols>
  <sheetData>
    <row r="1" ht="22.5" hidden="1" customHeight="1">
      <c r="CF1" s="675" t="s">
        <v>14</v>
      </c>
    </row>
    <row r="2" ht="11.25" hidden="1" customHeight="1">
      <c r="CF2" s="675">
        <v>0</v>
      </c>
    </row>
    <row r="3" ht="11.25" hidden="1" customHeight="1">
      <c r="CF3" s="675">
        <v>0</v>
      </c>
    </row>
    <row r="4" ht="3" customHeight="1">
      <c r="C4" s="679"/>
      <c r="D4" s="679"/>
      <c r="E4" s="679"/>
      <c r="F4" s="679"/>
      <c r="G4" s="679"/>
      <c r="H4" s="679"/>
      <c r="I4" s="679"/>
      <c r="J4" s="679"/>
      <c r="K4" s="336"/>
      <c r="L4" s="336"/>
      <c r="M4" s="336"/>
      <c r="CF4" s="675">
        <v>3</v>
      </c>
    </row>
    <row r="5" ht="29.25" customHeight="1">
      <c r="C5" s="679"/>
      <c r="D5" s="1227"/>
      <c r="E5" s="2407" t="str">
        <f>FHD20_NAME_FORM</f>
        <v xml:space="preserve">Форма 11. Информация о расходах на капитальный и текущий ремонт основных средств</v>
      </c>
      <c r="F5" s="2407"/>
      <c r="G5" s="2407"/>
      <c r="H5" s="2407"/>
      <c r="I5" s="2407"/>
      <c r="J5" s="2407"/>
      <c r="K5" s="2407"/>
      <c r="L5" s="783"/>
      <c r="M5" s="783"/>
      <c r="CF5" s="675">
        <v>28</v>
      </c>
    </row>
    <row r="6" s="9138" customFormat="1" ht="16.800000000000001" customHeight="1">
      <c r="A6" s="780"/>
      <c r="B6" s="929"/>
      <c r="C6" s="679"/>
      <c r="D6" s="1228"/>
      <c r="E6" s="2346" t="str">
        <f>IF(org=0,"Не определено",org)</f>
        <v xml:space="preserve">АО "ДГК" СП "Биробиджанская ТЭЦ"</v>
      </c>
      <c r="F6" s="2346"/>
      <c r="G6" s="2346"/>
      <c r="H6" s="2346"/>
      <c r="I6" s="2346"/>
      <c r="J6" s="2346"/>
      <c r="K6" s="2346"/>
      <c r="L6" s="783"/>
      <c r="M6" s="783"/>
      <c r="U6" s="781"/>
      <c r="V6" s="781"/>
      <c r="W6" s="782"/>
      <c r="X6" s="929"/>
      <c r="Y6" s="929"/>
      <c r="Z6" s="929"/>
      <c r="AA6" s="929"/>
      <c r="CF6" s="928">
        <v>16</v>
      </c>
    </row>
    <row r="7" ht="11.5" customHeight="1">
      <c r="C7" s="679"/>
      <c r="D7" s="679"/>
      <c r="E7" s="679"/>
      <c r="F7" s="679"/>
      <c r="G7" s="692"/>
      <c r="H7" s="692"/>
      <c r="I7" s="692"/>
      <c r="J7" s="692"/>
      <c r="K7" s="784"/>
      <c r="L7" s="784"/>
      <c r="M7" s="784"/>
      <c r="R7" s="922"/>
      <c r="CF7" s="675">
        <v>11</v>
      </c>
    </row>
    <row r="8" s="9831" customFormat="1" ht="4.2000000000000002" customHeight="1">
      <c r="A8" s="791"/>
      <c r="B8" s="736"/>
      <c r="C8" s="521"/>
      <c r="D8" s="521"/>
      <c r="E8" s="521"/>
      <c r="F8" s="521"/>
      <c r="G8" s="1145"/>
      <c r="H8" s="1145"/>
      <c r="I8" s="1145"/>
      <c r="J8" s="1145"/>
      <c r="K8" s="1188"/>
      <c r="L8" s="1188"/>
      <c r="M8" s="1188"/>
      <c r="R8" s="1189"/>
      <c r="U8" s="781"/>
      <c r="V8" s="781"/>
      <c r="W8" s="792"/>
      <c r="X8" s="736"/>
      <c r="Y8" s="736"/>
      <c r="Z8" s="736"/>
      <c r="AA8" s="736"/>
      <c r="CF8" s="666">
        <v>4</v>
      </c>
    </row>
    <row r="9" ht="19.949999999999999" customHeight="1">
      <c r="D9" s="459"/>
      <c r="E9" s="2271" t="s">
        <v>307</v>
      </c>
      <c r="F9" s="2272"/>
      <c r="G9" s="2272"/>
      <c r="H9" s="2272"/>
      <c r="I9" s="2272"/>
      <c r="J9" s="2272"/>
      <c r="K9" s="2272"/>
      <c r="L9" s="2272"/>
      <c r="M9" s="2272"/>
      <c r="N9" s="2272"/>
      <c r="O9" s="2272"/>
      <c r="P9" s="2272"/>
      <c r="Q9" s="2272"/>
      <c r="R9" s="2273"/>
      <c r="S9" s="2297" t="s">
        <v>308</v>
      </c>
      <c r="T9" s="504"/>
      <c r="CF9" s="675">
        <v>19</v>
      </c>
    </row>
    <row r="10" ht="48.25" customHeight="1">
      <c r="D10" s="721" t="s">
        <v>89</v>
      </c>
      <c r="E10" s="2297" t="s">
        <v>89</v>
      </c>
      <c r="F10" s="2297"/>
      <c r="G10" s="691" t="s">
        <v>309</v>
      </c>
      <c r="H10" s="2297" t="s">
        <v>89</v>
      </c>
      <c r="I10" s="2297"/>
      <c r="J10" s="691" t="s">
        <v>608</v>
      </c>
      <c r="K10" s="691" t="s">
        <v>609</v>
      </c>
      <c r="L10" s="2297" t="s">
        <v>89</v>
      </c>
      <c r="M10" s="2297"/>
      <c r="N10" s="691" t="s">
        <v>610</v>
      </c>
      <c r="O10" s="691" t="s">
        <v>611</v>
      </c>
      <c r="P10" s="691" t="s">
        <v>612</v>
      </c>
      <c r="Q10" s="691" t="s">
        <v>613</v>
      </c>
      <c r="R10" s="691" t="s">
        <v>614</v>
      </c>
      <c r="S10" s="2297"/>
      <c r="T10" s="504"/>
      <c r="CF10" s="675">
        <v>46</v>
      </c>
    </row>
    <row r="11" s="9218" customFormat="1" ht="15" hidden="1" customHeight="1">
      <c r="A11" s="1222"/>
      <c r="D11" s="1195" t="s">
        <v>110</v>
      </c>
      <c r="E11" s="1195"/>
      <c r="F11" s="1195" t="s">
        <v>111</v>
      </c>
      <c r="G11" s="1195" t="s">
        <v>91</v>
      </c>
      <c r="H11" s="1195"/>
      <c r="I11" s="1195" t="s">
        <v>92</v>
      </c>
      <c r="J11" s="1195" t="s">
        <v>112</v>
      </c>
      <c r="K11" s="1195" t="s">
        <v>93</v>
      </c>
      <c r="L11" s="1195"/>
      <c r="M11" s="1195" t="s">
        <v>94</v>
      </c>
      <c r="N11" s="1195" t="s">
        <v>100</v>
      </c>
      <c r="O11" s="1195" t="s">
        <v>148</v>
      </c>
      <c r="P11" s="1195" t="s">
        <v>149</v>
      </c>
      <c r="Q11" s="1195" t="s">
        <v>150</v>
      </c>
      <c r="R11" s="1195" t="s">
        <v>151</v>
      </c>
      <c r="S11" s="1195" t="s">
        <v>152</v>
      </c>
      <c r="U11" s="781"/>
      <c r="V11" s="781"/>
      <c r="W11" s="781"/>
      <c r="CF11" s="681">
        <v>0</v>
      </c>
    </row>
    <row r="12" s="9138" customFormat="1" ht="1.05" customHeight="1">
      <c r="A12" s="785"/>
      <c r="B12" s="532"/>
      <c r="D12" s="718"/>
      <c r="E12" s="516"/>
      <c r="F12" s="516"/>
      <c r="Q12" s="786"/>
      <c r="R12" s="787"/>
      <c r="T12" s="788"/>
      <c r="U12" s="789"/>
      <c r="V12" s="789"/>
      <c r="W12" s="790"/>
      <c r="X12" s="532"/>
      <c r="Y12" s="532"/>
      <c r="Z12" s="532"/>
      <c r="AA12" s="532"/>
      <c r="CF12" s="679">
        <v>1</v>
      </c>
    </row>
    <row r="13" s="9831" customFormat="1" ht="1.05" customHeight="1">
      <c r="A13" s="791"/>
      <c r="B13" s="736"/>
      <c r="D13" s="718" t="s">
        <v>383</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r="14" s="9278" customFormat="1" ht="15" hidden="1" customHeight="1">
      <c r="A14" s="793" t="s">
        <v>117</v>
      </c>
      <c r="B14" s="794"/>
      <c r="C14" s="794"/>
      <c r="D14" s="2550" t="s">
        <v>110</v>
      </c>
      <c r="E14" s="2547" t="s">
        <v>106</v>
      </c>
      <c r="F14" s="2548"/>
      <c r="G14" s="2549"/>
      <c r="H14" s="2553">
        <f>IF(A14="","",INDEX(DIFFERENTIATION_UNMERGE_VD,MATCH(A14,DIFFERENTIATION_ID_DIFF,0)))</f>
        <v>0</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28</v>
      </c>
      <c r="AF14" s="800"/>
      <c r="AG14" s="801" t="s">
        <v>615</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r="15" s="9278" customFormat="1" ht="15" hidden="1" customHeight="1">
      <c r="A15" s="793"/>
      <c r="B15" s="794"/>
      <c r="C15" s="794"/>
      <c r="D15" s="2551"/>
      <c r="E15" s="2547" t="s">
        <v>570</v>
      </c>
      <c r="F15" s="2548"/>
      <c r="G15" s="2549"/>
      <c r="H15" s="2553" t="str">
        <f>IF(A14="","",INDEX(DIFFERENTIATION_UNMERGE_AREA,MATCH(A14,DIFFERENTIATION_ID_DIFF,0)))</f>
        <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r="16" s="9278" customFormat="1" ht="15" hidden="1" customHeight="1">
      <c r="A16" s="793"/>
      <c r="B16" s="794"/>
      <c r="C16" s="794"/>
      <c r="D16" s="2551"/>
      <c r="E16" s="2547" t="s">
        <v>571</v>
      </c>
      <c r="F16" s="2548"/>
      <c r="G16" s="2549"/>
      <c r="H16" s="2553" t="str">
        <f>IF(A14="","",INDEX(DIFFERENTIATION_UNMERGE_SYSTEM,MATCH(A14,DIFFERENTIATION_ID_DIFF,0)))</f>
        <v xml:space="preserve">без дифференциации</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r="17" s="9278" customFormat="1" ht="22.5" hidden="1" customHeight="1">
      <c r="A17" s="803"/>
      <c r="B17" s="587"/>
      <c r="C17" s="582"/>
      <c r="D17" s="2551"/>
      <c r="E17" s="2546" t="s">
        <v>616</v>
      </c>
      <c r="F17" s="2546"/>
      <c r="G17" s="2546"/>
      <c r="H17" s="2546"/>
      <c r="I17" s="2546"/>
      <c r="J17" s="2546"/>
      <c r="K17" s="2546"/>
      <c r="L17" s="2546"/>
      <c r="M17" s="2546"/>
      <c r="N17" s="2546"/>
      <c r="O17" s="2546"/>
      <c r="P17" s="2546"/>
      <c r="Q17" s="728">
        <f>SUMIF(T18:T19,"i",Q18:Q19)</f>
        <v>0</v>
      </c>
      <c r="R17" s="1187"/>
      <c r="S17" s="1067" t="s">
        <v>617</v>
      </c>
      <c r="T17" s="887" t="s">
        <v>618</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r="18" s="9278" customFormat="1" ht="11.25" hidden="1" customHeight="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r="19" s="9278" customFormat="1" ht="11.25" hidden="1" customHeight="1">
      <c r="A19" s="803"/>
      <c r="B19" s="587"/>
      <c r="C19" s="582"/>
      <c r="D19" s="2551"/>
      <c r="E19" s="819" t="s">
        <v>28</v>
      </c>
      <c r="F19" s="820" t="s">
        <v>28</v>
      </c>
      <c r="G19" s="820" t="s">
        <v>28</v>
      </c>
      <c r="H19" s="821" t="s">
        <v>28</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r="20" s="9278" customFormat="1" ht="22.5" hidden="1" customHeight="1">
      <c r="A20" s="803"/>
      <c r="B20" s="587"/>
      <c r="C20" s="582"/>
      <c r="D20" s="2551"/>
      <c r="E20" s="2546" t="s">
        <v>619</v>
      </c>
      <c r="F20" s="2546"/>
      <c r="G20" s="2546"/>
      <c r="H20" s="2546"/>
      <c r="I20" s="2546"/>
      <c r="J20" s="2546"/>
      <c r="K20" s="2546"/>
      <c r="L20" s="2546"/>
      <c r="M20" s="2546"/>
      <c r="N20" s="2546"/>
      <c r="O20" s="2546"/>
      <c r="P20" s="2546"/>
      <c r="Q20" s="728">
        <f>SUMIF(T21:T22,"i",Q21:Q22)</f>
        <v>0</v>
      </c>
      <c r="R20" s="1187"/>
      <c r="S20" s="879" t="s">
        <v>620</v>
      </c>
      <c r="T20" s="887" t="s">
        <v>618</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r="21" s="9278" customFormat="1" ht="11.25" hidden="1" customHeight="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r="22" s="9278" customFormat="1" ht="11.25" hidden="1" customHeight="1">
      <c r="A22" s="803"/>
      <c r="B22" s="587"/>
      <c r="C22" s="582"/>
      <c r="D22" s="2552"/>
      <c r="E22" s="819" t="s">
        <v>28</v>
      </c>
      <c r="F22" s="820" t="s">
        <v>28</v>
      </c>
      <c r="G22" s="820" t="s">
        <v>28</v>
      </c>
      <c r="H22" s="821" t="s">
        <v>28</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r="23" ht="19.949999999999999" customHeight="1">
      <c r="D23" s="1217"/>
      <c r="E23" s="1217"/>
      <c r="F23" s="1217"/>
      <c r="G23" s="1217"/>
      <c r="H23" s="1217"/>
      <c r="I23" s="1217"/>
      <c r="J23" s="1217"/>
      <c r="K23" s="1217"/>
      <c r="L23" s="1217"/>
      <c r="M23" s="1217"/>
      <c r="N23" s="1217"/>
      <c r="O23" s="1217"/>
      <c r="P23" s="1217"/>
      <c r="Q23" s="1217"/>
      <c r="R23" s="1217"/>
      <c r="S23" s="1217"/>
      <c r="T23" s="504"/>
      <c r="CF23" s="675">
        <v>19</v>
      </c>
    </row>
    <row r="24" ht="11.5" customHeight="1">
      <c r="D24" s="679"/>
      <c r="CF24" s="675">
        <v>11</v>
      </c>
    </row>
    <row r="25" ht="11.5" customHeight="1">
      <c r="D25" s="824"/>
      <c r="E25" s="824"/>
      <c r="F25" s="824"/>
      <c r="G25" s="825"/>
      <c r="CF25" s="675">
        <v>11</v>
      </c>
    </row>
    <row r="26" ht="11.5" customHeight="1">
      <c r="CF26" s="675">
        <v>11</v>
      </c>
    </row>
    <row r="27" ht="11.5" customHeight="1">
      <c r="D27" s="826"/>
      <c r="E27" s="2554"/>
      <c r="F27" s="2554"/>
      <c r="G27" s="2554"/>
      <c r="H27" s="2554"/>
      <c r="I27" s="2554"/>
      <c r="J27" s="2554"/>
      <c r="K27" s="2554"/>
      <c r="L27" s="2554"/>
      <c r="M27" s="2554"/>
      <c r="N27" s="2554"/>
      <c r="O27" s="2554"/>
      <c r="P27" s="2554"/>
      <c r="Q27" s="2554"/>
      <c r="R27" s="2554"/>
      <c r="CF27" s="675">
        <v>11</v>
      </c>
    </row>
    <row r="28" ht="11.5" customHeight="1">
      <c r="F28" s="928"/>
      <c r="G28" s="928"/>
      <c r="CF28" s="675">
        <v>11</v>
      </c>
    </row>
    <row r="29" ht="11.25" hidden="1" customHeight="1">
      <c r="A29" s="780" t="s">
        <v>83</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autoFilter="0" deleteColumns="1" deleteRows="1" formatColumns="0" formatRows="0" insertColumns="1" insertRows="1" sheet="1" sort="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defaultRowHeight="11.25" customHeight="1"/>
  <cols>
    <col customWidth="1" hidden="1" min="1" max="5" style="10927" width="10.7109375"/>
    <col customWidth="1" hidden="1" min="6" max="6" style="9217" width="16.8515625"/>
    <col customWidth="1" hidden="1" min="7" max="7" style="9218" width="5.57421875"/>
    <col customWidth="1" min="8" max="8" style="9138" width="3.00390625"/>
    <col customWidth="1" min="9" max="9" style="9138" width="7.00390625"/>
    <col customWidth="1" min="10" max="10" style="9138" width="56.00390625"/>
    <col customWidth="1" min="11" max="11" style="9138" width="10.00390625"/>
    <col customWidth="1" hidden="1" min="12" max="12" style="9138" width="40.57421875"/>
    <col customWidth="1" min="13" max="13" style="9138" width="40.7109375"/>
    <col customWidth="1" hidden="1" min="14" max="14" style="9217" width="9.7109375"/>
    <col customWidth="1" min="15" max="15" style="9138" width="102.00390625"/>
    <col customWidth="1" min="16" max="16" style="9217" width="9.00390625"/>
    <col customWidth="1" min="17" max="17" style="9218" width="5.00390625"/>
    <col customWidth="1" min="18" max="18" style="9218" width="3.00390625"/>
    <col customWidth="1" min="19" max="22" style="9217" width="3.00390625"/>
    <col customWidth="1" min="23" max="23" style="9218" width="10.00390625"/>
    <col customWidth="1" min="24" max="24" style="9217" width="34.00390625"/>
    <col customWidth="1" min="25" max="25" style="9217" width="9.00390625"/>
    <col customWidth="1" min="26" max="26" style="10928" width="8.00390625"/>
    <col customWidth="1" min="27" max="31" style="9217" width="8.00390625"/>
    <col customWidth="1" min="32" max="36" style="9102" width="8.00390625"/>
    <col customWidth="1" hidden="1" min="37" max="37" style="9138" width="5.421875"/>
  </cols>
  <sheetData>
    <row r="1" s="9217" customFormat="1" ht="33.75" hidden="1" customHeight="1">
      <c r="A1" s="1157"/>
      <c r="B1" s="1157"/>
      <c r="C1" s="1157"/>
      <c r="D1" s="1157"/>
      <c r="E1" s="1157"/>
      <c r="G1" s="1806"/>
      <c r="H1" s="1048"/>
      <c r="L1" s="1536">
        <v>4</v>
      </c>
      <c r="M1" s="1536">
        <v>4</v>
      </c>
      <c r="Q1" s="1806"/>
      <c r="R1" s="1806"/>
      <c r="W1" s="1806"/>
      <c r="AK1" s="1536" t="s">
        <v>14</v>
      </c>
    </row>
    <row r="2" s="9217" customFormat="1" ht="78.75" hidden="1" customHeight="1">
      <c r="A2" s="1157"/>
      <c r="B2" s="2223" t="s">
        <v>621</v>
      </c>
      <c r="C2" s="2223" t="s">
        <v>622</v>
      </c>
      <c r="D2" s="2222" t="s">
        <v>623</v>
      </c>
      <c r="E2" s="2226">
        <f>RIGHT(I2,LEN(I2)-SEARCH("#",SUBSTITUTE(I2,".","#",LEN(I2)-LEN(SUBSTITUTE(I2,".","")))))</f>
      </c>
      <c r="F2" s="2228">
        <f>J2</f>
        <v>0</v>
      </c>
      <c r="G2" s="1806"/>
      <c r="H2" s="2229"/>
      <c r="I2" s="2219"/>
      <c r="J2" s="710"/>
      <c r="K2" s="2189" t="s">
        <v>562</v>
      </c>
      <c r="L2" s="921"/>
      <c r="M2" s="921"/>
      <c r="N2" s="713"/>
      <c r="O2" s="1695" t="s">
        <v>563</v>
      </c>
      <c r="P2" s="713"/>
      <c r="Q2" s="1806"/>
      <c r="R2" s="1806"/>
      <c r="W2" s="1806"/>
      <c r="Z2" s="714"/>
      <c r="AF2" s="1802"/>
      <c r="AG2" s="1802"/>
      <c r="AH2" s="1802"/>
      <c r="AI2" s="1802"/>
      <c r="AJ2" s="1802"/>
      <c r="AK2" s="1536">
        <v>0</v>
      </c>
    </row>
    <row r="3" ht="11.25" hidden="1" customHeight="1">
      <c r="E3" s="2221" t="s">
        <v>624</v>
      </c>
      <c r="L3" s="1801">
        <f>0</f>
        <v>0</v>
      </c>
      <c r="M3" s="1801">
        <v>1</v>
      </c>
      <c r="AK3" s="1801">
        <v>0</v>
      </c>
    </row>
    <row r="4" s="9102" customFormat="1" ht="11.25" hidden="1" customHeight="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r="5" ht="11.5" customHeight="1">
      <c r="AK5" s="1801">
        <v>11</v>
      </c>
    </row>
    <row r="6" ht="57.75" customHeight="1">
      <c r="I6" s="2477" t="s">
        <v>625</v>
      </c>
      <c r="J6" s="2477"/>
      <c r="K6" s="2477"/>
      <c r="L6" s="2477"/>
      <c r="M6" s="2477"/>
      <c r="O6" s="726"/>
      <c r="AK6" s="1801">
        <v>55</v>
      </c>
    </row>
    <row r="7" ht="25.199999999999999" customHeight="1">
      <c r="I7" s="2419" t="str">
        <f>IF(org=0,"Не определено",org)</f>
        <v xml:space="preserve">АО "ДГК" СП "Биробиджанская ТЭЦ"</v>
      </c>
      <c r="J7" s="2419"/>
      <c r="K7" s="2419"/>
      <c r="L7" s="2419"/>
      <c r="M7" s="2419"/>
      <c r="AK7" s="1801">
        <v>24</v>
      </c>
    </row>
    <row r="8" ht="11.5" customHeight="1">
      <c r="I8" s="1305"/>
      <c r="J8" s="1305"/>
      <c r="K8" s="1305"/>
      <c r="L8" s="1305"/>
      <c r="M8" s="1305"/>
      <c r="AK8" s="1801">
        <v>11</v>
      </c>
    </row>
    <row r="9" s="9218" customFormat="1" ht="30" hidden="1" customHeight="1">
      <c r="A9" s="1337"/>
      <c r="B9" s="1337"/>
      <c r="C9" s="1337"/>
      <c r="E9" s="1337"/>
      <c r="H9" s="1812"/>
      <c r="L9" s="1059"/>
      <c r="M9" s="1059" t="s">
        <v>117</v>
      </c>
      <c r="AK9" s="1806">
        <v>1</v>
      </c>
    </row>
    <row r="10" ht="11.5" customHeight="1">
      <c r="E10" s="2220" t="s">
        <v>626</v>
      </c>
      <c r="I10" s="881"/>
      <c r="J10" s="2537" t="s">
        <v>106</v>
      </c>
      <c r="K10" s="2538"/>
      <c r="L10" s="2199" t="str">
        <f>IF(L9="","",INDEX(DIFFERENTIATION_UNMERGE_VD,MATCH(L9,DIFFERENTIATION_ID_DIFF,0)))</f>
        <v/>
      </c>
      <c r="M10" s="2199">
        <f>IF(M9="","",INDEX(DIFFERENTIATION_UNMERGE_VD,MATCH(M9,DIFFERENTIATION_ID_DIFF,0)))</f>
        <v>0</v>
      </c>
      <c r="O10" s="2297" t="s">
        <v>308</v>
      </c>
      <c r="AK10" s="1801">
        <v>11</v>
      </c>
    </row>
    <row r="11" ht="11.5" customHeight="1">
      <c r="E11" s="2220" t="s">
        <v>627</v>
      </c>
      <c r="I11" s="881"/>
      <c r="J11" s="2537" t="s">
        <v>570</v>
      </c>
      <c r="K11" s="2538"/>
      <c r="L11" s="2199" t="str">
        <f>IF(L9="","",INDEX(DIFFERENTIATION_UNMERGE_AREA,MATCH(L9,DIFFERENTIATION_ID_DIFF,0)))</f>
        <v/>
      </c>
      <c r="M11" s="2199" t="str">
        <f>IF(M9="","",INDEX(DIFFERENTIATION_UNMERGE_AREA,MATCH(M9,DIFFERENTIATION_ID_DIFF,0)))</f>
        <v/>
      </c>
      <c r="O11" s="2297"/>
      <c r="AK11" s="1801">
        <v>11</v>
      </c>
    </row>
    <row r="12" ht="11.5" customHeight="1">
      <c r="E12" s="2220" t="s">
        <v>628</v>
      </c>
      <c r="I12" s="1832"/>
      <c r="J12" s="2537" t="s">
        <v>571</v>
      </c>
      <c r="K12" s="2538"/>
      <c r="L12" s="2199" t="str">
        <f>IF(L9="","",INDEX(DIFFERENTIATION_UNMERGE_SYSTEM,MATCH(L9,DIFFERENTIATION_ID_DIFF,0)))</f>
        <v/>
      </c>
      <c r="M12" s="2199" t="str">
        <f>IF(M9="","",INDEX(DIFFERENTIATION_UNMERGE_SYSTEM,MATCH(M9,DIFFERENTIATION_ID_DIFF,0)))</f>
        <v xml:space="preserve">без дифференциации</v>
      </c>
      <c r="O12" s="2297"/>
      <c r="AK12" s="1801">
        <v>11</v>
      </c>
    </row>
    <row r="13" ht="11.5" customHeight="1">
      <c r="E13" s="2220" t="s">
        <v>629</v>
      </c>
      <c r="F13" s="2220" t="s">
        <v>630</v>
      </c>
      <c r="I13" s="2539" t="s">
        <v>307</v>
      </c>
      <c r="J13" s="2540"/>
      <c r="K13" s="2540"/>
      <c r="L13" s="2197"/>
      <c r="M13" s="2237"/>
      <c r="O13" s="2297"/>
      <c r="AK13" s="1801">
        <v>11</v>
      </c>
    </row>
    <row r="14" ht="24" customHeight="1">
      <c r="I14" s="2190" t="s">
        <v>89</v>
      </c>
      <c r="J14" s="2190" t="s">
        <v>309</v>
      </c>
      <c r="K14" s="2190" t="s">
        <v>572</v>
      </c>
      <c r="L14" s="2230" t="s">
        <v>310</v>
      </c>
      <c r="M14" s="2231" t="s">
        <v>310</v>
      </c>
      <c r="O14" s="2297"/>
      <c r="AK14" s="1801">
        <v>23</v>
      </c>
    </row>
    <row r="15" ht="24" customHeight="1">
      <c r="A15" s="2224"/>
      <c r="B15" s="2223" t="s">
        <v>631</v>
      </c>
      <c r="C15" s="2223" t="s">
        <v>632</v>
      </c>
      <c r="D15" s="2222" t="s">
        <v>633</v>
      </c>
      <c r="E15" s="2226" t="s">
        <v>634</v>
      </c>
      <c r="F15" s="2226" t="s">
        <v>634</v>
      </c>
      <c r="G15" s="1806" t="s">
        <v>594</v>
      </c>
      <c r="H15" s="2191"/>
      <c r="I15" s="1800">
        <v>1</v>
      </c>
      <c r="J15" s="2192" t="s">
        <v>635</v>
      </c>
      <c r="K15" s="2190" t="s">
        <v>313</v>
      </c>
      <c r="L15" s="832"/>
      <c r="M15" s="988"/>
      <c r="N15" s="713" t="s">
        <v>636</v>
      </c>
      <c r="O15" s="1695" t="s">
        <v>637</v>
      </c>
      <c r="P15" s="713" t="s">
        <v>636</v>
      </c>
      <c r="AK15" s="1801">
        <v>23</v>
      </c>
    </row>
    <row r="16" ht="35.649999999999999" customHeight="1">
      <c r="A16" s="2224"/>
      <c r="B16" s="2223" t="s">
        <v>638</v>
      </c>
      <c r="C16" s="2223" t="s">
        <v>639</v>
      </c>
      <c r="D16" s="2222" t="s">
        <v>623</v>
      </c>
      <c r="E16" s="2226" t="s">
        <v>634</v>
      </c>
      <c r="F16" s="2226" t="s">
        <v>634</v>
      </c>
      <c r="H16" s="2191"/>
      <c r="I16" s="1799">
        <v>2</v>
      </c>
      <c r="J16" s="2233" t="s">
        <v>640</v>
      </c>
      <c r="K16" s="2232" t="s">
        <v>562</v>
      </c>
      <c r="L16" s="2238"/>
      <c r="M16" s="1846"/>
      <c r="N16" s="713" t="s">
        <v>636</v>
      </c>
      <c r="O16" s="1695" t="s">
        <v>641</v>
      </c>
      <c r="P16" s="713" t="s">
        <v>636</v>
      </c>
      <c r="AK16" s="1801">
        <v>34</v>
      </c>
    </row>
    <row r="17" s="9218" customFormat="1" ht="17.25" hidden="1" customHeight="1">
      <c r="A17" s="1337"/>
      <c r="B17" s="1337"/>
      <c r="C17" s="1337"/>
      <c r="D17" s="1337"/>
      <c r="E17" s="1337"/>
      <c r="H17" s="1494"/>
      <c r="I17" s="1183" t="s">
        <v>642</v>
      </c>
      <c r="J17" s="1161"/>
      <c r="K17" s="1183"/>
      <c r="L17" s="1162"/>
      <c r="M17" s="1162"/>
      <c r="O17" s="1555"/>
      <c r="AK17" s="1806">
        <v>1</v>
      </c>
    </row>
    <row r="18" s="9217" customFormat="1" ht="24" customHeight="1">
      <c r="A18" s="1157"/>
      <c r="B18" s="1157"/>
      <c r="C18" s="1157"/>
      <c r="D18" s="1157"/>
      <c r="E18" s="1157"/>
      <c r="G18" s="1806"/>
      <c r="H18" s="1803"/>
      <c r="I18" s="740"/>
      <c r="J18" s="741" t="s">
        <v>592</v>
      </c>
      <c r="K18" s="742"/>
      <c r="L18" s="2240"/>
      <c r="M18" s="743"/>
      <c r="N18" s="713"/>
      <c r="O18" s="1695" t="s">
        <v>593</v>
      </c>
      <c r="P18" s="713"/>
      <c r="Q18" s="1806"/>
      <c r="R18" s="1806"/>
      <c r="W18" s="1806"/>
      <c r="Z18" s="714"/>
      <c r="AF18" s="1802"/>
      <c r="AG18" s="1802"/>
      <c r="AH18" s="1802"/>
      <c r="AI18" s="1802"/>
      <c r="AJ18" s="1802"/>
      <c r="AK18" s="1536">
        <v>23</v>
      </c>
    </row>
    <row r="19" ht="19.949999999999999" customHeight="1">
      <c r="A19" s="2224"/>
      <c r="B19" s="2223" t="s">
        <v>643</v>
      </c>
      <c r="C19" s="2223" t="s">
        <v>644</v>
      </c>
      <c r="D19" s="2222" t="s">
        <v>623</v>
      </c>
      <c r="E19" s="2226" t="s">
        <v>634</v>
      </c>
      <c r="F19" s="2226" t="s">
        <v>634</v>
      </c>
      <c r="H19" s="2191"/>
      <c r="I19" s="1834">
        <v>3</v>
      </c>
      <c r="J19" s="2192" t="s">
        <v>644</v>
      </c>
      <c r="K19" s="2188" t="s">
        <v>562</v>
      </c>
      <c r="L19" s="897"/>
      <c r="M19" s="727"/>
      <c r="N19" s="713"/>
      <c r="O19" s="1695" t="s">
        <v>645</v>
      </c>
      <c r="P19" s="713"/>
      <c r="AK19" s="1801">
        <v>19</v>
      </c>
    </row>
    <row r="20" ht="77.700000000000003" customHeight="1">
      <c r="A20" s="2224"/>
      <c r="B20" s="2223" t="s">
        <v>646</v>
      </c>
      <c r="C20" s="2223" t="s">
        <v>647</v>
      </c>
      <c r="D20" s="2222" t="s">
        <v>623</v>
      </c>
      <c r="E20" s="2226" t="s">
        <v>634</v>
      </c>
      <c r="F20" s="2226" t="s">
        <v>634</v>
      </c>
      <c r="H20" s="2191"/>
      <c r="I20" s="1834">
        <v>4</v>
      </c>
      <c r="J20" s="2192" t="s">
        <v>648</v>
      </c>
      <c r="K20" s="2188" t="s">
        <v>589</v>
      </c>
      <c r="L20" s="897"/>
      <c r="M20" s="727"/>
      <c r="N20" s="713"/>
      <c r="O20" s="1695"/>
      <c r="P20" s="713"/>
      <c r="AK20" s="1801">
        <v>74</v>
      </c>
    </row>
    <row r="21" ht="35.649999999999999" customHeight="1">
      <c r="A21" s="2224"/>
      <c r="B21" s="2223" t="s">
        <v>649</v>
      </c>
      <c r="C21" s="2223" t="s">
        <v>650</v>
      </c>
      <c r="D21" s="2222" t="s">
        <v>623</v>
      </c>
      <c r="E21" s="2226" t="s">
        <v>634</v>
      </c>
      <c r="F21" s="2226" t="s">
        <v>634</v>
      </c>
      <c r="H21" s="2191"/>
      <c r="I21" s="1834">
        <v>5</v>
      </c>
      <c r="J21" s="2192" t="s">
        <v>651</v>
      </c>
      <c r="K21" s="2188" t="s">
        <v>589</v>
      </c>
      <c r="L21" s="897"/>
      <c r="M21" s="727"/>
      <c r="N21" s="713"/>
      <c r="O21" s="1695" t="s">
        <v>645</v>
      </c>
      <c r="P21" s="713"/>
      <c r="AK21" s="1801">
        <v>34</v>
      </c>
    </row>
    <row r="22" ht="48.25" customHeight="1">
      <c r="A22" s="2224"/>
      <c r="B22" s="2223" t="s">
        <v>652</v>
      </c>
      <c r="C22" s="2223" t="s">
        <v>653</v>
      </c>
      <c r="D22" s="2222" t="s">
        <v>623</v>
      </c>
      <c r="E22" s="2226" t="s">
        <v>634</v>
      </c>
      <c r="F22" s="2226" t="s">
        <v>634</v>
      </c>
      <c r="H22" s="2191"/>
      <c r="I22" s="1834">
        <v>6</v>
      </c>
      <c r="J22" s="2192" t="s">
        <v>654</v>
      </c>
      <c r="K22" s="2188" t="s">
        <v>589</v>
      </c>
      <c r="L22" s="897"/>
      <c r="M22" s="727"/>
      <c r="N22" s="713"/>
      <c r="O22" s="1695" t="s">
        <v>655</v>
      </c>
      <c r="P22" s="713"/>
      <c r="AK22" s="1801">
        <v>46</v>
      </c>
    </row>
    <row r="23" ht="19.949999999999999" customHeight="1">
      <c r="A23" s="2224"/>
      <c r="B23" s="2223" t="s">
        <v>656</v>
      </c>
      <c r="C23" s="2223" t="s">
        <v>657</v>
      </c>
      <c r="D23" s="2222" t="s">
        <v>623</v>
      </c>
      <c r="E23" s="2226" t="s">
        <v>634</v>
      </c>
      <c r="F23" s="2226" t="s">
        <v>634</v>
      </c>
      <c r="H23" s="2191"/>
      <c r="I23" s="1834" t="s">
        <v>658</v>
      </c>
      <c r="J23" s="1694" t="s">
        <v>659</v>
      </c>
      <c r="K23" s="2188" t="s">
        <v>589</v>
      </c>
      <c r="L23" s="897"/>
      <c r="M23" s="727"/>
      <c r="N23" s="713"/>
      <c r="O23" s="1695" t="s">
        <v>645</v>
      </c>
      <c r="P23" s="713"/>
      <c r="AK23" s="1801">
        <v>19</v>
      </c>
    </row>
    <row r="24" ht="19.949999999999999" customHeight="1">
      <c r="A24" s="2224"/>
      <c r="B24" s="2223" t="s">
        <v>660</v>
      </c>
      <c r="C24" s="2223" t="s">
        <v>661</v>
      </c>
      <c r="D24" s="2222" t="s">
        <v>623</v>
      </c>
      <c r="E24" s="2226" t="s">
        <v>634</v>
      </c>
      <c r="F24" s="2226" t="s">
        <v>634</v>
      </c>
      <c r="H24" s="2191"/>
      <c r="I24" s="1834" t="s">
        <v>662</v>
      </c>
      <c r="J24" s="1694" t="s">
        <v>663</v>
      </c>
      <c r="K24" s="2188" t="s">
        <v>589</v>
      </c>
      <c r="L24" s="897"/>
      <c r="M24" s="727"/>
      <c r="N24" s="713"/>
      <c r="O24" s="1695"/>
      <c r="P24" s="713"/>
      <c r="AK24" s="1801">
        <v>19</v>
      </c>
    </row>
    <row r="25" ht="24" customHeight="1">
      <c r="A25" s="2224"/>
      <c r="B25" s="2223" t="s">
        <v>664</v>
      </c>
      <c r="C25" s="2223" t="s">
        <v>665</v>
      </c>
      <c r="D25" s="2222" t="s">
        <v>623</v>
      </c>
      <c r="E25" s="2226" t="s">
        <v>634</v>
      </c>
      <c r="F25" s="2226" t="s">
        <v>634</v>
      </c>
      <c r="H25" s="2191"/>
      <c r="I25" s="1834" t="s">
        <v>666</v>
      </c>
      <c r="J25" s="1694" t="s">
        <v>667</v>
      </c>
      <c r="K25" s="2188" t="s">
        <v>589</v>
      </c>
      <c r="L25" s="897"/>
      <c r="M25" s="727"/>
      <c r="N25" s="713"/>
      <c r="O25" s="1695"/>
      <c r="P25" s="713"/>
      <c r="AK25" s="1801">
        <v>23</v>
      </c>
    </row>
    <row r="26" ht="24" customHeight="1">
      <c r="A26" s="2224"/>
      <c r="B26" s="2223" t="s">
        <v>668</v>
      </c>
      <c r="C26" s="2223" t="s">
        <v>669</v>
      </c>
      <c r="D26" s="2222" t="s">
        <v>623</v>
      </c>
      <c r="E26" s="2226" t="s">
        <v>634</v>
      </c>
      <c r="F26" s="2226" t="s">
        <v>634</v>
      </c>
      <c r="H26" s="2191"/>
      <c r="I26" s="1834">
        <v>7</v>
      </c>
      <c r="J26" s="2192" t="s">
        <v>669</v>
      </c>
      <c r="K26" s="2188" t="s">
        <v>670</v>
      </c>
      <c r="L26" s="897"/>
      <c r="M26" s="727"/>
      <c r="N26" s="713"/>
      <c r="O26" s="1695"/>
      <c r="P26" s="713"/>
      <c r="AK26" s="1801">
        <v>23</v>
      </c>
    </row>
    <row r="27" ht="24" customHeight="1">
      <c r="A27" s="2224"/>
      <c r="B27" s="2223" t="s">
        <v>671</v>
      </c>
      <c r="C27" s="2223" t="s">
        <v>672</v>
      </c>
      <c r="D27" s="2222" t="s">
        <v>623</v>
      </c>
      <c r="E27" s="2226" t="s">
        <v>634</v>
      </c>
      <c r="F27" s="2226" t="s">
        <v>634</v>
      </c>
      <c r="H27" s="2191"/>
      <c r="I27" s="1834">
        <v>8</v>
      </c>
      <c r="J27" s="2192" t="s">
        <v>672</v>
      </c>
      <c r="K27" s="2188" t="s">
        <v>595</v>
      </c>
      <c r="L27" s="897"/>
      <c r="M27" s="727"/>
      <c r="N27" s="713"/>
      <c r="O27" s="1695"/>
      <c r="P27" s="713"/>
      <c r="AK27" s="1801">
        <v>23</v>
      </c>
    </row>
    <row r="28" ht="35.649999999999999" customHeight="1">
      <c r="A28" s="2224"/>
      <c r="B28" s="2223" t="s">
        <v>673</v>
      </c>
      <c r="C28" s="2223" t="s">
        <v>674</v>
      </c>
      <c r="D28" s="2222" t="s">
        <v>623</v>
      </c>
      <c r="E28" s="2226" t="s">
        <v>634</v>
      </c>
      <c r="F28" s="2226" t="s">
        <v>634</v>
      </c>
      <c r="H28" s="2191"/>
      <c r="I28" s="1845">
        <v>9</v>
      </c>
      <c r="J28" s="2192" t="s">
        <v>675</v>
      </c>
      <c r="K28" s="2188" t="s">
        <v>566</v>
      </c>
      <c r="L28" s="897"/>
      <c r="M28" s="727"/>
      <c r="N28" s="713"/>
      <c r="O28" s="1695"/>
      <c r="P28" s="713"/>
      <c r="AK28" s="1801">
        <v>34</v>
      </c>
    </row>
    <row r="29" ht="35.649999999999999" customHeight="1">
      <c r="A29" s="2224"/>
      <c r="B29" s="2223" t="s">
        <v>676</v>
      </c>
      <c r="C29" s="2223" t="s">
        <v>677</v>
      </c>
      <c r="D29" s="2222" t="s">
        <v>623</v>
      </c>
      <c r="E29" s="2226" t="s">
        <v>634</v>
      </c>
      <c r="F29" s="2226" t="s">
        <v>634</v>
      </c>
      <c r="H29" s="2191"/>
      <c r="I29" s="1845">
        <v>10</v>
      </c>
      <c r="J29" s="2192" t="s">
        <v>678</v>
      </c>
      <c r="K29" s="2188" t="s">
        <v>566</v>
      </c>
      <c r="L29" s="897"/>
      <c r="M29" s="727"/>
      <c r="N29" s="713"/>
      <c r="O29" s="1695"/>
      <c r="P29" s="713"/>
      <c r="AK29" s="1801">
        <v>34</v>
      </c>
    </row>
    <row r="30" ht="24" customHeight="1">
      <c r="A30" s="2224"/>
      <c r="B30" s="2223" t="s">
        <v>679</v>
      </c>
      <c r="C30" s="2223" t="s">
        <v>680</v>
      </c>
      <c r="D30" s="2222" t="s">
        <v>623</v>
      </c>
      <c r="E30" s="2226" t="s">
        <v>634</v>
      </c>
      <c r="F30" s="2226" t="s">
        <v>634</v>
      </c>
      <c r="H30" s="2191"/>
      <c r="I30" s="1845">
        <v>11</v>
      </c>
      <c r="J30" s="2192" t="s">
        <v>680</v>
      </c>
      <c r="K30" s="2188" t="s">
        <v>596</v>
      </c>
      <c r="L30" s="2239"/>
      <c r="M30" s="1791"/>
      <c r="N30" s="713"/>
      <c r="O30" s="1695"/>
      <c r="P30" s="713"/>
      <c r="AK30" s="1801">
        <v>23</v>
      </c>
    </row>
    <row r="31" ht="24" customHeight="1">
      <c r="A31" s="2224"/>
      <c r="B31" s="2223" t="s">
        <v>681</v>
      </c>
      <c r="C31" s="2223" t="s">
        <v>682</v>
      </c>
      <c r="D31" s="2222" t="s">
        <v>623</v>
      </c>
      <c r="E31" s="2226" t="s">
        <v>634</v>
      </c>
      <c r="F31" s="2226" t="s">
        <v>634</v>
      </c>
      <c r="H31" s="2191"/>
      <c r="I31" s="1845">
        <v>12</v>
      </c>
      <c r="J31" s="2192" t="s">
        <v>682</v>
      </c>
      <c r="K31" s="2188" t="s">
        <v>596</v>
      </c>
      <c r="L31" s="2239"/>
      <c r="M31" s="1791"/>
      <c r="N31" s="713"/>
      <c r="O31" s="1695"/>
      <c r="P31" s="713"/>
      <c r="AK31" s="1801">
        <v>23</v>
      </c>
    </row>
    <row r="32" ht="48.25" customHeight="1">
      <c r="A32" s="2224"/>
      <c r="B32" s="2223" t="s">
        <v>683</v>
      </c>
      <c r="C32" s="2223" t="s">
        <v>684</v>
      </c>
      <c r="D32" s="2222" t="s">
        <v>623</v>
      </c>
      <c r="E32" s="2226" t="s">
        <v>634</v>
      </c>
      <c r="F32" s="2226" t="s">
        <v>634</v>
      </c>
      <c r="H32" s="2191"/>
      <c r="I32" s="1845">
        <v>13</v>
      </c>
      <c r="J32" s="2192" t="s">
        <v>685</v>
      </c>
      <c r="K32" s="2188" t="s">
        <v>606</v>
      </c>
      <c r="L32" s="897"/>
      <c r="M32" s="727"/>
      <c r="N32" s="713"/>
      <c r="O32" s="1695" t="s">
        <v>645</v>
      </c>
      <c r="P32" s="713"/>
      <c r="AK32" s="1801">
        <v>46</v>
      </c>
    </row>
    <row r="33" s="9217" customFormat="1" ht="48.25" customHeight="1">
      <c r="A33" s="2224"/>
      <c r="B33" s="2223" t="s">
        <v>686</v>
      </c>
      <c r="C33" s="2223" t="s">
        <v>687</v>
      </c>
      <c r="D33" s="2222" t="s">
        <v>623</v>
      </c>
      <c r="E33" s="2226" t="s">
        <v>634</v>
      </c>
      <c r="F33" s="2226" t="s">
        <v>634</v>
      </c>
      <c r="G33" s="1806"/>
      <c r="H33" s="2191"/>
      <c r="I33" s="1845">
        <v>14</v>
      </c>
      <c r="J33" s="2204" t="s">
        <v>688</v>
      </c>
      <c r="K33" s="2193" t="s">
        <v>689</v>
      </c>
      <c r="L33" s="897"/>
      <c r="M33" s="727"/>
      <c r="N33" s="713"/>
      <c r="O33" s="1695" t="s">
        <v>645</v>
      </c>
      <c r="P33" s="713"/>
      <c r="Q33" s="1806"/>
      <c r="R33" s="1806"/>
      <c r="W33" s="1806"/>
      <c r="Z33" s="714"/>
      <c r="AF33" s="1802"/>
      <c r="AG33" s="1802"/>
      <c r="AH33" s="1802"/>
      <c r="AI33" s="1802"/>
      <c r="AJ33" s="1802"/>
      <c r="AK33" s="1536">
        <v>46</v>
      </c>
    </row>
    <row r="34" ht="108" customHeight="1">
      <c r="A34" s="2224"/>
      <c r="B34" s="2223" t="s">
        <v>690</v>
      </c>
      <c r="C34" s="2223" t="s">
        <v>691</v>
      </c>
      <c r="D34" s="2222" t="s">
        <v>633</v>
      </c>
      <c r="E34" s="2226" t="s">
        <v>634</v>
      </c>
      <c r="F34" s="2226" t="s">
        <v>634</v>
      </c>
      <c r="G34" s="1806" t="s">
        <v>594</v>
      </c>
      <c r="H34" s="2191"/>
      <c r="I34" s="2202">
        <v>15</v>
      </c>
      <c r="J34" s="2203" t="s">
        <v>692</v>
      </c>
      <c r="K34" s="2188" t="s">
        <v>313</v>
      </c>
      <c r="L34" s="555"/>
      <c r="M34" s="1334"/>
      <c r="N34" s="713"/>
      <c r="O34" s="1695" t="s">
        <v>637</v>
      </c>
      <c r="P34" s="713"/>
      <c r="AK34" s="1801">
        <v>103</v>
      </c>
    </row>
    <row r="35" s="9831" customFormat="1" ht="11.5" customHeight="1">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r="36" s="9831" customFormat="1" ht="11.5" customHeight="1">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r="37" s="9831" customFormat="1" ht="11.5" customHeight="1">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r="38" s="9831" customFormat="1" ht="11.5" customHeight="1">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r="39" s="9831" customFormat="1" ht="11.5" customHeight="1">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r="40" s="9831" customFormat="1" ht="11.5" customHeight="1">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r="41" s="9831" customFormat="1" ht="11.5" customHeight="1">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r="42" s="9831" customFormat="1" ht="11.5" customHeight="1">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r="43" s="9831" customFormat="1" ht="11.5" customHeight="1">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r="44" s="9831" customFormat="1" ht="11.5" customHeight="1">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r="45" s="9831" customFormat="1" ht="11.5" customHeight="1">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r="46" s="9831" customFormat="1" ht="11.5" customHeight="1">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r="47" s="9831" customFormat="1" ht="11.5" customHeight="1">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r="48" s="9831" customFormat="1" ht="11.5" customHeight="1">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r="49" s="9831" customFormat="1" ht="11.5" customHeight="1">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r="50" s="9831" customFormat="1" ht="11.5" customHeight="1">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r="51" s="9831" customFormat="1" ht="11.5" customHeight="1">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r="52" s="9831" customFormat="1" ht="11.5" customHeight="1">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r="53" s="9831" customFormat="1" ht="11.5" customHeight="1">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r="54" s="9831" customFormat="1" ht="11.5" customHeight="1">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r="55" s="9831" customFormat="1" ht="11.5" customHeight="1">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r="56" s="9831" customFormat="1" ht="11.5" customHeight="1">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r="57" s="9831" customFormat="1" ht="11.5" customHeight="1">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r="58" s="9831" customFormat="1" ht="11.5" customHeight="1">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r="59" s="9831" customFormat="1" ht="11.5" customHeight="1">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r="60" s="9831" customFormat="1" ht="11.5" customHeight="1">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r="61" s="9831" customFormat="1" ht="11.5" customHeight="1">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r="62" s="9831" customFormat="1" ht="11.5" customHeight="1">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r="63" s="9831" customFormat="1" ht="11.5" customHeight="1">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r="64" s="9831" customFormat="1" ht="11.5" customHeight="1">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r="65" s="9831" customFormat="1" ht="11.5" customHeight="1">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r="66" s="9831" customFormat="1" ht="11.5" customHeight="1">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r="67" s="9831" customFormat="1" ht="11.5" customHeight="1">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r="68" s="9831" customFormat="1" ht="11.5" customHeight="1">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r="69" s="9831" customFormat="1" ht="11.5" customHeight="1">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r="70" s="9831" customFormat="1" ht="11.5" customHeight="1">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r="71" s="9831" customFormat="1" ht="11.5" customHeight="1">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r="72" s="9831" customFormat="1" ht="11.5" customHeight="1">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r="73" s="9831" customFormat="1" ht="11.5" customHeight="1">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r="74" s="9831" customFormat="1" ht="11.5" customHeight="1">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r="75" s="9831" customFormat="1" ht="11.5" customHeight="1">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r="76" s="9831" customFormat="1" ht="11.5" customHeight="1">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r="77" s="9831" customFormat="1" ht="11.5" customHeight="1">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r="78" s="9831" customFormat="1" ht="11.5" customHeight="1">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r="79" s="9831" customFormat="1" ht="11.5" customHeight="1">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r="80" s="9831" customFormat="1" ht="11.5" customHeight="1">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r="81" s="9831" customFormat="1" ht="11.5" customHeight="1">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r="82" s="9831" customFormat="1" ht="11.5" customHeight="1">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r="83" s="9831" customFormat="1" ht="11.5" customHeight="1">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r="84" s="9831" customFormat="1" ht="11.5" customHeight="1">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r="85" s="9831" customFormat="1" ht="11.5" customHeight="1">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r="86" s="9831" customFormat="1" ht="11.5" customHeight="1">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r="87" s="9831" customFormat="1" ht="11.5" customHeight="1">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r="88" s="9831" customFormat="1" ht="11.5" customHeight="1">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r="89" s="9831" customFormat="1" ht="11.5" customHeight="1">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r="90" s="9831" customFormat="1" ht="11.5" customHeight="1">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r="91" s="9831" customFormat="1" ht="11.5" customHeight="1">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r="92" s="9831" customFormat="1" ht="11.5" customHeight="1">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r="93" s="9831" customFormat="1" ht="11.5" customHeight="1">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r="94" s="9831" customFormat="1" ht="11.5" customHeight="1">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r="95" s="9831" customFormat="1" ht="11.5" customHeight="1">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r="96" s="9831" customFormat="1" ht="11.5" customHeight="1">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r="97" s="9831" customFormat="1" ht="11.5" customHeight="1">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r="98" s="9831" customFormat="1" ht="11.5" customHeight="1">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r="99" s="9831" customFormat="1" ht="11.5" customHeight="1">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r="100" s="9831" customFormat="1" ht="11.5" customHeight="1">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r="101" s="9831" customFormat="1" ht="11.5" customHeight="1">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r="102" s="9831" customFormat="1" ht="11.5" customHeight="1">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r="103" s="9831" customFormat="1" ht="11.5" customHeight="1">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r="104" s="9831" customFormat="1" ht="11.5" customHeight="1">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r="105" s="9831" customFormat="1" ht="11.5" customHeight="1">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r="106" s="9831" customFormat="1" ht="11.5" customHeight="1">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r="107" s="9831" customFormat="1" ht="11.5" customHeight="1">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r="108" s="9831" customFormat="1" ht="11.5" customHeight="1">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r="109" s="9831" customFormat="1" ht="11.5" customHeight="1">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r="110" s="9831" customFormat="1" ht="11.5" customHeight="1">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r="111" s="9831" customFormat="1" ht="11.5" customHeight="1">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r="112" s="9831" customFormat="1" ht="11.5" customHeight="1">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r="113" s="9831" customFormat="1" ht="11.5" customHeight="1">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r="114" s="9831" customFormat="1" ht="11.5" customHeight="1">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r="115" s="9831" customFormat="1" ht="11.5" customHeight="1">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r="116" s="9831" customFormat="1" ht="11.5" customHeight="1">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r="117" s="9831" customFormat="1" ht="11.5" customHeight="1">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r="118" s="9831" customFormat="1" ht="11.5" customHeight="1">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r="119" s="9831" customFormat="1" ht="11.5" customHeight="1">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r="120" s="9831" customFormat="1" ht="11.5" customHeight="1">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r="121" s="9831" customFormat="1" ht="11.5" customHeight="1">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r="122" s="9831" customFormat="1" ht="11.5" customHeight="1">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r="123" s="9831" customFormat="1" ht="11.5" customHeight="1">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r="124" s="9831" customFormat="1" ht="11.5" customHeight="1">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r="125" s="9831" customFormat="1" ht="11.5" customHeight="1">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r="126" s="9831" customFormat="1" ht="11.5" customHeight="1">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r="127" s="9831" customFormat="1" ht="11.5" customHeight="1">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r="128" s="9831" customFormat="1" ht="11.5" customHeight="1">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r="129" s="9831" customFormat="1" ht="11.5" customHeight="1">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r="130" s="9831" customFormat="1" ht="11.5" customHeight="1">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r="131" s="9831" customFormat="1" ht="11.5" customHeight="1">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r="132" s="9831" customFormat="1" ht="11.5" customHeight="1">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r="133" s="9831" customFormat="1" ht="11.5" customHeight="1">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r="134" s="9831" customFormat="1" ht="11.5" customHeight="1">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r="135" s="9831" customFormat="1" ht="11.5" customHeight="1">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r="136" s="9831" customFormat="1" ht="11.5" customHeight="1">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r="137" s="9831" customFormat="1" ht="11.5" customHeight="1">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r="138" s="9831" customFormat="1" ht="11.5" customHeight="1">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r="139" s="9831" customFormat="1" ht="11.5" customHeight="1">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r="140" s="9831" customFormat="1" ht="11.5" customHeight="1">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r="141" s="9831" customFormat="1" ht="11.5" customHeight="1">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r="142" s="9831" customFormat="1" ht="11.5" customHeight="1">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r="143" s="9831" customFormat="1" ht="11.5" customHeight="1">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r="144" s="9831" customFormat="1" ht="11.5" customHeight="1">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r="145" s="9831" customFormat="1" ht="11.5" customHeight="1">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r="146" s="9831" customFormat="1" ht="11.5" customHeight="1">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r="147" s="9831" customFormat="1" ht="11.5" customHeight="1">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r="148" s="9831" customFormat="1" ht="11.5" customHeight="1">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r="149" s="9831" customFormat="1" ht="11.5" customHeight="1">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r="150" s="9831" customFormat="1" ht="11.5" customHeight="1">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r="151" s="9831" customFormat="1" ht="11.5" customHeight="1">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r="152" s="9831" customFormat="1" ht="11.5" customHeight="1">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r="153" s="9831" customFormat="1" ht="11.5" customHeight="1">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r="154" s="9831" customFormat="1" ht="11.5" customHeight="1">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r="155" s="9831" customFormat="1" ht="11.5" customHeight="1">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r="156" s="9831" customFormat="1" ht="11.5" customHeight="1">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r="157" s="9831" customFormat="1" ht="11.5" customHeight="1">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r="158" s="9831" customFormat="1" ht="11.5" customHeight="1">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r="159" s="9831" customFormat="1" ht="11.5" customHeight="1">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r="160" s="9831" customFormat="1" ht="11.5" customHeight="1">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r="161" s="9831" customFormat="1" ht="11.5" customHeight="1">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r="162" s="9831" customFormat="1" ht="11.5" customHeight="1">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r="163" s="9831" customFormat="1" ht="11.5" customHeight="1">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r="164" s="9831" customFormat="1" ht="11.5" customHeight="1">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r="165" s="9831" customFormat="1" ht="11.5" customHeight="1">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r="166" s="9831" customFormat="1" ht="11.5" customHeight="1">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r="167" s="9831" customFormat="1" ht="11.5" customHeight="1">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r="168" s="9831" customFormat="1" ht="11.5" customHeight="1">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r="169" s="9831" customFormat="1" ht="11.5" customHeight="1">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r="170" s="9831" customFormat="1" ht="11.5" customHeight="1">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r="171" s="9831" customFormat="1" ht="11.5" customHeight="1">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r="172" s="9831" customFormat="1" ht="11.5" customHeight="1">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r="173" s="9831" customFormat="1" ht="11.5" customHeight="1">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r="174" s="9831" customFormat="1" ht="11.5" customHeight="1">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r="175" s="9831" customFormat="1" ht="11.5" customHeight="1">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r="176" s="9831" customFormat="1" ht="11.5" customHeight="1">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r="177" s="9831" customFormat="1" ht="11.5" customHeight="1">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r="178" s="9831" customFormat="1" ht="11.5" customHeight="1">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r="179" s="9831" customFormat="1" ht="11.5" customHeight="1">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r="180" s="9831" customFormat="1" ht="11.5" customHeight="1">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r="181" s="9831" customFormat="1" ht="11.5" customHeight="1">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r="182" s="9831" customFormat="1" ht="11.5" customHeight="1">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r="183" s="9831" customFormat="1" ht="11.5" customHeight="1">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r="184" s="9831" customFormat="1" ht="11.5" customHeight="1">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r="185" s="9831" customFormat="1" ht="11.5" customHeight="1">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r="186" s="9831" customFormat="1" ht="11.5" customHeight="1">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r="187" s="9831" customFormat="1" ht="11.5" customHeight="1">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r="188" s="9831" customFormat="1" ht="11.5" customHeight="1">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r="189" s="9831" customFormat="1" ht="11.5" customHeight="1">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r="190" ht="11.5" customHeight="1">
      <c r="AK190" s="1801">
        <v>11</v>
      </c>
    </row>
    <row r="191" ht="11.5" customHeight="1">
      <c r="AK191" s="1801">
        <v>11</v>
      </c>
    </row>
    <row r="192" ht="11.5" customHeight="1">
      <c r="AK192" s="1801">
        <v>11</v>
      </c>
    </row>
    <row r="193" ht="11.5" customHeight="1">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r="194" ht="11.5" customHeight="1">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r="195" ht="11.5" customHeight="1">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r="196" ht="11.5" customHeight="1">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r="197" ht="11.5" customHeight="1">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r="198" ht="11.5" customHeight="1">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r="199" ht="11.5" customHeight="1">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r="200" ht="11.5" customHeight="1">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r="201" ht="11.5" customHeight="1">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r="202" ht="11.5" customHeight="1">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r="203" ht="11.5" customHeight="1">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r="204" ht="12.75" hidden="1" customHeight="1">
      <c r="A204" s="1157" t="s">
        <v>83</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autoFilter="0" deleteColumns="1" deleteRows="1" insertColumns="1" insertRows="1" sheet="1" sort="1"/>
  <mergeCells count="7">
    <mergeCell ref="I6:M6"/>
    <mergeCell ref="I7:M7"/>
    <mergeCell ref="J10:K10"/>
    <mergeCell ref="O10:O14"/>
    <mergeCell ref="J11:K11"/>
    <mergeCell ref="J12:K12"/>
    <mergeCell ref="I13:K13"/>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4">
        <x14:dataValidation xr:uid="{00B000DF-0013-42AD-8DE4-005100D60037}" type="decimal" allowBlank="1" error="Допускается ввод только неотрицательных чисел!" errorTitle="Ошибка" showErrorMessage="1">
          <x14:formula1>
            <xm:f>0</xm:f>
          </x14:formula1>
          <x14:formula2>
            <xm:f>9.99999999999999E+23</xm:f>
          </x14:formula2>
          <xm:sqref>L32:M33 L19:M29 L16:M16 L2:M2</xm:sqref>
        </x14:dataValidation>
        <x14:dataValidation xr:uid="{00730016-0045-4AEC-868E-0044005F00C6}"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L17:M17</xm:sqref>
        </x14:dataValidation>
        <x14:dataValidation xr:uid="{0004006C-00FF-4381-B4BC-0087005400F2}" type="whole" allowBlank="1" error="Допускается ввод только неотрицательных целых чисел!" errorTitle="Ошибка" showErrorMessage="1">
          <x14:formula1>
            <xm:f>0</xm:f>
          </x14:formula1>
          <x14:formula2>
            <xm:f>9.99999999999999E+23</xm:f>
          </x14:formula2>
          <xm:sqref>L30:M31</xm:sqref>
        </x14:dataValidation>
        <x14:dataValidation xr:uid="{008800BE-00B7-4551-A543-006E000A00CF}"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L15:M15 L34:M34</xm:sqref>
        </x14:dataValidation>
      </x14:dataValidations>
    </ext>
  </extLst>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defaultRowHeight="14.25" customHeight="1"/>
  <cols>
    <col hidden="1" min="1" max="4" style="9138" width="10.57421875"/>
    <col customWidth="1" hidden="1" min="5" max="5" style="10313" width="9.140625"/>
    <col customWidth="1" hidden="1" min="6" max="7" style="9217" width="9.140625"/>
    <col customWidth="1" min="8" max="8" style="10314" width="3.00390625"/>
    <col customWidth="1" min="9" max="9" style="9138" width="6.00390625"/>
    <col customWidth="1" min="10" max="10" style="9138" width="63.00390625"/>
    <col customWidth="1" min="11" max="11" style="9138" width="9.00390625"/>
    <col customWidth="1" min="12" max="12" style="9138" width="39.00390625"/>
    <col customWidth="1" min="13" max="13" style="9138" width="89.00390625"/>
    <col customWidth="1" min="14" max="14" style="9138" width="10.00390625"/>
    <col customWidth="1" min="15" max="16" style="9307" width="10.00390625"/>
    <col customWidth="1" min="17" max="22" style="9138" width="10.00390625"/>
    <col hidden="1" min="23" max="23" style="9138" width="10.57421875"/>
  </cols>
  <sheetData>
    <row r="1" ht="22.5" hidden="1" customHeight="1">
      <c r="S1" s="425"/>
      <c r="T1" s="425"/>
      <c r="V1" s="425"/>
      <c r="W1" s="1801" t="s">
        <v>14</v>
      </c>
    </row>
    <row r="2" ht="22.5" hidden="1" customHeight="1">
      <c r="B2" s="2223" t="s">
        <v>693</v>
      </c>
      <c r="C2" s="2223" t="s">
        <v>694</v>
      </c>
      <c r="D2" s="2222" t="s">
        <v>633</v>
      </c>
      <c r="E2" s="2228">
        <f>I2-3</f>
        <v>-3</v>
      </c>
      <c r="F2" s="2228">
        <f>J2</f>
        <v>0</v>
      </c>
      <c r="H2" s="1900" t="s">
        <v>432</v>
      </c>
      <c r="I2" s="2194"/>
      <c r="J2" s="1852"/>
      <c r="K2" s="2188" t="s">
        <v>313</v>
      </c>
      <c r="L2" s="1334"/>
      <c r="M2" s="467"/>
      <c r="N2" s="1794"/>
      <c r="P2" s="1801"/>
      <c r="W2" s="1801">
        <v>0</v>
      </c>
    </row>
    <row r="3" ht="14.25" hidden="1" customHeight="1">
      <c r="W3" s="1801">
        <v>0</v>
      </c>
    </row>
    <row r="4" ht="6.2999999999999998" customHeight="1">
      <c r="H4" s="546"/>
      <c r="I4" s="627"/>
      <c r="J4" s="627"/>
      <c r="K4" s="627"/>
      <c r="L4" s="255"/>
      <c r="M4" s="255"/>
      <c r="W4" s="1801">
        <v>6</v>
      </c>
    </row>
    <row r="5" ht="50.25" customHeight="1">
      <c r="H5" s="546"/>
      <c r="I5" s="2418" t="s">
        <v>695</v>
      </c>
      <c r="J5" s="2418"/>
      <c r="K5" s="2418"/>
      <c r="L5" s="2418"/>
      <c r="M5" s="436"/>
      <c r="W5" s="1801">
        <v>48</v>
      </c>
    </row>
    <row r="6" ht="18" customHeight="1">
      <c r="H6" s="546"/>
      <c r="I6" s="2419" t="str">
        <f>IF(org=0,"Не определено",org)</f>
        <v xml:space="preserve">АО "ДГК" СП "Биробиджанская ТЭЦ"</v>
      </c>
      <c r="J6" s="2419"/>
      <c r="K6" s="2419"/>
      <c r="L6" s="2419"/>
      <c r="M6" s="436"/>
      <c r="W6" s="1801">
        <v>17</v>
      </c>
    </row>
    <row r="7" ht="14.65" customHeight="1">
      <c r="H7" s="546"/>
      <c r="I7" s="627"/>
      <c r="J7" s="633"/>
      <c r="K7" s="633"/>
      <c r="L7" s="922"/>
      <c r="M7" s="363"/>
      <c r="W7" s="1801">
        <v>14</v>
      </c>
    </row>
    <row r="8" ht="14.65" customHeight="1">
      <c r="H8" s="546"/>
      <c r="I8" s="2556" t="s">
        <v>307</v>
      </c>
      <c r="J8" s="2557"/>
      <c r="K8" s="2557"/>
      <c r="L8" s="2558"/>
      <c r="M8" s="2559" t="s">
        <v>308</v>
      </c>
      <c r="W8" s="1801">
        <v>14</v>
      </c>
    </row>
    <row r="9" ht="35.649999999999999" customHeight="1">
      <c r="E9" s="2221" t="s">
        <v>624</v>
      </c>
      <c r="F9" s="2221" t="s">
        <v>630</v>
      </c>
      <c r="H9" s="546"/>
      <c r="I9" s="2195" t="s">
        <v>89</v>
      </c>
      <c r="J9" s="2196" t="s">
        <v>309</v>
      </c>
      <c r="K9" s="2234" t="s">
        <v>572</v>
      </c>
      <c r="L9" s="2235" t="s">
        <v>310</v>
      </c>
      <c r="M9" s="2559"/>
      <c r="W9" s="1801">
        <v>34</v>
      </c>
    </row>
    <row r="10" ht="35.649999999999999" customHeight="1">
      <c r="B10" s="2223" t="s">
        <v>696</v>
      </c>
      <c r="C10" s="2223" t="s">
        <v>697</v>
      </c>
      <c r="D10" s="2222" t="s">
        <v>633</v>
      </c>
      <c r="E10" s="2226" t="s">
        <v>634</v>
      </c>
      <c r="F10" s="2226" t="s">
        <v>634</v>
      </c>
      <c r="H10" s="546"/>
      <c r="I10" s="2194" t="s">
        <v>110</v>
      </c>
      <c r="J10" s="2056" t="s">
        <v>698</v>
      </c>
      <c r="K10" s="2188" t="s">
        <v>313</v>
      </c>
      <c r="L10" s="988"/>
      <c r="M10" s="467" t="s">
        <v>699</v>
      </c>
      <c r="W10" s="1801">
        <v>34</v>
      </c>
    </row>
    <row r="11" ht="50.25" customHeight="1">
      <c r="B11" s="2223" t="s">
        <v>700</v>
      </c>
      <c r="C11" s="2223" t="s">
        <v>701</v>
      </c>
      <c r="D11" s="2222" t="s">
        <v>633</v>
      </c>
      <c r="E11" s="2226" t="s">
        <v>634</v>
      </c>
      <c r="F11" s="2226" t="s">
        <v>634</v>
      </c>
      <c r="H11" s="546"/>
      <c r="I11" s="2194" t="s">
        <v>111</v>
      </c>
      <c r="J11" s="2056" t="s">
        <v>702</v>
      </c>
      <c r="K11" s="2188" t="s">
        <v>313</v>
      </c>
      <c r="L11" s="988"/>
      <c r="M11" s="467" t="s">
        <v>699</v>
      </c>
      <c r="W11" s="1801">
        <v>48</v>
      </c>
    </row>
    <row r="12" ht="48.25" customHeight="1">
      <c r="B12" s="2223" t="s">
        <v>703</v>
      </c>
      <c r="C12" s="2223" t="s">
        <v>704</v>
      </c>
      <c r="D12" s="2222" t="s">
        <v>633</v>
      </c>
      <c r="E12" s="2226" t="s">
        <v>634</v>
      </c>
      <c r="F12" s="2226" t="s">
        <v>634</v>
      </c>
      <c r="H12" s="1858"/>
      <c r="I12" s="2194" t="s">
        <v>91</v>
      </c>
      <c r="J12" s="2201" t="s">
        <v>705</v>
      </c>
      <c r="K12" s="2188" t="s">
        <v>313</v>
      </c>
      <c r="L12" s="988"/>
      <c r="M12" s="467" t="s">
        <v>706</v>
      </c>
      <c r="N12" s="1794"/>
      <c r="P12" s="1801"/>
      <c r="W12" s="1801">
        <v>46</v>
      </c>
    </row>
    <row r="13" ht="14.65" customHeight="1">
      <c r="E13" s="513"/>
      <c r="H13" s="546"/>
      <c r="I13" s="517"/>
      <c r="J13" s="821" t="s">
        <v>707</v>
      </c>
      <c r="K13" s="741"/>
      <c r="L13" s="384"/>
      <c r="M13" s="467"/>
      <c r="W13" s="1801">
        <v>14</v>
      </c>
    </row>
    <row r="14" ht="14.65" customHeight="1">
      <c r="E14" s="513"/>
      <c r="H14" s="546"/>
      <c r="I14" s="1227"/>
      <c r="J14" s="1847"/>
      <c r="K14" s="1848"/>
      <c r="L14" s="1849"/>
      <c r="M14" s="2198"/>
      <c r="W14" s="1801">
        <v>14</v>
      </c>
    </row>
    <row r="15" ht="14.65" customHeight="1">
      <c r="I15" s="1851"/>
      <c r="J15" s="2555"/>
      <c r="K15" s="2555"/>
      <c r="L15" s="2555"/>
      <c r="M15" s="2555"/>
      <c r="W15" s="1801">
        <v>14</v>
      </c>
    </row>
    <row r="16" ht="21" hidden="1" customHeight="1">
      <c r="A16" s="2200" t="s">
        <v>83</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autoFilter="0" deleteColumns="1" deleteRows="1" formatColumns="0" formatRows="0" insertColumns="1" insertRows="1" sheet="1" sort="1"/>
  <mergeCells count="5">
    <mergeCell ref="J15:M15"/>
    <mergeCell ref="I5:L5"/>
    <mergeCell ref="I6:L6"/>
    <mergeCell ref="I8:L8"/>
    <mergeCell ref="M8:M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2">
        <x14:dataValidation xr:uid="{00E900EB-00C7-4E23-8B1A-00E80010008E}" type="textLength" allowBlank="1" error="Допускается ввод не более 900 символов!" errorTitle="Ошибка" operator="lessThanOrEqual" showErrorMessage="1" showInputMessage="1">
          <x14:formula1>
            <xm:f>900</xm:f>
          </x14:formula1>
          <xm:sqref>M10 J2</xm:sqref>
        </x14:dataValidation>
        <x14:dataValidation xr:uid="{00670085-00D6-4375-91E7-00BF00300026}"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ErrorMessage="1" showInputMessage="1">
          <x14:formula1>
            <xm:f>900</xm:f>
          </x14:formula1>
          <xm:sqref>L2 L10:L12</xm:sqref>
        </x14:dataValidation>
      </x14:dataValidations>
    </ext>
  </extLst>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defaultRowHeight="11.25" customHeight="1"/>
  <cols>
    <col customWidth="1" hidden="1" min="1" max="1" style="10927" width="10.7109375"/>
    <col customWidth="1" hidden="1" min="2" max="2" style="9217" width="16.8515625"/>
    <col customWidth="1" hidden="1" min="3" max="3" style="9218" width="5.57421875"/>
    <col customWidth="1" min="4" max="4" style="9138" width="3.00390625"/>
    <col customWidth="1" min="5" max="5" style="9138" width="7.00390625"/>
    <col customWidth="1" min="6" max="6" style="9138" width="56.00390625"/>
    <col customWidth="1" min="7" max="7" style="9138" width="10.00390625"/>
    <col customWidth="1" hidden="1" min="8" max="8" style="9138" width="40.7109375"/>
    <col customWidth="1" min="9" max="9" style="9138" width="40.00390625"/>
    <col customWidth="1" min="10" max="10" style="9138" width="102.00390625"/>
    <col customWidth="1" min="11" max="11" style="9217" width="9.00390625"/>
    <col customWidth="1" min="12" max="12" style="9218" width="5.00390625"/>
    <col customWidth="1" min="13" max="13" style="9218" width="3.00390625"/>
    <col customWidth="1" min="14" max="17" style="9217" width="3.00390625"/>
    <col customWidth="1" min="18" max="18" style="9218" width="10.00390625"/>
    <col customWidth="1" min="19" max="19" style="9217" width="34.00390625"/>
    <col customWidth="1" min="20" max="20" style="9217" width="9.00390625"/>
    <col customWidth="1" min="21" max="21" style="10928" width="8.00390625"/>
    <col customWidth="1" min="22" max="26" style="9217" width="8.00390625"/>
    <col customWidth="1" min="27" max="31" style="9102" width="8.00390625"/>
    <col customWidth="1" hidden="1" min="32" max="32" style="9138" width="10.421875"/>
  </cols>
  <sheetData>
    <row r="1" s="9217" customFormat="1" ht="22.5" hidden="1" customHeight="1">
      <c r="A1" s="1157"/>
      <c r="C1" s="1806"/>
      <c r="D1" s="707"/>
      <c r="H1" s="1330">
        <v>4</v>
      </c>
      <c r="I1" s="1330">
        <v>4</v>
      </c>
      <c r="L1" s="1806"/>
      <c r="M1" s="1806"/>
      <c r="R1" s="1806"/>
      <c r="AF1" s="1330" t="s">
        <v>14</v>
      </c>
    </row>
    <row r="2" s="9217" customFormat="1" ht="22.5" hidden="1" customHeight="1">
      <c r="A2" s="1157"/>
      <c r="C2" s="1806"/>
      <c r="D2" s="708"/>
      <c r="E2" s="1807"/>
      <c r="F2" s="710"/>
      <c r="G2" s="1809" t="s">
        <v>558</v>
      </c>
      <c r="H2" s="711"/>
      <c r="I2" s="711"/>
      <c r="J2" s="712" t="s">
        <v>708</v>
      </c>
      <c r="K2" s="713"/>
      <c r="L2" s="1806"/>
      <c r="M2" s="1806"/>
      <c r="R2" s="1806"/>
      <c r="U2" s="714"/>
      <c r="AA2" s="1802"/>
      <c r="AB2" s="1802"/>
      <c r="AC2" s="1802"/>
      <c r="AD2" s="1802"/>
      <c r="AE2" s="1802"/>
      <c r="AF2" s="1330">
        <v>0</v>
      </c>
    </row>
    <row r="3" ht="11.25" hidden="1" customHeight="1">
      <c r="AF3" s="1801">
        <v>0</v>
      </c>
    </row>
    <row r="4" s="9102" customFormat="1" ht="11.25" hidden="1" customHeight="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r="5" ht="11.5" customHeight="1">
      <c r="AF5" s="1801">
        <v>11</v>
      </c>
    </row>
    <row r="6" ht="31.5" customHeight="1">
      <c r="E6" s="2477" t="s">
        <v>709</v>
      </c>
      <c r="F6" s="2477"/>
      <c r="G6" s="2477"/>
      <c r="H6" s="2477"/>
      <c r="I6" s="2477"/>
      <c r="J6" s="726"/>
      <c r="AF6" s="1801">
        <v>30</v>
      </c>
    </row>
    <row r="7" ht="11.5" customHeight="1">
      <c r="E7" s="2419" t="str">
        <f>IF(org=0,"Не определено",org)</f>
        <v xml:space="preserve">АО "ДГК" СП "Биробиджанская ТЭЦ"</v>
      </c>
      <c r="F7" s="2419"/>
      <c r="G7" s="2419"/>
      <c r="H7" s="2419"/>
      <c r="I7" s="2419"/>
      <c r="AF7" s="1801">
        <v>11</v>
      </c>
    </row>
    <row r="8" ht="11.5" customHeight="1">
      <c r="E8" s="1305"/>
      <c r="F8" s="1305"/>
      <c r="G8" s="1305"/>
      <c r="H8" s="1305"/>
      <c r="I8" s="1305"/>
      <c r="AF8" s="1801">
        <v>11</v>
      </c>
    </row>
    <row r="9" s="9218" customFormat="1" ht="4.2000000000000002" customHeight="1">
      <c r="A9" s="1337"/>
      <c r="D9" s="1812"/>
      <c r="H9" s="1059"/>
      <c r="I9" s="1059" t="s">
        <v>117</v>
      </c>
      <c r="AF9" s="1806">
        <v>4</v>
      </c>
    </row>
    <row r="10" ht="11.5" customHeight="1">
      <c r="E10" s="881"/>
      <c r="F10" s="2537" t="s">
        <v>106</v>
      </c>
      <c r="G10" s="2538"/>
      <c r="H10" s="1722" t="str">
        <f>IF(H9="","",INDEX(DIFFERENTIATION_UNMERGE_VD,MATCH(H9,DIFFERENTIATION_ID_DIFF,0)))</f>
        <v/>
      </c>
      <c r="I10" s="1722">
        <f>IF(I9="","",INDEX(DIFFERENTIATION_UNMERGE_VD,MATCH(I9,DIFFERENTIATION_ID_DIFF,0)))</f>
        <v>0</v>
      </c>
      <c r="J10" s="2297"/>
      <c r="AF10" s="1801">
        <v>11</v>
      </c>
    </row>
    <row r="11" ht="11.5" customHeight="1">
      <c r="E11" s="881"/>
      <c r="F11" s="2537" t="s">
        <v>570</v>
      </c>
      <c r="G11" s="2538"/>
      <c r="H11" s="1722" t="str">
        <f>IF(H9="","",INDEX(DIFFERENTIATION_UNMERGE_AREA,MATCH(H9,DIFFERENTIATION_ID_DIFF,0)))</f>
        <v/>
      </c>
      <c r="I11" s="1722" t="str">
        <f>IF(I9="","",INDEX(DIFFERENTIATION_UNMERGE_AREA,MATCH(I9,DIFFERENTIATION_ID_DIFF,0)))</f>
        <v/>
      </c>
      <c r="J11" s="2297"/>
      <c r="AF11" s="1801">
        <v>11</v>
      </c>
    </row>
    <row r="12" ht="1.05" customHeight="1">
      <c r="E12" s="1832"/>
      <c r="F12" s="2560" t="s">
        <v>571</v>
      </c>
      <c r="G12" s="2561"/>
      <c r="H12" s="1833" t="str">
        <f>IF(H9="","",INDEX(DIFFERENTIATION_UNMERGE_SYSTEM,MATCH(H9,DIFFERENTIATION_ID_DIFF,0)))</f>
        <v/>
      </c>
      <c r="I12" s="1833" t="str">
        <f>IF(I9="","",INDEX(DIFFERENTIATION_UNMERGE_SYSTEM,MATCH(I9,DIFFERENTIATION_ID_DIFF,0)))</f>
        <v xml:space="preserve">без дифференциации</v>
      </c>
      <c r="J12" s="2297"/>
      <c r="AF12" s="1801">
        <v>1</v>
      </c>
    </row>
    <row r="13" ht="11.5" customHeight="1">
      <c r="E13" s="2539" t="s">
        <v>307</v>
      </c>
      <c r="F13" s="2540"/>
      <c r="G13" s="2540"/>
      <c r="H13" s="1721"/>
      <c r="I13" s="1721"/>
      <c r="J13" s="2297"/>
      <c r="AF13" s="1801">
        <v>11</v>
      </c>
    </row>
    <row r="14" ht="24" customHeight="1">
      <c r="E14" s="1809" t="s">
        <v>89</v>
      </c>
      <c r="F14" s="1804" t="s">
        <v>309</v>
      </c>
      <c r="G14" s="1804" t="s">
        <v>572</v>
      </c>
      <c r="H14" s="1804" t="s">
        <v>310</v>
      </c>
      <c r="I14" s="1804" t="s">
        <v>310</v>
      </c>
      <c r="J14" s="2297"/>
      <c r="AF14" s="1801">
        <v>23</v>
      </c>
    </row>
    <row r="15" ht="19.949999999999999" customHeight="1">
      <c r="D15" s="1808"/>
      <c r="E15" s="1800" t="s">
        <v>110</v>
      </c>
      <c r="F15" s="877" t="s">
        <v>710</v>
      </c>
      <c r="G15" s="1816" t="s">
        <v>558</v>
      </c>
      <c r="H15" s="727"/>
      <c r="I15" s="727"/>
      <c r="J15" s="459" t="s">
        <v>711</v>
      </c>
      <c r="K15" s="713" t="s">
        <v>636</v>
      </c>
      <c r="AF15" s="1801">
        <v>19</v>
      </c>
    </row>
    <row r="16" ht="35.649999999999999" customHeight="1">
      <c r="D16" s="1808"/>
      <c r="E16" s="1800" t="s">
        <v>111</v>
      </c>
      <c r="F16" s="877" t="s">
        <v>712</v>
      </c>
      <c r="G16" s="1816" t="s">
        <v>558</v>
      </c>
      <c r="H16" s="728">
        <f>SUM(H17,H20:H32)</f>
        <v>0</v>
      </c>
      <c r="I16" s="728">
        <f>SUM(I17,I20,I23,I26,I29:I32)</f>
        <v>0</v>
      </c>
      <c r="J16" s="459" t="s">
        <v>713</v>
      </c>
      <c r="K16" s="713" t="s">
        <v>636</v>
      </c>
      <c r="AF16" s="1801">
        <v>34</v>
      </c>
    </row>
    <row r="17" ht="19.949999999999999" customHeight="1">
      <c r="D17" s="1808"/>
      <c r="E17" s="1834" t="s">
        <v>714</v>
      </c>
      <c r="F17" s="1124" t="s">
        <v>715</v>
      </c>
      <c r="G17" s="1813" t="s">
        <v>558</v>
      </c>
      <c r="H17" s="727"/>
      <c r="I17" s="727"/>
      <c r="J17" s="459" t="s">
        <v>716</v>
      </c>
      <c r="K17" s="713"/>
      <c r="AF17" s="1801">
        <v>19</v>
      </c>
    </row>
    <row r="18" ht="24" customHeight="1">
      <c r="D18" s="1808"/>
      <c r="E18" s="1834" t="s">
        <v>717</v>
      </c>
      <c r="F18" s="1820" t="s">
        <v>718</v>
      </c>
      <c r="G18" s="1813" t="s">
        <v>558</v>
      </c>
      <c r="H18" s="727"/>
      <c r="I18" s="727"/>
      <c r="J18" s="459" t="s">
        <v>719</v>
      </c>
      <c r="K18" s="713"/>
      <c r="AF18" s="1801">
        <v>23</v>
      </c>
    </row>
    <row r="19" ht="35.649999999999999" customHeight="1">
      <c r="D19" s="1808"/>
      <c r="E19" s="1834" t="s">
        <v>720</v>
      </c>
      <c r="F19" s="1820" t="s">
        <v>721</v>
      </c>
      <c r="G19" s="1813" t="s">
        <v>558</v>
      </c>
      <c r="H19" s="727"/>
      <c r="I19" s="727"/>
      <c r="J19" s="459"/>
      <c r="K19" s="713"/>
      <c r="AF19" s="1801">
        <v>34</v>
      </c>
    </row>
    <row r="20" ht="19.949999999999999" customHeight="1">
      <c r="D20" s="1808"/>
      <c r="E20" s="1834" t="s">
        <v>314</v>
      </c>
      <c r="F20" s="1124" t="s">
        <v>722</v>
      </c>
      <c r="G20" s="1813" t="s">
        <v>558</v>
      </c>
      <c r="H20" s="727"/>
      <c r="I20" s="727"/>
      <c r="J20" s="459" t="s">
        <v>723</v>
      </c>
      <c r="K20" s="713"/>
      <c r="AF20" s="1801">
        <v>19</v>
      </c>
    </row>
    <row r="21" ht="19.949999999999999" customHeight="1">
      <c r="D21" s="1808"/>
      <c r="E21" s="1834" t="s">
        <v>724</v>
      </c>
      <c r="F21" s="1820" t="s">
        <v>725</v>
      </c>
      <c r="G21" s="1813" t="s">
        <v>558</v>
      </c>
      <c r="H21" s="727"/>
      <c r="I21" s="727"/>
      <c r="J21" s="459"/>
      <c r="K21" s="713"/>
      <c r="AF21" s="1801">
        <v>19</v>
      </c>
    </row>
    <row r="22" ht="19.949999999999999" customHeight="1">
      <c r="D22" s="1808"/>
      <c r="E22" s="1834" t="s">
        <v>726</v>
      </c>
      <c r="F22" s="1820" t="s">
        <v>727</v>
      </c>
      <c r="G22" s="1813" t="s">
        <v>558</v>
      </c>
      <c r="H22" s="727"/>
      <c r="I22" s="727"/>
      <c r="J22" s="459"/>
      <c r="K22" s="713"/>
      <c r="AF22" s="1801">
        <v>19</v>
      </c>
    </row>
    <row r="23" ht="24" customHeight="1">
      <c r="D23" s="1808"/>
      <c r="E23" s="1834" t="s">
        <v>317</v>
      </c>
      <c r="F23" s="1124" t="s">
        <v>728</v>
      </c>
      <c r="G23" s="1813" t="s">
        <v>558</v>
      </c>
      <c r="H23" s="727"/>
      <c r="I23" s="727"/>
      <c r="J23" s="459" t="s">
        <v>729</v>
      </c>
      <c r="K23" s="713"/>
      <c r="AF23" s="1801">
        <v>23</v>
      </c>
    </row>
    <row r="24" ht="19.949999999999999" customHeight="1">
      <c r="D24" s="1808"/>
      <c r="E24" s="1834" t="s">
        <v>730</v>
      </c>
      <c r="F24" s="1820" t="s">
        <v>731</v>
      </c>
      <c r="G24" s="1813" t="s">
        <v>558</v>
      </c>
      <c r="H24" s="727"/>
      <c r="I24" s="727"/>
      <c r="J24" s="459"/>
      <c r="K24" s="713"/>
      <c r="AF24" s="1801">
        <v>19</v>
      </c>
    </row>
    <row r="25" ht="35.649999999999999" customHeight="1">
      <c r="D25" s="1808"/>
      <c r="E25" s="1834" t="s">
        <v>732</v>
      </c>
      <c r="F25" s="1820" t="s">
        <v>733</v>
      </c>
      <c r="G25" s="1813" t="s">
        <v>558</v>
      </c>
      <c r="H25" s="727"/>
      <c r="I25" s="727"/>
      <c r="J25" s="459"/>
      <c r="K25" s="713"/>
      <c r="AF25" s="1801">
        <v>34</v>
      </c>
    </row>
    <row r="26" ht="24" customHeight="1">
      <c r="D26" s="1808"/>
      <c r="E26" s="1834" t="s">
        <v>734</v>
      </c>
      <c r="F26" s="1124" t="s">
        <v>735</v>
      </c>
      <c r="G26" s="1813" t="s">
        <v>558</v>
      </c>
      <c r="H26" s="727"/>
      <c r="I26" s="727"/>
      <c r="J26" s="459" t="s">
        <v>736</v>
      </c>
      <c r="K26" s="713"/>
      <c r="AF26" s="1801">
        <v>23</v>
      </c>
    </row>
    <row r="27" ht="19.949999999999999" customHeight="1">
      <c r="D27" s="1808"/>
      <c r="E27" s="1845" t="s">
        <v>737</v>
      </c>
      <c r="F27" s="1820" t="s">
        <v>738</v>
      </c>
      <c r="G27" s="1824" t="s">
        <v>558</v>
      </c>
      <c r="H27" s="1846"/>
      <c r="I27" s="1846"/>
      <c r="J27" s="459"/>
      <c r="K27" s="713"/>
      <c r="AF27" s="1801">
        <v>19</v>
      </c>
    </row>
    <row r="28" ht="19.949999999999999" customHeight="1">
      <c r="D28" s="1808"/>
      <c r="E28" s="1845" t="s">
        <v>739</v>
      </c>
      <c r="F28" s="1820" t="s">
        <v>740</v>
      </c>
      <c r="G28" s="1824" t="s">
        <v>558</v>
      </c>
      <c r="H28" s="1846"/>
      <c r="I28" s="1846"/>
      <c r="J28" s="459"/>
      <c r="K28" s="713"/>
      <c r="AF28" s="1801">
        <v>19</v>
      </c>
    </row>
    <row r="29" ht="19.949999999999999" customHeight="1">
      <c r="D29" s="1808"/>
      <c r="E29" s="1845" t="s">
        <v>741</v>
      </c>
      <c r="F29" s="1124" t="s">
        <v>742</v>
      </c>
      <c r="G29" s="1824" t="s">
        <v>558</v>
      </c>
      <c r="H29" s="1846"/>
      <c r="I29" s="1846"/>
      <c r="J29" s="459"/>
      <c r="K29" s="713"/>
      <c r="AF29" s="1801">
        <v>19</v>
      </c>
    </row>
    <row r="30" ht="19.949999999999999" customHeight="1">
      <c r="D30" s="1808"/>
      <c r="E30" s="1845" t="s">
        <v>743</v>
      </c>
      <c r="F30" s="1124" t="s">
        <v>744</v>
      </c>
      <c r="G30" s="1824" t="s">
        <v>558</v>
      </c>
      <c r="H30" s="1846"/>
      <c r="I30" s="1846"/>
      <c r="J30" s="459"/>
      <c r="K30" s="713"/>
      <c r="AF30" s="1801">
        <v>19</v>
      </c>
    </row>
    <row r="31" ht="19.949999999999999" customHeight="1">
      <c r="D31" s="1808"/>
      <c r="E31" s="1845" t="s">
        <v>745</v>
      </c>
      <c r="F31" s="1124" t="s">
        <v>746</v>
      </c>
      <c r="G31" s="1824" t="s">
        <v>558</v>
      </c>
      <c r="H31" s="1846"/>
      <c r="I31" s="1846"/>
      <c r="J31" s="459"/>
      <c r="K31" s="713"/>
      <c r="AF31" s="1801">
        <v>19</v>
      </c>
    </row>
    <row r="32" s="9217" customFormat="1" ht="35.649999999999999" customHeight="1">
      <c r="A32" s="1157"/>
      <c r="C32" s="1806"/>
      <c r="D32" s="1808"/>
      <c r="E32" s="1845" t="s">
        <v>747</v>
      </c>
      <c r="F32" s="1124" t="s">
        <v>748</v>
      </c>
      <c r="G32" s="1814" t="s">
        <v>558</v>
      </c>
      <c r="H32" s="749">
        <f>SUM(H33:H34)</f>
        <v>0</v>
      </c>
      <c r="I32" s="749">
        <f>SUM(I33:I34)</f>
        <v>0</v>
      </c>
      <c r="J32" s="459" t="s">
        <v>749</v>
      </c>
      <c r="K32" s="713"/>
      <c r="L32" s="1806"/>
      <c r="M32" s="1806"/>
      <c r="R32" s="1806"/>
      <c r="U32" s="714"/>
      <c r="AA32" s="1802"/>
      <c r="AB32" s="1802"/>
      <c r="AC32" s="1802"/>
      <c r="AD32" s="1802"/>
      <c r="AE32" s="1802"/>
      <c r="AF32" s="1330">
        <v>34</v>
      </c>
    </row>
    <row r="33" s="9218" customFormat="1" ht="1.05" customHeight="1">
      <c r="A33" s="1337"/>
      <c r="D33" s="718"/>
      <c r="E33" s="972" t="str">
        <f>E32&amp;".0"</f>
        <v>2.8.0</v>
      </c>
      <c r="F33" s="1161"/>
      <c r="G33" s="721"/>
      <c r="H33" s="1162"/>
      <c r="I33" s="1162"/>
      <c r="J33" s="1163"/>
      <c r="AF33" s="1806">
        <v>1</v>
      </c>
    </row>
    <row r="34" s="9217" customFormat="1" ht="19.949999999999999" customHeight="1">
      <c r="A34" s="1157"/>
      <c r="C34" s="1806"/>
      <c r="D34" s="1803"/>
      <c r="E34" s="740"/>
      <c r="F34" s="1836" t="s">
        <v>583</v>
      </c>
      <c r="G34" s="742"/>
      <c r="H34" s="743"/>
      <c r="I34" s="743"/>
      <c r="J34" s="471" t="s">
        <v>750</v>
      </c>
      <c r="K34" s="713"/>
      <c r="L34" s="1806"/>
      <c r="M34" s="1806"/>
      <c r="R34" s="1806"/>
      <c r="U34" s="714"/>
      <c r="AA34" s="1802"/>
      <c r="AB34" s="1802"/>
      <c r="AC34" s="1802"/>
      <c r="AD34" s="1802"/>
      <c r="AE34" s="1802"/>
      <c r="AF34" s="1330">
        <v>19</v>
      </c>
    </row>
    <row r="35" ht="60" customHeight="1">
      <c r="D35" s="1808"/>
      <c r="E35" s="1845" t="s">
        <v>751</v>
      </c>
      <c r="F35" s="1124" t="s">
        <v>752</v>
      </c>
      <c r="G35" s="1824" t="s">
        <v>558</v>
      </c>
      <c r="H35" s="1846"/>
      <c r="I35" s="1846"/>
      <c r="J35" s="459" t="s">
        <v>753</v>
      </c>
      <c r="K35" s="713"/>
      <c r="AF35" s="1801">
        <v>57</v>
      </c>
    </row>
    <row r="36" s="9217" customFormat="1" ht="24" customHeight="1">
      <c r="A36" s="1159" t="s">
        <v>584</v>
      </c>
      <c r="C36" s="1806"/>
      <c r="D36" s="1808"/>
      <c r="E36" s="1834" t="s">
        <v>91</v>
      </c>
      <c r="F36" s="877" t="s">
        <v>754</v>
      </c>
      <c r="G36" s="1813" t="s">
        <v>558</v>
      </c>
      <c r="H36" s="727"/>
      <c r="I36" s="727"/>
      <c r="J36" s="459" t="s">
        <v>755</v>
      </c>
      <c r="K36" s="713"/>
      <c r="L36" s="1806"/>
      <c r="M36" s="1806"/>
      <c r="R36" s="1806"/>
      <c r="U36" s="714"/>
      <c r="AA36" s="1802"/>
      <c r="AB36" s="1802"/>
      <c r="AC36" s="1802"/>
      <c r="AD36" s="1802"/>
      <c r="AE36" s="1802"/>
      <c r="AF36" s="1330">
        <v>23</v>
      </c>
    </row>
    <row r="37" s="9217" customFormat="1" ht="35.649999999999999" customHeight="1">
      <c r="A37" s="1159"/>
      <c r="C37" s="1806"/>
      <c r="D37" s="1808"/>
      <c r="E37" s="1834" t="s">
        <v>331</v>
      </c>
      <c r="F37" s="1124" t="s">
        <v>756</v>
      </c>
      <c r="G37" s="1824"/>
      <c r="H37" s="727"/>
      <c r="I37" s="727"/>
      <c r="J37" s="459"/>
      <c r="K37" s="713"/>
      <c r="L37" s="1806"/>
      <c r="M37" s="1806"/>
      <c r="R37" s="1806"/>
      <c r="U37" s="714"/>
      <c r="AA37" s="1802"/>
      <c r="AB37" s="1802"/>
      <c r="AC37" s="1802"/>
      <c r="AD37" s="1802"/>
      <c r="AE37" s="1802"/>
      <c r="AF37" s="1330">
        <v>34</v>
      </c>
    </row>
    <row r="38" s="9217" customFormat="1" ht="19.949999999999999" customHeight="1">
      <c r="A38" s="1157"/>
      <c r="C38" s="1806"/>
      <c r="D38" s="745"/>
      <c r="E38" s="1834" t="s">
        <v>92</v>
      </c>
      <c r="F38" s="877" t="s">
        <v>757</v>
      </c>
      <c r="G38" s="1813" t="s">
        <v>558</v>
      </c>
      <c r="H38" s="727"/>
      <c r="I38" s="727"/>
      <c r="J38" s="459" t="s">
        <v>758</v>
      </c>
      <c r="K38" s="713"/>
      <c r="L38" s="1806"/>
      <c r="M38" s="1806"/>
      <c r="R38" s="1806"/>
      <c r="U38" s="714"/>
      <c r="AA38" s="1802"/>
      <c r="AB38" s="1802"/>
      <c r="AC38" s="1802"/>
      <c r="AD38" s="1802"/>
      <c r="AE38" s="1802"/>
      <c r="AF38" s="1330">
        <v>19</v>
      </c>
    </row>
    <row r="39" s="9217" customFormat="1" ht="24" customHeight="1">
      <c r="A39" s="1157"/>
      <c r="C39" s="1806"/>
      <c r="D39" s="745"/>
      <c r="E39" s="1834" t="s">
        <v>759</v>
      </c>
      <c r="F39" s="1124" t="s">
        <v>760</v>
      </c>
      <c r="G39" s="1824" t="s">
        <v>558</v>
      </c>
      <c r="H39" s="727"/>
      <c r="I39" s="727"/>
      <c r="J39" s="459" t="s">
        <v>761</v>
      </c>
      <c r="K39" s="713"/>
      <c r="L39" s="1806"/>
      <c r="M39" s="1806"/>
      <c r="R39" s="1806"/>
      <c r="U39" s="714"/>
      <c r="AA39" s="1802"/>
      <c r="AB39" s="1802"/>
      <c r="AC39" s="1802"/>
      <c r="AD39" s="1802"/>
      <c r="AE39" s="1802"/>
      <c r="AF39" s="1330">
        <v>23</v>
      </c>
    </row>
    <row r="40" s="9217" customFormat="1" ht="24" customHeight="1">
      <c r="A40" s="1157"/>
      <c r="C40" s="1806"/>
      <c r="D40" s="1808"/>
      <c r="E40" s="1834" t="s">
        <v>762</v>
      </c>
      <c r="F40" s="1820" t="s">
        <v>763</v>
      </c>
      <c r="G40" s="1813" t="s">
        <v>558</v>
      </c>
      <c r="H40" s="727"/>
      <c r="I40" s="727"/>
      <c r="J40" s="459" t="s">
        <v>764</v>
      </c>
      <c r="K40" s="713"/>
      <c r="L40" s="1806"/>
      <c r="M40" s="1806"/>
      <c r="R40" s="1806"/>
      <c r="U40" s="714"/>
      <c r="AA40" s="1802"/>
      <c r="AB40" s="1802"/>
      <c r="AC40" s="1802"/>
      <c r="AD40" s="1802"/>
      <c r="AE40" s="1802"/>
      <c r="AF40" s="1330">
        <v>23</v>
      </c>
    </row>
    <row r="41" s="9217" customFormat="1" ht="24" customHeight="1">
      <c r="A41" s="1157"/>
      <c r="C41" s="1806"/>
      <c r="D41" s="1808"/>
      <c r="E41" s="1834" t="s">
        <v>765</v>
      </c>
      <c r="F41" s="1820" t="s">
        <v>766</v>
      </c>
      <c r="G41" s="1813" t="s">
        <v>558</v>
      </c>
      <c r="H41" s="727"/>
      <c r="I41" s="727"/>
      <c r="J41" s="459" t="s">
        <v>767</v>
      </c>
      <c r="K41" s="713"/>
      <c r="L41" s="1806"/>
      <c r="M41" s="1806"/>
      <c r="R41" s="1806"/>
      <c r="U41" s="714"/>
      <c r="AA41" s="1802"/>
      <c r="AB41" s="1802"/>
      <c r="AC41" s="1802"/>
      <c r="AD41" s="1802"/>
      <c r="AE41" s="1802"/>
      <c r="AF41" s="1330">
        <v>23</v>
      </c>
    </row>
    <row r="42" s="9217" customFormat="1" ht="24" customHeight="1">
      <c r="A42" s="1157"/>
      <c r="C42" s="1806"/>
      <c r="D42" s="1808"/>
      <c r="E42" s="1834" t="s">
        <v>768</v>
      </c>
      <c r="F42" s="1820" t="s">
        <v>769</v>
      </c>
      <c r="G42" s="1813" t="s">
        <v>558</v>
      </c>
      <c r="H42" s="727"/>
      <c r="I42" s="727"/>
      <c r="J42" s="459" t="s">
        <v>770</v>
      </c>
      <c r="K42" s="713"/>
      <c r="L42" s="1806"/>
      <c r="M42" s="1806"/>
      <c r="R42" s="1806"/>
      <c r="U42" s="714"/>
      <c r="AA42" s="1802"/>
      <c r="AB42" s="1802"/>
      <c r="AC42" s="1802"/>
      <c r="AD42" s="1802"/>
      <c r="AE42" s="1802"/>
      <c r="AF42" s="1330">
        <v>23</v>
      </c>
    </row>
    <row r="43" s="9217" customFormat="1" ht="35.649999999999999" customHeight="1">
      <c r="A43" s="1157"/>
      <c r="C43" s="1806" t="s">
        <v>594</v>
      </c>
      <c r="D43" s="1808"/>
      <c r="E43" s="1834" t="s">
        <v>112</v>
      </c>
      <c r="F43" s="877" t="s">
        <v>635</v>
      </c>
      <c r="G43" s="1816" t="s">
        <v>771</v>
      </c>
      <c r="H43" s="571"/>
      <c r="I43" s="571"/>
      <c r="J43" s="459" t="s">
        <v>772</v>
      </c>
      <c r="K43" s="713"/>
      <c r="L43" s="1806"/>
      <c r="M43" s="1806"/>
      <c r="R43" s="1806"/>
      <c r="U43" s="714"/>
      <c r="AA43" s="1802"/>
      <c r="AB43" s="1802"/>
      <c r="AC43" s="1802"/>
      <c r="AD43" s="1802"/>
      <c r="AE43" s="1802"/>
      <c r="AF43" s="1330">
        <v>34</v>
      </c>
    </row>
    <row r="44" s="9217" customFormat="1" ht="35.649999999999999" customHeight="1">
      <c r="A44" s="1157"/>
      <c r="C44" s="1806"/>
      <c r="D44" s="1808"/>
      <c r="E44" s="1834" t="s">
        <v>93</v>
      </c>
      <c r="F44" s="877" t="s">
        <v>773</v>
      </c>
      <c r="G44" s="1813" t="s">
        <v>774</v>
      </c>
      <c r="H44" s="715"/>
      <c r="I44" s="715"/>
      <c r="J44" s="459" t="s">
        <v>775</v>
      </c>
      <c r="K44" s="713"/>
      <c r="L44" s="1806"/>
      <c r="M44" s="1806"/>
      <c r="R44" s="1806"/>
      <c r="U44" s="714"/>
      <c r="AA44" s="1802"/>
      <c r="AB44" s="1802"/>
      <c r="AC44" s="1802"/>
      <c r="AD44" s="1802"/>
      <c r="AE44" s="1802"/>
      <c r="AF44" s="1330">
        <v>34</v>
      </c>
    </row>
    <row r="45" s="9217" customFormat="1" ht="24" customHeight="1">
      <c r="A45" s="1157"/>
      <c r="C45" s="1806"/>
      <c r="D45" s="1808"/>
      <c r="E45" s="1834" t="s">
        <v>94</v>
      </c>
      <c r="F45" s="877" t="s">
        <v>776</v>
      </c>
      <c r="G45" s="1824" t="s">
        <v>777</v>
      </c>
      <c r="H45" s="715"/>
      <c r="I45" s="715"/>
      <c r="J45" s="459" t="s">
        <v>778</v>
      </c>
      <c r="K45" s="713"/>
      <c r="L45" s="1806"/>
      <c r="M45" s="1806"/>
      <c r="R45" s="1806"/>
      <c r="U45" s="714"/>
      <c r="AA45" s="1802"/>
      <c r="AB45" s="1802"/>
      <c r="AC45" s="1802"/>
      <c r="AD45" s="1802"/>
      <c r="AE45" s="1802"/>
      <c r="AF45" s="1330">
        <v>23</v>
      </c>
    </row>
    <row r="46" s="9217" customFormat="1" ht="19.949999999999999" customHeight="1">
      <c r="A46" s="1157"/>
      <c r="C46" s="1806"/>
      <c r="D46" s="1808"/>
      <c r="E46" s="1834" t="s">
        <v>100</v>
      </c>
      <c r="F46" s="877" t="s">
        <v>779</v>
      </c>
      <c r="G46" s="1813" t="s">
        <v>596</v>
      </c>
      <c r="H46" s="747"/>
      <c r="I46" s="747"/>
      <c r="J46" s="459"/>
      <c r="K46" s="713"/>
      <c r="L46" s="1806"/>
      <c r="M46" s="1806"/>
      <c r="R46" s="1806"/>
      <c r="U46" s="714"/>
      <c r="AA46" s="1802"/>
      <c r="AB46" s="1802"/>
      <c r="AC46" s="1802"/>
      <c r="AD46" s="1802"/>
      <c r="AE46" s="1802"/>
      <c r="AF46" s="1330">
        <v>19</v>
      </c>
    </row>
    <row r="47" ht="11.5" customHeight="1">
      <c r="D47" s="1808"/>
      <c r="AF47" s="1801">
        <v>11</v>
      </c>
    </row>
    <row r="48" s="9831" customFormat="1" ht="11.5" customHeight="1">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r="49" s="9831" customFormat="1" ht="11.5" customHeight="1">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r="50" s="9831" customFormat="1" ht="11.5" customHeight="1">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r="51" s="9831" customFormat="1" ht="11.5" customHeight="1">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r="52" s="9831" customFormat="1" ht="11.5" customHeight="1">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r="53" s="9831" customFormat="1" ht="11.5" customHeight="1">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r="54" s="9831" customFormat="1" ht="11.5" customHeight="1">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r="55" s="9831" customFormat="1" ht="11.5" customHeight="1">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r="56" s="9831" customFormat="1" ht="11.5" customHeight="1">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r="57" s="9831" customFormat="1" ht="11.5" customHeight="1">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r="58" s="9831" customFormat="1" ht="11.5" customHeight="1">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r="59" s="9831" customFormat="1" ht="11.5" customHeight="1">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r="60" s="9831" customFormat="1" ht="11.5" customHeight="1">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r="61" s="9831" customFormat="1" ht="11.5" customHeight="1">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r="62" s="9831" customFormat="1" ht="11.5" customHeight="1">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r="63" s="9831" customFormat="1" ht="11.5" customHeight="1">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r="64" s="9831" customFormat="1" ht="11.5" customHeight="1">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r="65" s="9831" customFormat="1" ht="11.5" customHeight="1">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r="66" s="9831" customFormat="1" ht="11.5" customHeight="1">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r="67" s="9831" customFormat="1" ht="11.5" customHeight="1">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r="68" s="9831" customFormat="1" ht="11.5" customHeight="1">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r="69" s="9831" customFormat="1" ht="11.5" customHeight="1">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r="70" s="9831" customFormat="1" ht="11.5" customHeight="1">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r="71" s="9831" customFormat="1" ht="11.5" customHeight="1">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r="72" s="9831" customFormat="1" ht="11.5" customHeight="1">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r="73" s="9831" customFormat="1" ht="11.5" customHeight="1">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r="74" s="9831" customFormat="1" ht="11.5" customHeight="1">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r="75" s="9831" customFormat="1" ht="11.5" customHeight="1">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r="76" s="9831" customFormat="1" ht="11.5" customHeight="1">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r="77" s="9831" customFormat="1" ht="11.5" customHeight="1">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r="78" s="9831" customFormat="1" ht="11.5" customHeight="1">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r="79" s="9831" customFormat="1" ht="11.5" customHeight="1">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r="80" s="9831" customFormat="1" ht="11.5" customHeight="1">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r="81" s="9831" customFormat="1" ht="11.5" customHeight="1">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r="82" s="9831" customFormat="1" ht="11.5" customHeight="1">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r="83" s="9831" customFormat="1" ht="11.5" customHeight="1">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r="84" s="9831" customFormat="1" ht="11.5" customHeight="1">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r="85" s="9831" customFormat="1" ht="11.5" customHeight="1">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r="86" s="9831" customFormat="1" ht="11.5" customHeight="1">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r="87" s="9831" customFormat="1" ht="11.5" customHeight="1">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r="88" s="9831" customFormat="1" ht="11.5" customHeight="1">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r="89" s="9831" customFormat="1" ht="11.5" customHeight="1">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r="90" s="9831" customFormat="1" ht="11.5" customHeight="1">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r="91" s="9831" customFormat="1" ht="11.5" customHeight="1">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r="92" s="9831" customFormat="1" ht="11.5" customHeight="1">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r="93" s="9831" customFormat="1" ht="11.5" customHeight="1">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r="94" s="9831" customFormat="1" ht="11.5" customHeight="1">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r="95" s="9831" customFormat="1" ht="11.5" customHeight="1">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r="96" s="9831" customFormat="1" ht="11.5" customHeight="1">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r="97" s="9831" customFormat="1" ht="11.5" customHeight="1">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r="98" s="9831" customFormat="1" ht="11.5" customHeight="1">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r="99" s="9831" customFormat="1" ht="11.5" customHeight="1">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r="100" s="9831" customFormat="1" ht="11.5" customHeight="1">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r="101" s="9831" customFormat="1" ht="11.5" customHeight="1">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r="102" s="9831" customFormat="1" ht="11.5" customHeight="1">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r="103" s="9831" customFormat="1" ht="11.5" customHeight="1">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r="104" s="9831" customFormat="1" ht="11.5" customHeight="1">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r="105" s="9831" customFormat="1" ht="11.5" customHeight="1">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r="106" s="9831" customFormat="1" ht="11.5" customHeight="1">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r="107" s="9831" customFormat="1" ht="11.5" customHeight="1">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r="108" s="9831" customFormat="1" ht="11.5" customHeight="1">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r="109" s="9831" customFormat="1" ht="11.5" customHeight="1">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r="110" s="9831" customFormat="1" ht="11.5" customHeight="1">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r="111" s="9831" customFormat="1" ht="11.5" customHeight="1">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r="112" s="9831" customFormat="1" ht="11.5" customHeight="1">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r="113" s="9831" customFormat="1" ht="11.5" customHeight="1">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r="114" s="9831" customFormat="1" ht="11.5" customHeight="1">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r="115" s="9831" customFormat="1" ht="11.5" customHeight="1">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r="116" s="9831" customFormat="1" ht="11.5" customHeight="1">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r="117" s="9831" customFormat="1" ht="11.5" customHeight="1">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r="118" s="9831" customFormat="1" ht="11.5" customHeight="1">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r="119" s="9831" customFormat="1" ht="11.5" customHeight="1">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r="120" s="9831" customFormat="1" ht="11.5" customHeight="1">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r="121" s="9831" customFormat="1" ht="11.5" customHeight="1">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r="122" s="9831" customFormat="1" ht="11.5" customHeight="1">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r="123" s="9831" customFormat="1" ht="11.5" customHeight="1">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r="124" s="9831" customFormat="1" ht="11.5" customHeight="1">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r="125" s="9831" customFormat="1" ht="11.5" customHeight="1">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r="126" s="9831" customFormat="1" ht="11.5" customHeight="1">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r="127" s="9831" customFormat="1" ht="11.5" customHeight="1">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r="128" s="9831" customFormat="1" ht="11.5" customHeight="1">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r="129" s="9831" customFormat="1" ht="11.5" customHeight="1">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r="130" s="9831" customFormat="1" ht="11.5" customHeight="1">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r="131" s="9831" customFormat="1" ht="11.5" customHeight="1">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r="132" s="9831" customFormat="1" ht="11.5" customHeight="1">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r="133" s="9831" customFormat="1" ht="11.5" customHeight="1">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r="134" s="9831" customFormat="1" ht="11.5" customHeight="1">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r="135" s="9831" customFormat="1" ht="11.5" customHeight="1">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r="136" s="9831" customFormat="1" ht="11.5" customHeight="1">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r="137" s="9831" customFormat="1" ht="11.5" customHeight="1">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r="138" s="9831" customFormat="1" ht="11.5" customHeight="1">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r="139" s="9831" customFormat="1" ht="11.5" customHeight="1">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r="140" s="9831" customFormat="1" ht="11.5" customHeight="1">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r="141" s="9831" customFormat="1" ht="11.5" customHeight="1">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r="142" s="9831" customFormat="1" ht="11.5" customHeight="1">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r="143" s="9831" customFormat="1" ht="11.5" customHeight="1">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r="144" s="9831" customFormat="1" ht="11.5" customHeight="1">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r="145" s="9831" customFormat="1" ht="11.5" customHeight="1">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r="146" s="9831" customFormat="1" ht="11.5" customHeight="1">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r="147" s="9831" customFormat="1" ht="11.5" customHeight="1">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r="148" s="9831" customFormat="1" ht="11.5" customHeight="1">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r="149" s="9831" customFormat="1" ht="11.5" customHeight="1">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r="150" s="9831" customFormat="1" ht="11.5" customHeight="1">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r="151" s="9831" customFormat="1" ht="11.5" customHeight="1">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r="152" s="9831" customFormat="1" ht="11.5" customHeight="1">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r="153" s="9831" customFormat="1" ht="11.5" customHeight="1">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r="154" s="9831" customFormat="1" ht="11.5" customHeight="1">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r="155" s="9831" customFormat="1" ht="11.5" customHeight="1">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r="156" s="9831" customFormat="1" ht="11.5" customHeight="1">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r="157" s="9831" customFormat="1" ht="11.5" customHeight="1">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r="158" s="9831" customFormat="1" ht="11.5" customHeight="1">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r="159" s="9831" customFormat="1" ht="11.5" customHeight="1">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r="160" s="9831" customFormat="1" ht="11.5" customHeight="1">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r="161" s="9831" customFormat="1" ht="11.5" customHeight="1">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r="162" s="9831" customFormat="1" ht="11.5" customHeight="1">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r="163" s="9831" customFormat="1" ht="11.5" customHeight="1">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r="164" s="9831" customFormat="1" ht="11.5" customHeight="1">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r="165" s="9831" customFormat="1" ht="11.5" customHeight="1">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r="166" s="9831" customFormat="1" ht="11.5" customHeight="1">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r="167" s="9831" customFormat="1" ht="11.5" customHeight="1">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r="168" s="9831" customFormat="1" ht="11.5" customHeight="1">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r="169" s="9831" customFormat="1" ht="11.5" customHeight="1">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r="170" s="9831" customFormat="1" ht="11.5" customHeight="1">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r="171" s="9831" customFormat="1" ht="11.5" customHeight="1">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r="172" s="9831" customFormat="1" ht="11.5" customHeight="1">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r="173" s="9831" customFormat="1" ht="11.5" customHeight="1">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r="174" s="9831" customFormat="1" ht="11.5" customHeight="1">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r="175" s="9831" customFormat="1" ht="11.5" customHeight="1">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r="176" s="9831" customFormat="1" ht="11.5" customHeight="1">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r="177" s="9831" customFormat="1" ht="11.5" customHeight="1">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r="178" s="9831" customFormat="1" ht="11.5" customHeight="1">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r="179" s="9831" customFormat="1" ht="11.5" customHeight="1">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r="180" s="9831" customFormat="1" ht="11.5" customHeight="1">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r="181" s="9831" customFormat="1" ht="11.5" customHeight="1">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r="182" s="9831" customFormat="1" ht="11.5" customHeight="1">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r="183" s="9831" customFormat="1" ht="11.5" customHeight="1">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r="184" s="9831" customFormat="1" ht="11.5" customHeight="1">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r="185" s="9831" customFormat="1" ht="11.5" customHeight="1">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r="186" s="9831" customFormat="1" ht="11.5" customHeight="1">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r="187" s="9831" customFormat="1" ht="11.5" customHeight="1">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r="188" s="9831" customFormat="1" ht="11.5" customHeight="1">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r="189" s="9831" customFormat="1" ht="11.5" customHeight="1">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r="190" s="9831" customFormat="1" ht="11.5" customHeight="1">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r="191" s="9831" customFormat="1" ht="11.5" customHeight="1">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r="192" s="9831" customFormat="1" ht="11.5" customHeight="1">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r="193" s="9831" customFormat="1" ht="11.5" customHeight="1">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r="194" s="9831" customFormat="1" ht="11.5" customHeight="1">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r="195" s="9831" customFormat="1" ht="11.5" customHeight="1">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r="196" s="9831" customFormat="1" ht="11.5" customHeight="1">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r="197" s="9831" customFormat="1" ht="11.5" customHeight="1">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r="198" s="9831" customFormat="1" ht="11.5" customHeight="1">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r="199" s="9831" customFormat="1" ht="11.5" customHeight="1">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r="200" s="9831" customFormat="1" ht="11.5" customHeight="1">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r="201" s="9831" customFormat="1" ht="11.5" customHeight="1">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r="202" s="9831" customFormat="1" ht="11.5" customHeight="1">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r="203" ht="11.5" customHeight="1">
      <c r="AF203" s="1801">
        <v>11</v>
      </c>
    </row>
    <row r="204" ht="11.5" customHeight="1">
      <c r="AF204" s="1801">
        <v>11</v>
      </c>
    </row>
    <row r="205" ht="11.5" customHeight="1">
      <c r="AF205" s="1801">
        <v>11</v>
      </c>
    </row>
    <row r="206" ht="11.5" customHeight="1">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r="207" ht="11.5" customHeight="1">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r="208" ht="11.5" customHeight="1">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r="209" ht="11.5" customHeight="1">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r="210" ht="11.5" customHeight="1">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r="211" ht="11.5" customHeight="1">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r="212" ht="11.5" customHeight="1">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r="213" ht="11.5" customHeight="1">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r="214" ht="11.5" customHeight="1">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r="215" ht="11.5" customHeight="1">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r="216" ht="11.5" customHeight="1">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r="217" ht="11.25" hidden="1" customHeight="1">
      <c r="A217" s="1157" t="s">
        <v>83</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autoFilter="0" deleteColumns="1" deleteRows="1" formatColumns="0" formatRows="0" insertColumns="1" insertRows="1" sheet="1" sort="1"/>
  <mergeCells count="7">
    <mergeCell ref="E6:I6"/>
    <mergeCell ref="E7:I7"/>
    <mergeCell ref="F10:G10"/>
    <mergeCell ref="J10:J14"/>
    <mergeCell ref="F11:G11"/>
    <mergeCell ref="F12:G12"/>
    <mergeCell ref="E13:G13"/>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DB00B0-00FA-4B0C-8323-008E000D002A}" type="decimal" allowBlank="1" error="Допускается ввод только действительных чисел!" errorTitle="Ошибка" showErrorMessage="1">
          <x14:formula1>
            <xm:f>-9.99999999999999E+37</xm:f>
          </x14:formula1>
          <x14:formula2>
            <xm:f>9.99999999999999E+37</xm:f>
          </x14:formula2>
          <xm:sqref>H40:I42</xm:sqref>
        </x14:dataValidation>
        <x14:dataValidation xr:uid="{006400DE-0091-4BD6-84CA-00D2001E0004}" type="decimal" allowBlank="1" error="Допускается ввод только действительных чисел!" errorTitle="Ошибка" showErrorMessage="1">
          <x14:formula1>
            <xm:f>-9.99999999999999E+23</xm:f>
          </x14:formula1>
          <x14:formula2>
            <xm:f>9.99999999999999E+23</xm:f>
          </x14:formula2>
          <xm:sqref>H36:I37</xm:sqref>
        </x14:dataValidation>
        <x14:dataValidation xr:uid="{00B300AD-008B-438D-B93B-009F00C600A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H43:I43</xm:sqref>
        </x14:dataValidation>
        <x14:dataValidation xr:uid="{006D0097-004A-4643-8220-00C5006D00BB}" type="decimal" allowBlank="1" error="Допускается ввод только неотрицательных чисел!" errorTitle="Ошибка" showErrorMessage="1">
          <x14:formula1>
            <xm:f>0</xm:f>
          </x14:formula1>
          <x14:formula2>
            <xm:f>9.99999999999999E+23</xm:f>
          </x14:formula2>
          <xm:sqref>H38:I39 H2:I2 H15:I15 H17:I32 H35:I35 H44:I46</xm:sqref>
        </x14:dataValidation>
        <x14:dataValidation xr:uid="{0024003E-00CA-401F-8688-001900250057}"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H33:I33</xm:sqref>
        </x14:dataValidation>
      </x14:dataValidations>
    </ext>
  </extLs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defaultRowHeight="11.25" customHeight="1"/>
  <cols>
    <col customWidth="1" hidden="1" min="1" max="1" style="10927" width="10.7109375"/>
    <col customWidth="1" hidden="1" min="2" max="2" style="9217" width="16.8515625"/>
    <col customWidth="1" hidden="1" min="3" max="3" style="9218" width="5.57421875"/>
    <col customWidth="1" min="4" max="4" style="9138" width="3.00390625"/>
    <col customWidth="1" min="5" max="5" style="9138" width="7.00390625"/>
    <col customWidth="1" min="6" max="6" style="9138" width="54.00390625"/>
    <col customWidth="1" min="7" max="7" style="9138" width="10.00390625"/>
    <col customWidth="1" hidden="1" min="8" max="8" style="9138" width="40.7109375"/>
    <col customWidth="1" min="9" max="9" style="9138" width="40.00390625"/>
    <col customWidth="1" min="10" max="10" style="9138" width="102.00390625"/>
    <col customWidth="1" min="11" max="11" style="9217" width="9.00390625"/>
    <col customWidth="1" min="12" max="12" style="9218" width="5.00390625"/>
    <col customWidth="1" min="13" max="13" style="9218" width="3.00390625"/>
    <col customWidth="1" min="14" max="17" style="9217" width="3.00390625"/>
    <col customWidth="1" min="18" max="18" style="9218" width="10.00390625"/>
    <col customWidth="1" min="19" max="19" style="9217" width="34.00390625"/>
    <col customWidth="1" min="20" max="20" style="9217" width="9.00390625"/>
    <col customWidth="1" min="21" max="21" style="10928" width="8.00390625"/>
    <col customWidth="1" min="22" max="26" style="9217" width="8.00390625"/>
    <col customWidth="1" min="27" max="31" style="9102" width="8.00390625"/>
    <col hidden="1" min="32" max="32" style="9138" width="9.140625"/>
  </cols>
  <sheetData>
    <row r="1" s="9217" customFormat="1" ht="22.5" hidden="1" customHeight="1">
      <c r="A1" s="1157"/>
      <c r="C1" s="1806"/>
      <c r="D1" s="707"/>
      <c r="H1" s="1330">
        <v>4</v>
      </c>
      <c r="I1" s="1330">
        <v>4</v>
      </c>
      <c r="L1" s="1806"/>
      <c r="M1" s="1806"/>
      <c r="R1" s="1806"/>
      <c r="AF1" s="1330" t="s">
        <v>14</v>
      </c>
    </row>
    <row r="2" s="9217" customFormat="1" ht="22.5" hidden="1" customHeight="1">
      <c r="A2" s="1157"/>
      <c r="C2" s="1806"/>
      <c r="D2" s="708"/>
      <c r="E2" s="1828"/>
      <c r="F2" s="710"/>
      <c r="G2" s="1827" t="s">
        <v>558</v>
      </c>
      <c r="H2" s="711"/>
      <c r="I2" s="711"/>
      <c r="J2" s="712" t="s">
        <v>561</v>
      </c>
      <c r="K2" s="713"/>
      <c r="L2" s="1806"/>
      <c r="M2" s="1806"/>
      <c r="R2" s="1806"/>
      <c r="U2" s="714"/>
      <c r="AA2" s="1802"/>
      <c r="AB2" s="1802"/>
      <c r="AC2" s="1802"/>
      <c r="AD2" s="1802"/>
      <c r="AE2" s="1802"/>
      <c r="AF2" s="1330">
        <v>0</v>
      </c>
    </row>
    <row r="3" ht="11.25" hidden="1" customHeight="1">
      <c r="AF3" s="1801">
        <v>0</v>
      </c>
    </row>
    <row r="4" s="9102" customFormat="1" ht="11.25" hidden="1" customHeight="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r="5" ht="11.5" customHeight="1">
      <c r="AF5" s="1801">
        <v>11</v>
      </c>
    </row>
    <row r="6" ht="33.75" customHeight="1">
      <c r="E6" s="2418" t="s">
        <v>780</v>
      </c>
      <c r="F6" s="2418"/>
      <c r="G6" s="2418"/>
      <c r="H6" s="2418"/>
      <c r="I6" s="2418"/>
      <c r="J6" s="726"/>
      <c r="AF6" s="1801">
        <v>32</v>
      </c>
    </row>
    <row r="7" ht="25.199999999999999" customHeight="1">
      <c r="E7" s="2419" t="str">
        <f>IF(org=0,"Не определено",org)</f>
        <v xml:space="preserve">АО "ДГК" СП "Биробиджанская ТЭЦ"</v>
      </c>
      <c r="F7" s="2419"/>
      <c r="G7" s="2419"/>
      <c r="H7" s="2419"/>
      <c r="I7" s="2419"/>
      <c r="AF7" s="1801">
        <v>24</v>
      </c>
    </row>
    <row r="8" ht="11.5" customHeight="1">
      <c r="E8" s="1305"/>
      <c r="F8" s="1305"/>
      <c r="G8" s="1305"/>
      <c r="H8" s="1305"/>
      <c r="I8" s="1305"/>
      <c r="AF8" s="1801">
        <v>11</v>
      </c>
    </row>
    <row r="9" s="9218" customFormat="1" ht="1.05" customHeight="1">
      <c r="A9" s="1337"/>
      <c r="D9" s="1812"/>
      <c r="H9" s="1059"/>
      <c r="I9" s="1059" t="s">
        <v>117</v>
      </c>
      <c r="AF9" s="1806">
        <v>1</v>
      </c>
    </row>
    <row r="10" ht="11.5" customHeight="1">
      <c r="E10" s="881"/>
      <c r="F10" s="2537" t="s">
        <v>106</v>
      </c>
      <c r="G10" s="2538"/>
      <c r="H10" s="1829" t="str">
        <f>IF(H9="","",INDEX(DIFFERENTIATION_UNMERGE_VD,MATCH(H9,DIFFERENTIATION_ID_DIFF,0)))</f>
        <v/>
      </c>
      <c r="I10" s="1829">
        <f>IF(I9="","",INDEX(DIFFERENTIATION_UNMERGE_VD,MATCH(I9,DIFFERENTIATION_ID_DIFF,0)))</f>
        <v>0</v>
      </c>
      <c r="J10" s="2297"/>
      <c r="AF10" s="1801">
        <v>11</v>
      </c>
    </row>
    <row r="11" ht="11.5" customHeight="1">
      <c r="E11" s="881"/>
      <c r="F11" s="2537" t="s">
        <v>570</v>
      </c>
      <c r="G11" s="2538"/>
      <c r="H11" s="1829" t="str">
        <f>IF(H9="","",INDEX(DIFFERENTIATION_UNMERGE_AREA,MATCH(H9,DIFFERENTIATION_ID_DIFF,0)))</f>
        <v/>
      </c>
      <c r="I11" s="1829" t="str">
        <f>IF(I9="","",INDEX(DIFFERENTIATION_UNMERGE_AREA,MATCH(I9,DIFFERENTIATION_ID_DIFF,0)))</f>
        <v/>
      </c>
      <c r="J11" s="2297"/>
      <c r="AF11" s="1801">
        <v>11</v>
      </c>
    </row>
    <row r="12" ht="11.25" hidden="1" customHeight="1">
      <c r="E12" s="1832"/>
      <c r="F12" s="2560" t="s">
        <v>571</v>
      </c>
      <c r="G12" s="2561"/>
      <c r="H12" s="1833" t="str">
        <f>IF(H9="","",INDEX(DIFFERENTIATION_UNMERGE_SYSTEM,MATCH(H9,DIFFERENTIATION_ID_DIFF,0)))</f>
        <v/>
      </c>
      <c r="I12" s="1833" t="str">
        <f>IF(I9="","",INDEX(DIFFERENTIATION_UNMERGE_SYSTEM,MATCH(I9,DIFFERENTIATION_ID_DIFF,0)))</f>
        <v xml:space="preserve">без дифференциации</v>
      </c>
      <c r="J12" s="2297"/>
      <c r="AF12" s="1801">
        <v>0</v>
      </c>
    </row>
    <row r="13" ht="11.5" customHeight="1">
      <c r="E13" s="2539" t="s">
        <v>307</v>
      </c>
      <c r="F13" s="2540"/>
      <c r="G13" s="2540"/>
      <c r="H13" s="1826"/>
      <c r="I13" s="1826"/>
      <c r="J13" s="2297"/>
      <c r="AF13" s="1801">
        <v>11</v>
      </c>
    </row>
    <row r="14" ht="24" customHeight="1">
      <c r="E14" s="1827" t="s">
        <v>89</v>
      </c>
      <c r="F14" s="1830" t="s">
        <v>309</v>
      </c>
      <c r="G14" s="1830" t="s">
        <v>572</v>
      </c>
      <c r="H14" s="1830" t="s">
        <v>310</v>
      </c>
      <c r="I14" s="1830" t="s">
        <v>310</v>
      </c>
      <c r="J14" s="2297"/>
      <c r="AF14" s="1801">
        <v>23</v>
      </c>
    </row>
    <row r="15" ht="19.949999999999999" customHeight="1">
      <c r="D15" s="1808"/>
      <c r="E15" s="1800" t="s">
        <v>110</v>
      </c>
      <c r="F15" s="877" t="s">
        <v>781</v>
      </c>
      <c r="G15" s="1827" t="s">
        <v>558</v>
      </c>
      <c r="H15" s="727"/>
      <c r="I15" s="727"/>
      <c r="J15" s="459" t="s">
        <v>782</v>
      </c>
      <c r="K15" s="713" t="s">
        <v>636</v>
      </c>
      <c r="AF15" s="1801">
        <v>19</v>
      </c>
    </row>
    <row r="16" ht="24" customHeight="1">
      <c r="D16" s="1808"/>
      <c r="E16" s="1800" t="s">
        <v>111</v>
      </c>
      <c r="F16" s="1835" t="s">
        <v>783</v>
      </c>
      <c r="G16" s="1827" t="s">
        <v>558</v>
      </c>
      <c r="H16" s="728">
        <f>SUM(H17,H20:H27)</f>
        <v>0</v>
      </c>
      <c r="I16" s="728">
        <f>SUM(I17,I20:I27)</f>
        <v>0</v>
      </c>
      <c r="J16" s="459" t="s">
        <v>784</v>
      </c>
      <c r="K16" s="713" t="s">
        <v>636</v>
      </c>
      <c r="AF16" s="1801">
        <v>23</v>
      </c>
    </row>
    <row r="17" ht="35.649999999999999" customHeight="1">
      <c r="D17" s="1808"/>
      <c r="E17" s="1834" t="s">
        <v>714</v>
      </c>
      <c r="F17" s="1837" t="s">
        <v>785</v>
      </c>
      <c r="G17" s="1824" t="s">
        <v>558</v>
      </c>
      <c r="H17" s="727"/>
      <c r="I17" s="727"/>
      <c r="J17" s="459" t="s">
        <v>786</v>
      </c>
      <c r="K17" s="713"/>
      <c r="AF17" s="1801">
        <v>34</v>
      </c>
    </row>
    <row r="18" ht="19.949999999999999" customHeight="1">
      <c r="D18" s="1808"/>
      <c r="E18" s="1834" t="s">
        <v>717</v>
      </c>
      <c r="F18" s="1838" t="s">
        <v>787</v>
      </c>
      <c r="G18" s="1824" t="s">
        <v>558</v>
      </c>
      <c r="H18" s="727"/>
      <c r="I18" s="727"/>
      <c r="J18" s="459"/>
      <c r="K18" s="713"/>
      <c r="AF18" s="1801">
        <v>19</v>
      </c>
    </row>
    <row r="19" ht="24" customHeight="1">
      <c r="D19" s="1808"/>
      <c r="E19" s="1834" t="s">
        <v>720</v>
      </c>
      <c r="F19" s="1838" t="s">
        <v>788</v>
      </c>
      <c r="G19" s="1824" t="s">
        <v>558</v>
      </c>
      <c r="H19" s="727"/>
      <c r="I19" s="727"/>
      <c r="J19" s="459"/>
      <c r="K19" s="713"/>
      <c r="AF19" s="1801">
        <v>23</v>
      </c>
    </row>
    <row r="20" ht="35.649999999999999" customHeight="1">
      <c r="D20" s="1808"/>
      <c r="E20" s="1834" t="s">
        <v>314</v>
      </c>
      <c r="F20" s="1837" t="s">
        <v>789</v>
      </c>
      <c r="G20" s="1824" t="s">
        <v>558</v>
      </c>
      <c r="H20" s="727"/>
      <c r="I20" s="727"/>
      <c r="J20" s="459"/>
      <c r="K20" s="713"/>
      <c r="AF20" s="1801">
        <v>34</v>
      </c>
    </row>
    <row r="21" ht="48.25" customHeight="1">
      <c r="D21" s="1808"/>
      <c r="E21" s="1834" t="s">
        <v>317</v>
      </c>
      <c r="F21" s="1837" t="s">
        <v>790</v>
      </c>
      <c r="G21" s="1824" t="s">
        <v>558</v>
      </c>
      <c r="H21" s="727"/>
      <c r="I21" s="727"/>
      <c r="J21" s="459"/>
      <c r="K21" s="713"/>
      <c r="AF21" s="1801">
        <v>46</v>
      </c>
    </row>
    <row r="22" ht="60" customHeight="1">
      <c r="D22" s="1808"/>
      <c r="E22" s="1834" t="s">
        <v>734</v>
      </c>
      <c r="F22" s="1837" t="s">
        <v>791</v>
      </c>
      <c r="G22" s="1824" t="s">
        <v>558</v>
      </c>
      <c r="H22" s="727"/>
      <c r="I22" s="727"/>
      <c r="J22" s="459"/>
      <c r="K22" s="713"/>
      <c r="AF22" s="1801">
        <v>57</v>
      </c>
    </row>
    <row r="23" ht="35.649999999999999" customHeight="1">
      <c r="D23" s="1808"/>
      <c r="E23" s="1834" t="s">
        <v>741</v>
      </c>
      <c r="F23" s="1837" t="s">
        <v>792</v>
      </c>
      <c r="G23" s="1824" t="s">
        <v>558</v>
      </c>
      <c r="H23" s="727"/>
      <c r="I23" s="727"/>
      <c r="J23" s="459"/>
      <c r="K23" s="713"/>
      <c r="AF23" s="1801">
        <v>34</v>
      </c>
    </row>
    <row r="24" ht="35.649999999999999" customHeight="1">
      <c r="D24" s="1808"/>
      <c r="E24" s="1834" t="s">
        <v>743</v>
      </c>
      <c r="F24" s="1837" t="s">
        <v>793</v>
      </c>
      <c r="G24" s="1824" t="s">
        <v>558</v>
      </c>
      <c r="H24" s="727"/>
      <c r="I24" s="727"/>
      <c r="J24" s="459"/>
      <c r="K24" s="713"/>
      <c r="AF24" s="1801">
        <v>34</v>
      </c>
    </row>
    <row r="25" ht="24" customHeight="1">
      <c r="D25" s="1808"/>
      <c r="E25" s="1834" t="s">
        <v>745</v>
      </c>
      <c r="F25" s="1837" t="s">
        <v>794</v>
      </c>
      <c r="G25" s="1824" t="s">
        <v>558</v>
      </c>
      <c r="H25" s="727"/>
      <c r="I25" s="727"/>
      <c r="J25" s="459"/>
      <c r="K25" s="713"/>
      <c r="AF25" s="1801">
        <v>23</v>
      </c>
    </row>
    <row r="26" ht="76.5" customHeight="1">
      <c r="D26" s="1808"/>
      <c r="E26" s="1834" t="s">
        <v>747</v>
      </c>
      <c r="F26" s="1837" t="s">
        <v>795</v>
      </c>
      <c r="G26" s="1824" t="s">
        <v>558</v>
      </c>
      <c r="H26" s="727"/>
      <c r="I26" s="727"/>
      <c r="J26" s="459"/>
      <c r="K26" s="713"/>
      <c r="AF26" s="1801">
        <v>73</v>
      </c>
    </row>
    <row r="27" s="9217" customFormat="1" ht="35.649999999999999" customHeight="1">
      <c r="A27" s="1157"/>
      <c r="C27" s="1806"/>
      <c r="D27" s="1808"/>
      <c r="E27" s="1799" t="s">
        <v>751</v>
      </c>
      <c r="F27" s="1798" t="s">
        <v>796</v>
      </c>
      <c r="G27" s="1825" t="s">
        <v>558</v>
      </c>
      <c r="H27" s="749">
        <f>SUM(H28:H29)</f>
        <v>0</v>
      </c>
      <c r="I27" s="749">
        <f>SUM(I28:I29)</f>
        <v>0</v>
      </c>
      <c r="J27" s="459" t="s">
        <v>749</v>
      </c>
      <c r="K27" s="713"/>
      <c r="L27" s="1806"/>
      <c r="M27" s="1806"/>
      <c r="R27" s="1806"/>
      <c r="U27" s="714"/>
      <c r="AA27" s="1802"/>
      <c r="AB27" s="1802"/>
      <c r="AC27" s="1802"/>
      <c r="AD27" s="1802"/>
      <c r="AE27" s="1802"/>
      <c r="AF27" s="1330">
        <v>34</v>
      </c>
    </row>
    <row r="28" s="9218" customFormat="1" ht="1.05" customHeight="1">
      <c r="A28" s="1337"/>
      <c r="D28" s="718"/>
      <c r="E28" s="972" t="str">
        <f>E27&amp;".0"</f>
        <v>2.9.0</v>
      </c>
      <c r="F28" s="1161"/>
      <c r="G28" s="721"/>
      <c r="H28" s="1162"/>
      <c r="I28" s="1162"/>
      <c r="J28" s="1163"/>
      <c r="AF28" s="1806">
        <v>1</v>
      </c>
    </row>
    <row r="29" s="9217" customFormat="1" ht="19.949999999999999" customHeight="1">
      <c r="A29" s="1157"/>
      <c r="C29" s="1806"/>
      <c r="D29" s="1803"/>
      <c r="E29" s="740"/>
      <c r="F29" s="1836" t="s">
        <v>583</v>
      </c>
      <c r="G29" s="742"/>
      <c r="H29" s="743"/>
      <c r="I29" s="743"/>
      <c r="J29" s="471" t="s">
        <v>750</v>
      </c>
      <c r="K29" s="713"/>
      <c r="L29" s="1806"/>
      <c r="M29" s="1806"/>
      <c r="R29" s="1806"/>
      <c r="U29" s="714"/>
      <c r="AA29" s="1802"/>
      <c r="AB29" s="1802"/>
      <c r="AC29" s="1802"/>
      <c r="AD29" s="1802"/>
      <c r="AE29" s="1802"/>
      <c r="AF29" s="1330">
        <v>19</v>
      </c>
    </row>
    <row r="30" s="9217" customFormat="1" ht="24" customHeight="1">
      <c r="A30" s="1157"/>
      <c r="C30" s="1806"/>
      <c r="D30" s="1808"/>
      <c r="E30" s="1834" t="s">
        <v>91</v>
      </c>
      <c r="F30" s="1831" t="s">
        <v>797</v>
      </c>
      <c r="G30" s="1824" t="s">
        <v>558</v>
      </c>
      <c r="H30" s="727"/>
      <c r="I30" s="727"/>
      <c r="J30" s="459"/>
      <c r="K30" s="713"/>
      <c r="L30" s="1806"/>
      <c r="M30" s="1806"/>
      <c r="R30" s="1806"/>
      <c r="U30" s="714"/>
      <c r="AA30" s="1802"/>
      <c r="AB30" s="1802"/>
      <c r="AC30" s="1802"/>
      <c r="AD30" s="1802"/>
      <c r="AE30" s="1802"/>
      <c r="AF30" s="1330">
        <v>23</v>
      </c>
    </row>
    <row r="31" s="9217" customFormat="1" ht="35.649999999999999" customHeight="1">
      <c r="A31" s="1157"/>
      <c r="C31" s="1806"/>
      <c r="D31" s="745"/>
      <c r="E31" s="1834" t="s">
        <v>92</v>
      </c>
      <c r="F31" s="1831" t="s">
        <v>798</v>
      </c>
      <c r="G31" s="1824" t="s">
        <v>558</v>
      </c>
      <c r="H31" s="727"/>
      <c r="I31" s="727"/>
      <c r="J31" s="459" t="s">
        <v>799</v>
      </c>
      <c r="K31" s="713"/>
      <c r="L31" s="1806"/>
      <c r="M31" s="1806"/>
      <c r="R31" s="1806"/>
      <c r="U31" s="714"/>
      <c r="AA31" s="1802"/>
      <c r="AB31" s="1802"/>
      <c r="AC31" s="1802"/>
      <c r="AD31" s="1802"/>
      <c r="AE31" s="1802"/>
      <c r="AF31" s="1330">
        <v>34</v>
      </c>
    </row>
    <row r="32" s="9217" customFormat="1" ht="24" customHeight="1">
      <c r="A32" s="1157"/>
      <c r="C32" s="1806"/>
      <c r="D32" s="1808"/>
      <c r="E32" s="1834" t="s">
        <v>759</v>
      </c>
      <c r="F32" s="860" t="s">
        <v>763</v>
      </c>
      <c r="G32" s="1824" t="s">
        <v>558</v>
      </c>
      <c r="H32" s="727"/>
      <c r="I32" s="727"/>
      <c r="J32" s="459" t="s">
        <v>800</v>
      </c>
      <c r="K32" s="713"/>
      <c r="L32" s="1806"/>
      <c r="M32" s="1806"/>
      <c r="R32" s="1806"/>
      <c r="U32" s="714"/>
      <c r="AA32" s="1802"/>
      <c r="AB32" s="1802"/>
      <c r="AC32" s="1802"/>
      <c r="AD32" s="1802"/>
      <c r="AE32" s="1802"/>
      <c r="AF32" s="1330">
        <v>23</v>
      </c>
    </row>
    <row r="33" s="9217" customFormat="1" ht="24" customHeight="1">
      <c r="A33" s="1157"/>
      <c r="C33" s="1806"/>
      <c r="D33" s="1808"/>
      <c r="E33" s="1834" t="s">
        <v>801</v>
      </c>
      <c r="F33" s="860" t="s">
        <v>802</v>
      </c>
      <c r="G33" s="1824" t="s">
        <v>558</v>
      </c>
      <c r="H33" s="727"/>
      <c r="I33" s="727"/>
      <c r="J33" s="459" t="s">
        <v>803</v>
      </c>
      <c r="K33" s="713"/>
      <c r="L33" s="1806"/>
      <c r="M33" s="1806"/>
      <c r="R33" s="1806"/>
      <c r="U33" s="714"/>
      <c r="AA33" s="1802"/>
      <c r="AB33" s="1802"/>
      <c r="AC33" s="1802"/>
      <c r="AD33" s="1802"/>
      <c r="AE33" s="1802"/>
      <c r="AF33" s="1330">
        <v>23</v>
      </c>
    </row>
    <row r="34" s="9217" customFormat="1" ht="24" customHeight="1">
      <c r="A34" s="1157"/>
      <c r="C34" s="1806"/>
      <c r="D34" s="1808"/>
      <c r="E34" s="1834" t="s">
        <v>804</v>
      </c>
      <c r="F34" s="860" t="s">
        <v>769</v>
      </c>
      <c r="G34" s="1824" t="s">
        <v>558</v>
      </c>
      <c r="H34" s="727"/>
      <c r="I34" s="727"/>
      <c r="J34" s="459" t="s">
        <v>805</v>
      </c>
      <c r="K34" s="713"/>
      <c r="L34" s="1806"/>
      <c r="M34" s="1806"/>
      <c r="R34" s="1806"/>
      <c r="U34" s="714"/>
      <c r="AA34" s="1802"/>
      <c r="AB34" s="1802"/>
      <c r="AC34" s="1802"/>
      <c r="AD34" s="1802"/>
      <c r="AE34" s="1802"/>
      <c r="AF34" s="1330">
        <v>23</v>
      </c>
    </row>
    <row r="35" s="9217" customFormat="1" ht="35.649999999999999" customHeight="1">
      <c r="A35" s="1157"/>
      <c r="C35" s="1806" t="s">
        <v>594</v>
      </c>
      <c r="D35" s="1808"/>
      <c r="E35" s="1834" t="s">
        <v>112</v>
      </c>
      <c r="F35" s="1831" t="s">
        <v>635</v>
      </c>
      <c r="G35" s="1827" t="s">
        <v>313</v>
      </c>
      <c r="H35" s="571"/>
      <c r="I35" s="571"/>
      <c r="J35" s="459" t="s">
        <v>806</v>
      </c>
      <c r="K35" s="713"/>
      <c r="L35" s="1806"/>
      <c r="M35" s="1806"/>
      <c r="R35" s="1806"/>
      <c r="U35" s="714"/>
      <c r="AA35" s="1802"/>
      <c r="AB35" s="1802"/>
      <c r="AC35" s="1802"/>
      <c r="AD35" s="1802"/>
      <c r="AE35" s="1802"/>
      <c r="AF35" s="1330">
        <v>34</v>
      </c>
    </row>
    <row r="36" s="9217" customFormat="1" ht="35.649999999999999" customHeight="1">
      <c r="A36" s="1157"/>
      <c r="C36" s="1806"/>
      <c r="D36" s="1808"/>
      <c r="E36" s="1834" t="s">
        <v>93</v>
      </c>
      <c r="F36" s="1831" t="s">
        <v>807</v>
      </c>
      <c r="G36" s="1824" t="s">
        <v>774</v>
      </c>
      <c r="H36" s="715"/>
      <c r="I36" s="715"/>
      <c r="J36" s="459" t="s">
        <v>775</v>
      </c>
      <c r="K36" s="713"/>
      <c r="L36" s="1806"/>
      <c r="M36" s="1806"/>
      <c r="R36" s="1806"/>
      <c r="U36" s="714"/>
      <c r="AA36" s="1802"/>
      <c r="AB36" s="1802"/>
      <c r="AC36" s="1802"/>
      <c r="AD36" s="1802"/>
      <c r="AE36" s="1802"/>
      <c r="AF36" s="1330">
        <v>34</v>
      </c>
    </row>
    <row r="37" s="9217" customFormat="1" ht="24" customHeight="1">
      <c r="A37" s="1157"/>
      <c r="C37" s="1806"/>
      <c r="D37" s="1808"/>
      <c r="E37" s="1834" t="s">
        <v>94</v>
      </c>
      <c r="F37" s="1831" t="s">
        <v>808</v>
      </c>
      <c r="G37" s="1824" t="s">
        <v>777</v>
      </c>
      <c r="H37" s="715"/>
      <c r="I37" s="715"/>
      <c r="J37" s="459" t="s">
        <v>778</v>
      </c>
      <c r="K37" s="713"/>
      <c r="L37" s="1806"/>
      <c r="M37" s="1806"/>
      <c r="R37" s="1806"/>
      <c r="U37" s="714"/>
      <c r="AA37" s="1802"/>
      <c r="AB37" s="1802"/>
      <c r="AC37" s="1802"/>
      <c r="AD37" s="1802"/>
      <c r="AE37" s="1802"/>
      <c r="AF37" s="1330">
        <v>23</v>
      </c>
    </row>
    <row r="38" ht="11.5" customHeight="1">
      <c r="D38" s="1808"/>
      <c r="AF38" s="1801">
        <v>11</v>
      </c>
    </row>
    <row r="39" ht="27.300000000000001" customHeight="1">
      <c r="D39" s="1808"/>
      <c r="E39" s="1423" t="s">
        <v>809</v>
      </c>
      <c r="F39" s="2455" t="s">
        <v>810</v>
      </c>
      <c r="G39" s="2455"/>
      <c r="H39" s="539"/>
      <c r="I39" s="539"/>
      <c r="J39" s="539"/>
      <c r="AF39" s="1801">
        <v>26</v>
      </c>
    </row>
    <row r="40" s="9831" customFormat="1" ht="39.75" customHeight="1">
      <c r="A40" s="1157"/>
      <c r="B40" s="1806"/>
      <c r="C40" s="1806"/>
      <c r="D40" s="521"/>
      <c r="F40" s="2455" t="s">
        <v>811</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r="41" s="9831" customFormat="1" ht="11.5" customHeight="1">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r="42" s="9831" customFormat="1" ht="11.5" customHeight="1">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r="43" s="9831" customFormat="1" ht="11.5" customHeight="1">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r="44" s="9831" customFormat="1" ht="11.5" customHeight="1">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r="45" s="9831" customFormat="1" ht="11.5" customHeight="1">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r="46" s="9831" customFormat="1" ht="11.5" customHeight="1">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r="47" s="9831" customFormat="1" ht="11.5" customHeight="1">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r="48" s="9831" customFormat="1" ht="11.5" customHeight="1">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r="49" s="9831" customFormat="1" ht="11.5" customHeight="1">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r="50" s="9831" customFormat="1" ht="11.5" customHeight="1">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r="51" s="9831" customFormat="1" ht="11.5" customHeight="1">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r="52" s="9831" customFormat="1" ht="11.5" customHeight="1">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r="53" s="9831" customFormat="1" ht="11.5" customHeight="1">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r="54" s="9831" customFormat="1" ht="11.5" customHeight="1">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r="55" s="9831" customFormat="1" ht="11.5" customHeight="1">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r="56" s="9831" customFormat="1" ht="11.5" customHeight="1">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r="57" s="9831" customFormat="1" ht="11.5" customHeight="1">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r="58" s="9831" customFormat="1" ht="11.5" customHeight="1">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r="59" s="9831" customFormat="1" ht="11.5" customHeight="1">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r="60" s="9831" customFormat="1" ht="11.5" customHeight="1">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r="61" s="9831" customFormat="1" ht="11.5" customHeight="1">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r="62" s="9831" customFormat="1" ht="11.5" customHeight="1">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r="63" s="9831" customFormat="1" ht="11.5" customHeight="1">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r="64" s="9831" customFormat="1" ht="11.5" customHeight="1">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r="65" s="9831" customFormat="1" ht="11.5" customHeight="1">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r="66" s="9831" customFormat="1" ht="11.5" customHeight="1">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r="67" s="9831" customFormat="1" ht="11.5" customHeight="1">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r="68" s="9831" customFormat="1" ht="11.5" customHeight="1">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r="69" s="9831" customFormat="1" ht="11.5" customHeight="1">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r="70" s="9831" customFormat="1" ht="11.5" customHeight="1">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r="71" s="9831" customFormat="1" ht="11.5" customHeight="1">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r="72" s="9831" customFormat="1" ht="11.5" customHeight="1">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r="73" s="9831" customFormat="1" ht="11.5" customHeight="1">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r="74" s="9831" customFormat="1" ht="11.5" customHeight="1">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r="75" s="9831" customFormat="1" ht="11.5" customHeight="1">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r="76" s="9831" customFormat="1" ht="11.5" customHeight="1">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r="77" s="9831" customFormat="1" ht="11.5" customHeight="1">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r="78" s="9831" customFormat="1" ht="11.5" customHeight="1">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r="79" s="9831" customFormat="1" ht="11.5" customHeight="1">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r="80" s="9831" customFormat="1" ht="11.5" customHeight="1">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r="81" s="9831" customFormat="1" ht="11.5" customHeight="1">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r="82" s="9831" customFormat="1" ht="11.5" customHeight="1">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r="83" s="9831" customFormat="1" ht="11.5" customHeight="1">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r="84" s="9831" customFormat="1" ht="11.5" customHeight="1">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r="85" s="9831" customFormat="1" ht="11.5" customHeight="1">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r="86" s="9831" customFormat="1" ht="11.5" customHeight="1">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r="87" s="9831" customFormat="1" ht="11.5" customHeight="1">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r="88" s="9831" customFormat="1" ht="11.5" customHeight="1">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r="89" s="9831" customFormat="1" ht="11.5" customHeight="1">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r="90" s="9831" customFormat="1" ht="11.5" customHeight="1">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r="91" s="9831" customFormat="1" ht="11.5" customHeight="1">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r="92" s="9831" customFormat="1" ht="11.5" customHeight="1">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r="93" s="9831" customFormat="1" ht="11.5" customHeight="1">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r="94" s="9831" customFormat="1" ht="11.5" customHeight="1">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r="95" s="9831" customFormat="1" ht="11.5" customHeight="1">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r="96" s="9831" customFormat="1" ht="11.5" customHeight="1">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r="97" s="9831" customFormat="1" ht="11.5" customHeight="1">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r="98" s="9831" customFormat="1" ht="11.5" customHeight="1">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r="99" s="9831" customFormat="1" ht="11.5" customHeight="1">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r="100" s="9831" customFormat="1" ht="11.5" customHeight="1">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r="101" s="9831" customFormat="1" ht="11.5" customHeight="1">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r="102" s="9831" customFormat="1" ht="11.5" customHeight="1">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r="103" s="9831" customFormat="1" ht="11.5" customHeight="1">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r="104" s="9831" customFormat="1" ht="11.5" customHeight="1">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r="105" s="9831" customFormat="1" ht="11.5" customHeight="1">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r="106" s="9831" customFormat="1" ht="11.5" customHeight="1">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r="107" s="9831" customFormat="1" ht="11.5" customHeight="1">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r="108" s="9831" customFormat="1" ht="11.5" customHeight="1">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r="109" s="9831" customFormat="1" ht="11.5" customHeight="1">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r="110" s="9831" customFormat="1" ht="11.5" customHeight="1">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r="111" s="9831" customFormat="1" ht="11.5" customHeight="1">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r="112" s="9831" customFormat="1" ht="11.5" customHeight="1">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r="113" s="9831" customFormat="1" ht="11.5" customHeight="1">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r="114" s="9831" customFormat="1" ht="11.5" customHeight="1">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r="115" s="9831" customFormat="1" ht="11.5" customHeight="1">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r="116" s="9831" customFormat="1" ht="11.5" customHeight="1">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r="117" s="9831" customFormat="1" ht="11.5" customHeight="1">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r="118" s="9831" customFormat="1" ht="11.5" customHeight="1">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r="119" s="9831" customFormat="1" ht="11.5" customHeight="1">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r="120" s="9831" customFormat="1" ht="11.5" customHeight="1">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r="121" s="9831" customFormat="1" ht="11.5" customHeight="1">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r="122" s="9831" customFormat="1" ht="11.5" customHeight="1">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r="123" s="9831" customFormat="1" ht="11.5" customHeight="1">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r="124" s="9831" customFormat="1" ht="11.5" customHeight="1">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r="125" s="9831" customFormat="1" ht="11.5" customHeight="1">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r="126" s="9831" customFormat="1" ht="11.5" customHeight="1">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r="127" s="9831" customFormat="1" ht="11.5" customHeight="1">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r="128" s="9831" customFormat="1" ht="11.5" customHeight="1">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r="129" s="9831" customFormat="1" ht="11.5" customHeight="1">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r="130" s="9831" customFormat="1" ht="11.5" customHeight="1">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r="131" s="9831" customFormat="1" ht="11.5" customHeight="1">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r="132" s="9831" customFormat="1" ht="11.5" customHeight="1">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r="133" s="9831" customFormat="1" ht="11.5" customHeight="1">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r="134" s="9831" customFormat="1" ht="11.5" customHeight="1">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r="135" s="9831" customFormat="1" ht="11.5" customHeight="1">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r="136" s="9831" customFormat="1" ht="11.5" customHeight="1">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r="137" s="9831" customFormat="1" ht="11.5" customHeight="1">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r="138" s="9831" customFormat="1" ht="11.5" customHeight="1">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r="139" s="9831" customFormat="1" ht="11.5" customHeight="1">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r="140" s="9831" customFormat="1" ht="11.5" customHeight="1">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r="141" s="9831" customFormat="1" ht="11.5" customHeight="1">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r="142" s="9831" customFormat="1" ht="11.5" customHeight="1">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r="143" s="9831" customFormat="1" ht="11.5" customHeight="1">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r="144" s="9831" customFormat="1" ht="11.5" customHeight="1">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r="145" s="9831" customFormat="1" ht="11.5" customHeight="1">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r="146" s="9831" customFormat="1" ht="11.5" customHeight="1">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r="147" s="9831" customFormat="1" ht="11.5" customHeight="1">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r="148" s="9831" customFormat="1" ht="11.5" customHeight="1">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r="149" s="9831" customFormat="1" ht="11.5" customHeight="1">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r="150" s="9831" customFormat="1" ht="11.5" customHeight="1">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r="151" s="9831" customFormat="1" ht="11.5" customHeight="1">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r="152" s="9831" customFormat="1" ht="11.5" customHeight="1">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r="153" s="9831" customFormat="1" ht="11.5" customHeight="1">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r="154" s="9831" customFormat="1" ht="11.5" customHeight="1">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r="155" s="9831" customFormat="1" ht="11.5" customHeight="1">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r="156" s="9831" customFormat="1" ht="11.5" customHeight="1">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r="157" s="9831" customFormat="1" ht="11.5" customHeight="1">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r="158" s="9831" customFormat="1" ht="11.5" customHeight="1">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r="159" s="9831" customFormat="1" ht="11.5" customHeight="1">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r="160" s="9831" customFormat="1" ht="11.5" customHeight="1">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r="161" s="9831" customFormat="1" ht="11.5" customHeight="1">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r="162" s="9831" customFormat="1" ht="11.5" customHeight="1">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r="163" s="9831" customFormat="1" ht="11.5" customHeight="1">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r="164" s="9831" customFormat="1" ht="11.5" customHeight="1">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r="165" s="9831" customFormat="1" ht="11.5" customHeight="1">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r="166" s="9831" customFormat="1" ht="11.5" customHeight="1">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r="167" s="9831" customFormat="1" ht="11.5" customHeight="1">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r="168" s="9831" customFormat="1" ht="11.5" customHeight="1">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r="169" s="9831" customFormat="1" ht="11.5" customHeight="1">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r="170" s="9831" customFormat="1" ht="11.5" customHeight="1">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r="171" s="9831" customFormat="1" ht="11.5" customHeight="1">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r="172" s="9831" customFormat="1" ht="11.5" customHeight="1">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r="173" s="9831" customFormat="1" ht="11.5" customHeight="1">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r="174" s="9831" customFormat="1" ht="11.5" customHeight="1">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r="175" s="9831" customFormat="1" ht="11.5" customHeight="1">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r="176" s="9831" customFormat="1" ht="11.5" customHeight="1">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r="177" s="9831" customFormat="1" ht="11.5" customHeight="1">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r="178" s="9831" customFormat="1" ht="11.5" customHeight="1">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r="179" s="9831" customFormat="1" ht="11.5" customHeight="1">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r="180" s="9831" customFormat="1" ht="11.5" customHeight="1">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r="181" s="9831" customFormat="1" ht="11.5" customHeight="1">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r="182" s="9831" customFormat="1" ht="11.5" customHeight="1">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r="183" s="9831" customFormat="1" ht="11.5" customHeight="1">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r="184" s="9831" customFormat="1" ht="11.5" customHeight="1">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r="185" s="9831" customFormat="1" ht="11.5" customHeight="1">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r="186" s="9831" customFormat="1" ht="11.5" customHeight="1">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r="187" s="9831" customFormat="1" ht="11.5" customHeight="1">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r="188" s="9831" customFormat="1" ht="11.5" customHeight="1">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r="189" s="9831" customFormat="1" ht="11.5" customHeight="1">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r="190" s="9831" customFormat="1" ht="11.5" customHeight="1">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r="191" s="9831" customFormat="1" ht="11.5" customHeight="1">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r="192" s="9831" customFormat="1" ht="11.5" customHeight="1">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r="193" s="9831" customFormat="1" ht="11.5" customHeight="1">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r="194" s="9831" customFormat="1" ht="11.5" customHeight="1">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r="195" s="9831" customFormat="1" ht="11.5" customHeight="1">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r="196" ht="11.5" customHeight="1">
      <c r="AF196" s="1801">
        <v>11</v>
      </c>
    </row>
    <row r="197" ht="11.5" customHeight="1">
      <c r="AF197" s="1801">
        <v>11</v>
      </c>
    </row>
    <row r="198" ht="11.5" customHeight="1">
      <c r="AF198" s="1801">
        <v>11</v>
      </c>
    </row>
    <row r="199" ht="11.5" customHeight="1">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r="200" ht="11.5" customHeight="1">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r="201" ht="11.5" customHeight="1">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r="202" ht="11.5" customHeight="1">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r="203" ht="11.5" customHeight="1">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r="204" ht="11.5" customHeight="1">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r="205" ht="11.5" customHeight="1">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r="206" ht="11.5" customHeight="1">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r="207" ht="11.5" customHeight="1">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r="208" ht="11.5" customHeight="1">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r="209" ht="11.5" customHeight="1">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r="210" ht="11.25" hidden="1" customHeight="1">
      <c r="A210" s="1157" t="s">
        <v>83</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autoFilter="0" deleteColumns="1" deleteRows="1" formatColumns="0" formatRows="0" insertColumns="1" insertRows="1" sheet="1" sort="1"/>
  <mergeCells count="9">
    <mergeCell ref="F40:G40"/>
    <mergeCell ref="E6:I6"/>
    <mergeCell ref="E7:I7"/>
    <mergeCell ref="F10:G10"/>
    <mergeCell ref="J10:J14"/>
    <mergeCell ref="F11:G11"/>
    <mergeCell ref="F12:G12"/>
    <mergeCell ref="E13:G13"/>
    <mergeCell ref="F39:G39"/>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5">
        <x14:dataValidation xr:uid="{00430022-0057-43A2-AA75-0079001100E8}" type="textLength" allowBlank="1" error="Допускается ввод не более 900 символов!" errorTitle="Ошибка" operator="lessThanOrEqual" prompt="Введите наименование прочих расходов" showErrorMessage="1" showInputMessage="1">
          <x14:formula1>
            <xm:f>900</xm:f>
          </x14:formula1>
          <xm:sqref>H28:I28</xm:sqref>
        </x14:dataValidation>
        <x14:dataValidation xr:uid="{0008005D-00B4-484D-8EFF-000700C2001D}" type="decimal" allowBlank="1" error="Допускается ввод только неотрицательных чисел!" errorTitle="Ошибка" showErrorMessage="1">
          <x14:formula1>
            <xm:f>0</xm:f>
          </x14:formula1>
          <x14:formula2>
            <xm:f>9.99999999999999E+23</xm:f>
          </x14:formula2>
          <xm:sqref>H31:I31 H2:I2 H15:I15 H17:I27 H36:I37</xm:sqref>
        </x14:dataValidation>
        <x14:dataValidation xr:uid="{00C400D2-00CF-4A6D-9571-003800220021}"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H35:I35</xm:sqref>
        </x14:dataValidation>
        <x14:dataValidation xr:uid="{009E0038-0066-48B5-9AC5-002800EB00F5}" type="decimal" allowBlank="1" error="Допускается ввод только действительных чисел!" errorTitle="Ошибка" showErrorMessage="1">
          <x14:formula1>
            <xm:f>-9.99999999999999E+23</xm:f>
          </x14:formula1>
          <x14:formula2>
            <xm:f>9.99999999999999E+23</xm:f>
          </x14:formula2>
          <xm:sqref>H30:I30</xm:sqref>
        </x14:dataValidation>
        <x14:dataValidation xr:uid="{0027005C-007F-4809-8D98-005C00B20077}" type="decimal" allowBlank="1" error="Допускается ввод только действительных чисел!" errorTitle="Ошибка" showErrorMessage="1">
          <x14:formula1>
            <xm:f>-9.99999999999999E+37</xm:f>
          </x14:formula1>
          <x14:formula2>
            <xm:f>9.99999999999999E+37</xm:f>
          </x14:formula2>
          <xm:sqref>H32:I34</xm:sqref>
        </x14:dataValidation>
      </x14:dataValidations>
    </ext>
  </extLs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defaultRowHeight="11.25" customHeight="1"/>
  <cols>
    <col customWidth="1" hidden="1" min="1" max="1" style="11154" width="9.140625"/>
    <col customWidth="1" hidden="1" min="2" max="2" style="9218" width="3.57421875"/>
    <col customWidth="1" min="3" max="3" style="9138" width="3.00390625"/>
    <col customWidth="1" min="4" max="4" style="9138" width="7.00390625"/>
    <col customWidth="1" min="5" max="5" style="9138" width="69.00390625"/>
    <col customWidth="1" min="6" max="6" style="9138" width="10.00390625"/>
    <col customWidth="1" hidden="1" min="7" max="8" style="9138" width="44.00390625"/>
    <col customWidth="1" min="9" max="9" style="9138" width="44.00390625"/>
    <col customWidth="1" min="10" max="10" style="9138" width="43.00390625"/>
    <col customWidth="1" min="11" max="11" style="9138" width="73.00390625"/>
    <col customWidth="1" min="12" max="12" style="9138" width="3.00390625"/>
    <col customWidth="1" min="13" max="23" style="9138" width="10.00390625"/>
    <col hidden="1" min="24" max="24" style="9138" width="10.57421875"/>
  </cols>
  <sheetData>
    <row r="1" s="9217" customFormat="1" ht="22.5" hidden="1" customHeight="1">
      <c r="A1" s="706"/>
      <c r="B1" s="681"/>
      <c r="G1" s="587">
        <v>4</v>
      </c>
      <c r="I1" s="587">
        <v>4</v>
      </c>
      <c r="K1" s="587">
        <v>5</v>
      </c>
      <c r="X1" s="587" t="s">
        <v>14</v>
      </c>
    </row>
    <row r="2" ht="3" customHeight="1">
      <c r="X2" s="675">
        <v>3</v>
      </c>
    </row>
    <row r="3" ht="78.75" customHeight="1">
      <c r="D3" s="2408"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09"/>
      <c r="F3" s="2410"/>
      <c r="X3" s="675">
        <v>75</v>
      </c>
    </row>
    <row r="4" s="9138" customFormat="1" ht="21" customHeight="1">
      <c r="A4" s="1121"/>
      <c r="B4" s="681"/>
      <c r="D4" s="2384" t="str">
        <f>IF(org=0,"Не определено",org)</f>
        <v xml:space="preserve">АО "ДГК" СП "Биробиджанская ТЭЦ"</v>
      </c>
      <c r="E4" s="2385"/>
      <c r="F4" s="2386"/>
      <c r="X4" s="928">
        <v>20</v>
      </c>
    </row>
    <row r="5" ht="11.5" customHeight="1">
      <c r="C5" s="679"/>
      <c r="D5" s="758"/>
      <c r="E5" s="758"/>
      <c r="F5" s="758"/>
      <c r="G5" s="758"/>
      <c r="H5" s="922"/>
      <c r="I5" s="758"/>
      <c r="J5" s="922"/>
      <c r="K5" s="758"/>
      <c r="X5" s="675">
        <v>11</v>
      </c>
    </row>
    <row r="6" ht="1.05" customHeight="1">
      <c r="C6" s="679"/>
      <c r="D6" s="679"/>
      <c r="E6" s="692"/>
      <c r="F6" s="784"/>
      <c r="G6" s="1192"/>
      <c r="H6" s="1192"/>
      <c r="I6" s="1192" t="s">
        <v>117</v>
      </c>
      <c r="J6" s="1192"/>
      <c r="X6" s="675">
        <v>1</v>
      </c>
    </row>
    <row r="7" ht="11.5" customHeight="1">
      <c r="D7" s="881"/>
      <c r="E7" s="2537" t="s">
        <v>106</v>
      </c>
      <c r="F7" s="2538"/>
      <c r="G7" s="2563" t="str">
        <f>IF(G6="","",INDEX(DIFFERENTIATION_UNMERGE_VD,MATCH(G6,DIFFERENTIATION_ID_DIFF,0)))</f>
        <v/>
      </c>
      <c r="H7" s="2564"/>
      <c r="I7" s="2563">
        <f>IF(I6="","",INDEX(DIFFERENTIATION_UNMERGE_VD,MATCH(I6,DIFFERENTIATION_ID_DIFF,0)))</f>
        <v>0</v>
      </c>
      <c r="J7" s="2564"/>
      <c r="K7" s="2345"/>
      <c r="L7" s="679"/>
      <c r="X7" s="675">
        <v>11</v>
      </c>
    </row>
    <row r="8" ht="11.5" customHeight="1">
      <c r="A8" s="874"/>
      <c r="D8" s="881"/>
      <c r="E8" s="2537" t="s">
        <v>570</v>
      </c>
      <c r="F8" s="2538"/>
      <c r="G8" s="2563" t="str">
        <f>IF(G6="","",INDEX(DIFFERENTIATION_UNMERGE_AREA,MATCH(G6,DIFFERENTIATION_ID_DIFF,0)))</f>
        <v/>
      </c>
      <c r="H8" s="2564"/>
      <c r="I8" s="2563" t="str">
        <f>IF(I6="","",INDEX(DIFFERENTIATION_UNMERGE_AREA,MATCH(I6,DIFFERENTIATION_ID_DIFF,0)))</f>
        <v/>
      </c>
      <c r="J8" s="2564"/>
      <c r="K8" s="2369"/>
      <c r="L8" s="679"/>
      <c r="X8" s="675">
        <v>11</v>
      </c>
    </row>
    <row r="9" ht="11.5" customHeight="1">
      <c r="A9" s="874"/>
      <c r="D9" s="881"/>
      <c r="E9" s="2537" t="s">
        <v>571</v>
      </c>
      <c r="F9" s="2538"/>
      <c r="G9" s="2563" t="str">
        <f>IF(G6="","",INDEX(DIFFERENTIATION_UNMERGE_SYSTEM,MATCH(G6,DIFFERENTIATION_ID_DIFF,0)))</f>
        <v/>
      </c>
      <c r="H9" s="2564"/>
      <c r="I9" s="2563" t="str">
        <f>IF(I6="","",INDEX(DIFFERENTIATION_UNMERGE_SYSTEM,MATCH(I6,DIFFERENTIATION_ID_DIFF,0)))</f>
        <v xml:space="preserve">без дифференциации</v>
      </c>
      <c r="J9" s="2564"/>
      <c r="K9" s="2369"/>
      <c r="L9" s="679"/>
      <c r="X9" s="675">
        <v>11</v>
      </c>
    </row>
    <row r="10" s="9138" customFormat="1" ht="11.5" customHeight="1">
      <c r="A10" s="1191"/>
      <c r="B10" s="681"/>
      <c r="D10" s="2271" t="s">
        <v>307</v>
      </c>
      <c r="E10" s="2272"/>
      <c r="F10" s="2272"/>
      <c r="G10" s="2272"/>
      <c r="H10" s="2272"/>
      <c r="I10" s="2272"/>
      <c r="J10" s="2273"/>
      <c r="K10" s="2369"/>
      <c r="L10" s="679"/>
      <c r="X10" s="928">
        <v>11</v>
      </c>
    </row>
    <row r="11" s="9138" customFormat="1" ht="24" customHeight="1">
      <c r="A11" s="2555"/>
      <c r="B11" s="2555"/>
      <c r="C11" s="827"/>
      <c r="D11" s="873" t="s">
        <v>89</v>
      </c>
      <c r="E11" s="875" t="s">
        <v>812</v>
      </c>
      <c r="F11" s="875" t="s">
        <v>572</v>
      </c>
      <c r="G11" s="635" t="s">
        <v>310</v>
      </c>
      <c r="H11" s="635" t="s">
        <v>397</v>
      </c>
      <c r="I11" s="977" t="s">
        <v>310</v>
      </c>
      <c r="J11" s="978" t="s">
        <v>397</v>
      </c>
      <c r="K11" s="2402"/>
      <c r="L11" s="828"/>
      <c r="X11" s="679">
        <v>23</v>
      </c>
    </row>
    <row r="12" s="9218" customFormat="1" ht="10.5" customHeight="1">
      <c r="A12" s="1122"/>
      <c r="D12" s="1195" t="s">
        <v>110</v>
      </c>
      <c r="E12" s="1195" t="s">
        <v>111</v>
      </c>
      <c r="F12" s="1195" t="s">
        <v>91</v>
      </c>
      <c r="G12" s="1196" t="str">
        <f>G1&amp;".1"</f>
        <v>4.1</v>
      </c>
      <c r="H12" s="1196" t="str">
        <f>G1&amp;".2"</f>
        <v>4.2</v>
      </c>
      <c r="I12" s="1196" t="str">
        <f>I1&amp;".1"</f>
        <v>4.1</v>
      </c>
      <c r="J12" s="1196" t="str">
        <f>I1&amp;".2"</f>
        <v>4.2</v>
      </c>
      <c r="K12" s="1196"/>
      <c r="X12" s="681">
        <v>10</v>
      </c>
    </row>
    <row r="13" ht="22.5" customHeight="1">
      <c r="A13" s="2562" t="s">
        <v>813</v>
      </c>
      <c r="D13" s="1123" t="s">
        <v>110</v>
      </c>
      <c r="E13" s="449" t="s">
        <v>814</v>
      </c>
      <c r="F13" s="830" t="s">
        <v>815</v>
      </c>
      <c r="G13" s="727"/>
      <c r="H13" s="831"/>
      <c r="I13" s="727"/>
      <c r="J13" s="831"/>
      <c r="K13" s="459" t="s">
        <v>816</v>
      </c>
      <c r="L13" s="890"/>
      <c r="X13" s="675">
        <v>0</v>
      </c>
    </row>
    <row r="14" ht="22.5" customHeight="1">
      <c r="A14" s="2562"/>
      <c r="D14" s="709" t="s">
        <v>111</v>
      </c>
      <c r="E14" s="449" t="s">
        <v>817</v>
      </c>
      <c r="F14" s="830" t="s">
        <v>818</v>
      </c>
      <c r="G14" s="727"/>
      <c r="H14" s="832"/>
      <c r="I14" s="727"/>
      <c r="J14" s="832"/>
      <c r="K14" s="459" t="s">
        <v>819</v>
      </c>
      <c r="L14" s="890"/>
      <c r="X14" s="675">
        <v>0</v>
      </c>
    </row>
    <row r="15" s="9138" customFormat="1" ht="78.75" customHeight="1">
      <c r="A15" s="2562"/>
      <c r="B15" s="681"/>
      <c r="D15" s="1123" t="s">
        <v>91</v>
      </c>
      <c r="E15" s="877" t="s">
        <v>820</v>
      </c>
      <c r="F15" s="1120" t="s">
        <v>313</v>
      </c>
      <c r="G15" s="1120" t="s">
        <v>313</v>
      </c>
      <c r="H15" s="276"/>
      <c r="I15" s="1120" t="s">
        <v>313</v>
      </c>
      <c r="J15" s="276"/>
      <c r="K15" s="459" t="s">
        <v>821</v>
      </c>
      <c r="L15" s="890"/>
      <c r="X15" s="928">
        <v>0</v>
      </c>
    </row>
    <row r="16" s="9138" customFormat="1" ht="22.5" customHeight="1">
      <c r="A16" s="2562"/>
      <c r="B16" s="681"/>
      <c r="D16" s="1123" t="s">
        <v>331</v>
      </c>
      <c r="E16" s="1124" t="s">
        <v>822</v>
      </c>
      <c r="F16" s="1120" t="s">
        <v>823</v>
      </c>
      <c r="G16" s="987"/>
      <c r="H16" s="276"/>
      <c r="I16" s="987"/>
      <c r="J16" s="276"/>
      <c r="K16" s="459"/>
      <c r="L16" s="890"/>
      <c r="X16" s="928">
        <v>0</v>
      </c>
    </row>
    <row r="17" s="9138" customFormat="1" ht="22.5" customHeight="1">
      <c r="A17" s="2562"/>
      <c r="B17" s="681"/>
      <c r="D17" s="1123" t="s">
        <v>339</v>
      </c>
      <c r="E17" s="1124" t="s">
        <v>824</v>
      </c>
      <c r="F17" s="1120" t="s">
        <v>825</v>
      </c>
      <c r="G17" s="987"/>
      <c r="H17" s="276"/>
      <c r="I17" s="987"/>
      <c r="J17" s="276"/>
      <c r="K17" s="459"/>
      <c r="L17" s="890"/>
      <c r="X17" s="928">
        <v>0</v>
      </c>
    </row>
    <row r="18" s="9138" customFormat="1" ht="33.75" customHeight="1">
      <c r="A18" s="2562"/>
      <c r="B18" s="681"/>
      <c r="D18" s="1123" t="s">
        <v>341</v>
      </c>
      <c r="E18" s="1124" t="s">
        <v>826</v>
      </c>
      <c r="F18" s="1120" t="s">
        <v>577</v>
      </c>
      <c r="G18" s="850"/>
      <c r="H18" s="276"/>
      <c r="I18" s="850"/>
      <c r="J18" s="276"/>
      <c r="K18" s="459"/>
      <c r="L18" s="890"/>
      <c r="X18" s="928">
        <v>0</v>
      </c>
    </row>
    <row r="19" ht="101.25" customHeight="1">
      <c r="A19" s="2562"/>
      <c r="D19" s="1123" t="s">
        <v>92</v>
      </c>
      <c r="E19" s="449" t="s">
        <v>827</v>
      </c>
      <c r="F19" s="830" t="s">
        <v>552</v>
      </c>
      <c r="G19" s="833"/>
      <c r="H19" s="832"/>
      <c r="I19" s="1125"/>
      <c r="J19" s="832"/>
      <c r="K19" s="459" t="s">
        <v>828</v>
      </c>
      <c r="L19" s="890"/>
      <c r="X19" s="675">
        <v>0</v>
      </c>
    </row>
    <row r="20" s="9138" customFormat="1" ht="18.75" customHeight="1">
      <c r="A20" s="2562"/>
      <c r="C20" s="1126"/>
      <c r="D20" s="1123" t="s">
        <v>759</v>
      </c>
      <c r="E20" s="1124" t="s">
        <v>829</v>
      </c>
      <c r="F20" s="1120" t="s">
        <v>313</v>
      </c>
      <c r="G20" s="1120" t="s">
        <v>313</v>
      </c>
      <c r="H20" s="1119" t="s">
        <v>313</v>
      </c>
      <c r="I20" s="1120" t="s">
        <v>313</v>
      </c>
      <c r="J20" s="1119" t="s">
        <v>313</v>
      </c>
      <c r="K20" s="1118"/>
      <c r="L20" s="890"/>
      <c r="W20" s="845"/>
      <c r="X20" s="928">
        <v>0</v>
      </c>
    </row>
    <row r="21" s="9138" customFormat="1" ht="33.75" customHeight="1">
      <c r="A21" s="2562"/>
      <c r="C21" s="1126"/>
      <c r="D21" s="1123" t="s">
        <v>762</v>
      </c>
      <c r="E21" s="746" t="s">
        <v>830</v>
      </c>
      <c r="F21" s="1120" t="s">
        <v>831</v>
      </c>
      <c r="G21" s="850"/>
      <c r="H21" s="276"/>
      <c r="I21" s="850"/>
      <c r="J21" s="276"/>
      <c r="K21" s="1118"/>
      <c r="L21" s="890"/>
      <c r="W21" s="845"/>
      <c r="X21" s="928">
        <v>0</v>
      </c>
    </row>
    <row r="22" s="9138" customFormat="1" ht="33.75" customHeight="1">
      <c r="A22" s="2562"/>
      <c r="C22" s="1126"/>
      <c r="D22" s="1123" t="s">
        <v>765</v>
      </c>
      <c r="E22" s="746" t="s">
        <v>832</v>
      </c>
      <c r="F22" s="1120" t="s">
        <v>833</v>
      </c>
      <c r="G22" s="850"/>
      <c r="H22" s="276"/>
      <c r="I22" s="850"/>
      <c r="J22" s="276"/>
      <c r="K22" s="1118"/>
      <c r="L22" s="890"/>
      <c r="W22" s="845"/>
      <c r="X22" s="928">
        <v>0</v>
      </c>
    </row>
    <row r="23" s="9138" customFormat="1" ht="22.5" customHeight="1">
      <c r="A23" s="2562"/>
      <c r="C23" s="1126"/>
      <c r="D23" s="1123" t="s">
        <v>801</v>
      </c>
      <c r="E23" s="1124" t="s">
        <v>834</v>
      </c>
      <c r="F23" s="1120" t="s">
        <v>313</v>
      </c>
      <c r="G23" s="1120" t="s">
        <v>313</v>
      </c>
      <c r="H23" s="1119" t="s">
        <v>313</v>
      </c>
      <c r="I23" s="1120" t="s">
        <v>313</v>
      </c>
      <c r="J23" s="1119" t="s">
        <v>313</v>
      </c>
      <c r="K23" s="1118"/>
      <c r="L23" s="890"/>
      <c r="W23" s="845"/>
      <c r="X23" s="928">
        <v>0</v>
      </c>
    </row>
    <row r="24" s="9138" customFormat="1" ht="22.5" customHeight="1">
      <c r="A24" s="2562"/>
      <c r="C24" s="1126"/>
      <c r="D24" s="1123" t="s">
        <v>835</v>
      </c>
      <c r="E24" s="746" t="s">
        <v>836</v>
      </c>
      <c r="F24" s="1120" t="s">
        <v>837</v>
      </c>
      <c r="G24" s="850"/>
      <c r="H24" s="856"/>
      <c r="I24" s="850"/>
      <c r="J24" s="856"/>
      <c r="K24" s="1118"/>
      <c r="L24" s="890"/>
      <c r="W24" s="845"/>
      <c r="X24" s="928">
        <v>0</v>
      </c>
    </row>
    <row r="25" s="9138" customFormat="1" ht="22.5" customHeight="1">
      <c r="A25" s="2562"/>
      <c r="C25" s="1126"/>
      <c r="D25" s="1123" t="s">
        <v>838</v>
      </c>
      <c r="E25" s="746" t="s">
        <v>839</v>
      </c>
      <c r="F25" s="1120" t="s">
        <v>313</v>
      </c>
      <c r="G25" s="1120" t="s">
        <v>313</v>
      </c>
      <c r="H25" s="1119" t="s">
        <v>313</v>
      </c>
      <c r="I25" s="1120" t="s">
        <v>313</v>
      </c>
      <c r="J25" s="1119" t="s">
        <v>313</v>
      </c>
      <c r="K25" s="1118"/>
      <c r="L25" s="890"/>
      <c r="W25" s="845"/>
      <c r="X25" s="928">
        <v>0</v>
      </c>
    </row>
    <row r="26" s="9138" customFormat="1" ht="18.75" customHeight="1">
      <c r="A26" s="2562"/>
      <c r="C26" s="1126"/>
      <c r="D26" s="1123" t="s">
        <v>840</v>
      </c>
      <c r="E26" s="723" t="s">
        <v>841</v>
      </c>
      <c r="F26" s="1120" t="s">
        <v>842</v>
      </c>
      <c r="G26" s="850"/>
      <c r="H26" s="856"/>
      <c r="I26" s="850"/>
      <c r="J26" s="856"/>
      <c r="K26" s="1118"/>
      <c r="L26" s="890"/>
      <c r="W26" s="845"/>
      <c r="X26" s="928">
        <v>0</v>
      </c>
    </row>
    <row r="27" s="9138" customFormat="1" ht="18.75" customHeight="1">
      <c r="A27" s="2562"/>
      <c r="C27" s="1126"/>
      <c r="D27" s="1123" t="s">
        <v>843</v>
      </c>
      <c r="E27" s="723" t="s">
        <v>844</v>
      </c>
      <c r="F27" s="1120" t="s">
        <v>845</v>
      </c>
      <c r="G27" s="850"/>
      <c r="H27" s="856"/>
      <c r="I27" s="850"/>
      <c r="J27" s="856"/>
      <c r="K27" s="1118"/>
      <c r="L27" s="890"/>
      <c r="W27" s="845"/>
      <c r="X27" s="928">
        <v>0</v>
      </c>
    </row>
    <row r="28" s="9138" customFormat="1" ht="18.75" customHeight="1">
      <c r="A28" s="2562"/>
      <c r="C28" s="1126"/>
      <c r="D28" s="1123" t="s">
        <v>846</v>
      </c>
      <c r="E28" s="746" t="s">
        <v>847</v>
      </c>
      <c r="F28" s="1120" t="s">
        <v>313</v>
      </c>
      <c r="G28" s="1120" t="s">
        <v>313</v>
      </c>
      <c r="H28" s="1119" t="s">
        <v>313</v>
      </c>
      <c r="I28" s="1120" t="s">
        <v>313</v>
      </c>
      <c r="J28" s="1119" t="s">
        <v>313</v>
      </c>
      <c r="K28" s="1118"/>
      <c r="L28" s="890"/>
      <c r="W28" s="845"/>
      <c r="X28" s="928">
        <v>0</v>
      </c>
    </row>
    <row r="29" s="9138" customFormat="1" ht="18.75" customHeight="1">
      <c r="A29" s="2562"/>
      <c r="C29" s="1126"/>
      <c r="D29" s="1123" t="s">
        <v>848</v>
      </c>
      <c r="E29" s="723" t="s">
        <v>841</v>
      </c>
      <c r="F29" s="1120" t="s">
        <v>849</v>
      </c>
      <c r="G29" s="850"/>
      <c r="H29" s="856"/>
      <c r="I29" s="850"/>
      <c r="J29" s="856"/>
      <c r="K29" s="1118"/>
      <c r="L29" s="890"/>
      <c r="W29" s="845"/>
      <c r="X29" s="928">
        <v>0</v>
      </c>
    </row>
    <row r="30" s="9138" customFormat="1" ht="18.75" customHeight="1">
      <c r="A30" s="2562"/>
      <c r="C30" s="1126"/>
      <c r="D30" s="1123" t="s">
        <v>850</v>
      </c>
      <c r="E30" s="723" t="s">
        <v>851</v>
      </c>
      <c r="F30" s="1120" t="s">
        <v>852</v>
      </c>
      <c r="G30" s="850"/>
      <c r="H30" s="856"/>
      <c r="I30" s="850"/>
      <c r="J30" s="856"/>
      <c r="K30" s="1118"/>
      <c r="L30" s="890"/>
      <c r="W30" s="845"/>
      <c r="X30" s="928">
        <v>0</v>
      </c>
    </row>
    <row r="31" ht="126.75" customHeight="1">
      <c r="A31" s="2562"/>
      <c r="D31" s="1123" t="s">
        <v>112</v>
      </c>
      <c r="E31" s="449" t="s">
        <v>853</v>
      </c>
      <c r="F31" s="830" t="s">
        <v>564</v>
      </c>
      <c r="G31" s="727"/>
      <c r="H31" s="832"/>
      <c r="I31" s="727"/>
      <c r="J31" s="832"/>
      <c r="K31" s="459" t="s">
        <v>854</v>
      </c>
      <c r="L31" s="890"/>
      <c r="X31" s="675">
        <v>0</v>
      </c>
    </row>
    <row r="32" ht="56.25" customHeight="1">
      <c r="A32" s="2562"/>
      <c r="D32" s="1123" t="s">
        <v>93</v>
      </c>
      <c r="E32" s="449" t="s">
        <v>855</v>
      </c>
      <c r="F32" s="709" t="s">
        <v>825</v>
      </c>
      <c r="G32" s="727"/>
      <c r="H32" s="832"/>
      <c r="I32" s="727"/>
      <c r="J32" s="832"/>
      <c r="K32" s="459" t="s">
        <v>856</v>
      </c>
      <c r="L32" s="890"/>
      <c r="X32" s="675">
        <v>0</v>
      </c>
    </row>
    <row r="33" ht="11.25" customHeight="1">
      <c r="A33" s="2562"/>
      <c r="E33" s="834"/>
      <c r="F33" s="351"/>
      <c r="G33" s="351"/>
      <c r="H33" s="351"/>
      <c r="I33" s="351"/>
      <c r="J33" s="351"/>
      <c r="K33" s="351"/>
      <c r="X33" s="675">
        <v>0</v>
      </c>
    </row>
    <row r="34" ht="12.75" customHeight="1">
      <c r="A34" s="2562"/>
      <c r="D34" s="235">
        <v>1</v>
      </c>
      <c r="E34" s="505" t="s">
        <v>857</v>
      </c>
      <c r="X34" s="675">
        <v>0</v>
      </c>
    </row>
    <row r="35" ht="11.25" customHeight="1">
      <c r="A35" s="2562"/>
      <c r="D35" s="539"/>
      <c r="E35" s="505" t="s">
        <v>858</v>
      </c>
      <c r="X35" s="675">
        <v>0</v>
      </c>
    </row>
    <row r="36" s="9138" customFormat="1" ht="11.5" customHeight="1">
      <c r="A36" s="1203"/>
      <c r="B36" s="688"/>
      <c r="D36" s="1204"/>
      <c r="E36" s="1205"/>
      <c r="X36" s="679">
        <v>11</v>
      </c>
    </row>
    <row r="37" s="9138" customFormat="1" ht="22.5" hidden="1" customHeight="1">
      <c r="A37" s="2562" t="s">
        <v>859</v>
      </c>
      <c r="B37" s="681"/>
      <c r="D37" s="1123">
        <v>1</v>
      </c>
      <c r="E37" s="877" t="s">
        <v>860</v>
      </c>
      <c r="F37" s="830" t="s">
        <v>815</v>
      </c>
      <c r="G37" s="727"/>
      <c r="H37" s="689"/>
      <c r="I37" s="727"/>
      <c r="J37" s="689"/>
      <c r="K37" s="459" t="s">
        <v>861</v>
      </c>
      <c r="X37" s="928">
        <v>0</v>
      </c>
    </row>
    <row r="38" s="9138" customFormat="1" ht="22.5" hidden="1" customHeight="1">
      <c r="A38" s="2562"/>
      <c r="B38" s="681"/>
      <c r="D38" s="839" t="s">
        <v>111</v>
      </c>
      <c r="E38" s="1202" t="s">
        <v>862</v>
      </c>
      <c r="F38" s="1206" t="s">
        <v>552</v>
      </c>
      <c r="G38" s="1206" t="s">
        <v>552</v>
      </c>
      <c r="H38" s="1200"/>
      <c r="I38" s="1206" t="s">
        <v>552</v>
      </c>
      <c r="J38" s="1200"/>
      <c r="K38" s="1201"/>
      <c r="X38" s="928">
        <v>0</v>
      </c>
    </row>
    <row r="39" s="9138" customFormat="1" ht="33.75" hidden="1" customHeight="1">
      <c r="A39" s="2562"/>
      <c r="B39" s="681"/>
      <c r="D39" s="835" t="s">
        <v>717</v>
      </c>
      <c r="E39" s="893" t="s">
        <v>863</v>
      </c>
      <c r="F39" s="830" t="s">
        <v>864</v>
      </c>
      <c r="G39" s="838"/>
      <c r="H39" s="1193"/>
      <c r="I39" s="838"/>
      <c r="J39" s="1193"/>
      <c r="K39" s="459" t="s">
        <v>865</v>
      </c>
      <c r="X39" s="928">
        <v>0</v>
      </c>
    </row>
    <row r="40" s="9138" customFormat="1" ht="33.75" hidden="1" customHeight="1">
      <c r="A40" s="2562"/>
      <c r="B40" s="681"/>
      <c r="D40" s="835" t="s">
        <v>720</v>
      </c>
      <c r="E40" s="893" t="s">
        <v>866</v>
      </c>
      <c r="F40" s="1197" t="s">
        <v>867</v>
      </c>
      <c r="G40" s="911"/>
      <c r="H40" s="1193"/>
      <c r="I40" s="911"/>
      <c r="J40" s="1193"/>
      <c r="K40" s="459" t="s">
        <v>868</v>
      </c>
      <c r="X40" s="928">
        <v>0</v>
      </c>
    </row>
    <row r="41" s="9138" customFormat="1" ht="22.5" hidden="1" customHeight="1">
      <c r="A41" s="2562"/>
      <c r="B41" s="681"/>
      <c r="D41" s="835" t="s">
        <v>91</v>
      </c>
      <c r="E41" s="892" t="s">
        <v>869</v>
      </c>
      <c r="F41" s="830" t="s">
        <v>552</v>
      </c>
      <c r="G41" s="830" t="s">
        <v>552</v>
      </c>
      <c r="H41" s="1194"/>
      <c r="I41" s="830" t="s">
        <v>552</v>
      </c>
      <c r="J41" s="1194"/>
      <c r="K41" s="472"/>
      <c r="X41" s="928">
        <v>0</v>
      </c>
    </row>
    <row r="42" s="9138" customFormat="1" ht="45" hidden="1" customHeight="1">
      <c r="A42" s="2562"/>
      <c r="B42" s="681"/>
      <c r="D42" s="835" t="s">
        <v>331</v>
      </c>
      <c r="E42" s="893" t="s">
        <v>870</v>
      </c>
      <c r="F42" s="830" t="s">
        <v>564</v>
      </c>
      <c r="G42" s="727"/>
      <c r="H42" s="1194"/>
      <c r="I42" s="727"/>
      <c r="J42" s="1194"/>
      <c r="K42" s="472" t="s">
        <v>871</v>
      </c>
      <c r="X42" s="928">
        <v>0</v>
      </c>
    </row>
    <row r="43" s="9138" customFormat="1" ht="45" hidden="1" customHeight="1">
      <c r="A43" s="2562"/>
      <c r="B43" s="681"/>
      <c r="D43" s="835" t="s">
        <v>339</v>
      </c>
      <c r="E43" s="837" t="s">
        <v>872</v>
      </c>
      <c r="F43" s="1198" t="s">
        <v>564</v>
      </c>
      <c r="G43" s="912"/>
      <c r="H43" s="1193"/>
      <c r="I43" s="912"/>
      <c r="J43" s="1193"/>
      <c r="K43" s="472" t="s">
        <v>873</v>
      </c>
      <c r="X43" s="928">
        <v>0</v>
      </c>
    </row>
    <row r="44" s="9138" customFormat="1" ht="11.25" hidden="1" customHeight="1">
      <c r="A44" s="2562"/>
      <c r="B44" s="681"/>
      <c r="D44" s="835" t="s">
        <v>92</v>
      </c>
      <c r="E44" s="836" t="s">
        <v>874</v>
      </c>
      <c r="F44" s="830" t="s">
        <v>864</v>
      </c>
      <c r="G44" s="838"/>
      <c r="H44" s="1193"/>
      <c r="I44" s="838"/>
      <c r="J44" s="1193"/>
      <c r="K44" s="459"/>
      <c r="X44" s="928">
        <v>0</v>
      </c>
    </row>
    <row r="45" s="9138" customFormat="1" ht="11.25" hidden="1" customHeight="1">
      <c r="A45" s="2562"/>
      <c r="B45" s="681"/>
      <c r="D45" s="835" t="s">
        <v>759</v>
      </c>
      <c r="E45" s="837" t="s">
        <v>875</v>
      </c>
      <c r="F45" s="830" t="s">
        <v>864</v>
      </c>
      <c r="G45" s="838"/>
      <c r="H45" s="1193"/>
      <c r="I45" s="838"/>
      <c r="J45" s="1193"/>
      <c r="K45" s="459"/>
      <c r="X45" s="928">
        <v>0</v>
      </c>
    </row>
    <row r="46" s="9138" customFormat="1" ht="11.25" hidden="1" customHeight="1">
      <c r="A46" s="2562"/>
      <c r="B46" s="681"/>
      <c r="D46" s="835" t="s">
        <v>801</v>
      </c>
      <c r="E46" s="837" t="s">
        <v>876</v>
      </c>
      <c r="F46" s="830" t="s">
        <v>864</v>
      </c>
      <c r="G46" s="838"/>
      <c r="H46" s="1193"/>
      <c r="I46" s="838"/>
      <c r="J46" s="1193"/>
      <c r="K46" s="459"/>
      <c r="X46" s="928">
        <v>0</v>
      </c>
    </row>
    <row r="47" s="9138" customFormat="1" ht="11.25" hidden="1" customHeight="1">
      <c r="A47" s="2562"/>
      <c r="B47" s="681"/>
      <c r="D47" s="835" t="s">
        <v>804</v>
      </c>
      <c r="E47" s="837" t="s">
        <v>877</v>
      </c>
      <c r="F47" s="830" t="s">
        <v>864</v>
      </c>
      <c r="G47" s="838"/>
      <c r="H47" s="1193"/>
      <c r="I47" s="838"/>
      <c r="J47" s="1193"/>
      <c r="K47" s="459"/>
      <c r="X47" s="928">
        <v>0</v>
      </c>
    </row>
    <row r="48" s="9138" customFormat="1" ht="11.25" hidden="1" customHeight="1">
      <c r="A48" s="2562"/>
      <c r="B48" s="681"/>
      <c r="D48" s="835" t="s">
        <v>878</v>
      </c>
      <c r="E48" s="841" t="s">
        <v>879</v>
      </c>
      <c r="F48" s="830" t="s">
        <v>864</v>
      </c>
      <c r="G48" s="838"/>
      <c r="H48" s="1193"/>
      <c r="I48" s="838"/>
      <c r="J48" s="1193"/>
      <c r="K48" s="459"/>
      <c r="X48" s="928">
        <v>0</v>
      </c>
    </row>
    <row r="49" s="9138" customFormat="1" ht="11.25" hidden="1" customHeight="1">
      <c r="A49" s="2562"/>
      <c r="B49" s="681"/>
      <c r="D49" s="835" t="s">
        <v>880</v>
      </c>
      <c r="E49" s="841" t="s">
        <v>881</v>
      </c>
      <c r="F49" s="830" t="s">
        <v>864</v>
      </c>
      <c r="G49" s="838"/>
      <c r="H49" s="1193"/>
      <c r="I49" s="838"/>
      <c r="J49" s="1193"/>
      <c r="K49" s="459"/>
      <c r="X49" s="928">
        <v>0</v>
      </c>
    </row>
    <row r="50" s="9138" customFormat="1" ht="11.25" hidden="1" customHeight="1">
      <c r="A50" s="2562"/>
      <c r="B50" s="681"/>
      <c r="D50" s="835" t="s">
        <v>882</v>
      </c>
      <c r="E50" s="837" t="s">
        <v>883</v>
      </c>
      <c r="F50" s="830" t="s">
        <v>864</v>
      </c>
      <c r="G50" s="838"/>
      <c r="H50" s="1193"/>
      <c r="I50" s="838"/>
      <c r="J50" s="1193"/>
      <c r="K50" s="459"/>
      <c r="X50" s="928">
        <v>0</v>
      </c>
    </row>
    <row r="51" s="9138" customFormat="1" ht="11.25" hidden="1" customHeight="1">
      <c r="A51" s="2562"/>
      <c r="B51" s="681"/>
      <c r="D51" s="835" t="s">
        <v>884</v>
      </c>
      <c r="E51" s="837" t="s">
        <v>885</v>
      </c>
      <c r="F51" s="830" t="s">
        <v>864</v>
      </c>
      <c r="G51" s="838"/>
      <c r="H51" s="1193"/>
      <c r="I51" s="838"/>
      <c r="J51" s="1193"/>
      <c r="K51" s="459"/>
      <c r="X51" s="928">
        <v>0</v>
      </c>
    </row>
    <row r="52" s="9138" customFormat="1" ht="45" hidden="1" customHeight="1">
      <c r="A52" s="2562"/>
      <c r="B52" s="681"/>
      <c r="D52" s="835" t="s">
        <v>112</v>
      </c>
      <c r="E52" s="836" t="s">
        <v>886</v>
      </c>
      <c r="F52" s="830" t="s">
        <v>864</v>
      </c>
      <c r="G52" s="838"/>
      <c r="H52" s="1193"/>
      <c r="I52" s="838"/>
      <c r="J52" s="1193"/>
      <c r="K52" s="459"/>
      <c r="X52" s="928">
        <v>0</v>
      </c>
    </row>
    <row r="53" s="9138" customFormat="1" ht="11.25" hidden="1" customHeight="1">
      <c r="A53" s="2562"/>
      <c r="B53" s="681"/>
      <c r="D53" s="835" t="s">
        <v>320</v>
      </c>
      <c r="E53" s="837" t="s">
        <v>875</v>
      </c>
      <c r="F53" s="830" t="s">
        <v>864</v>
      </c>
      <c r="G53" s="838"/>
      <c r="H53" s="1193"/>
      <c r="I53" s="838"/>
      <c r="J53" s="1193"/>
      <c r="K53" s="459"/>
      <c r="X53" s="928">
        <v>0</v>
      </c>
    </row>
    <row r="54" s="9138" customFormat="1" ht="11.25" hidden="1" customHeight="1">
      <c r="A54" s="2562"/>
      <c r="B54" s="681"/>
      <c r="D54" s="835" t="s">
        <v>887</v>
      </c>
      <c r="E54" s="837" t="s">
        <v>876</v>
      </c>
      <c r="F54" s="830" t="s">
        <v>864</v>
      </c>
      <c r="G54" s="838"/>
      <c r="H54" s="1193"/>
      <c r="I54" s="838"/>
      <c r="J54" s="1193"/>
      <c r="K54" s="459"/>
      <c r="X54" s="928">
        <v>0</v>
      </c>
    </row>
    <row r="55" s="9138" customFormat="1" ht="11.25" hidden="1" customHeight="1">
      <c r="A55" s="2562"/>
      <c r="B55" s="681"/>
      <c r="D55" s="835" t="s">
        <v>888</v>
      </c>
      <c r="E55" s="837" t="s">
        <v>877</v>
      </c>
      <c r="F55" s="830" t="s">
        <v>864</v>
      </c>
      <c r="G55" s="838"/>
      <c r="H55" s="1193"/>
      <c r="I55" s="838"/>
      <c r="J55" s="1193"/>
      <c r="K55" s="459"/>
      <c r="X55" s="928">
        <v>0</v>
      </c>
    </row>
    <row r="56" s="9138" customFormat="1" ht="11.25" hidden="1" customHeight="1">
      <c r="A56" s="2562"/>
      <c r="B56" s="681"/>
      <c r="D56" s="835" t="s">
        <v>889</v>
      </c>
      <c r="E56" s="841" t="s">
        <v>879</v>
      </c>
      <c r="F56" s="830" t="s">
        <v>864</v>
      </c>
      <c r="G56" s="838"/>
      <c r="H56" s="1193"/>
      <c r="I56" s="838"/>
      <c r="J56" s="1193"/>
      <c r="K56" s="459"/>
      <c r="X56" s="928">
        <v>0</v>
      </c>
    </row>
    <row r="57" s="9138" customFormat="1" ht="11.25" hidden="1" customHeight="1">
      <c r="A57" s="2562"/>
      <c r="B57" s="681"/>
      <c r="D57" s="835" t="s">
        <v>890</v>
      </c>
      <c r="E57" s="841" t="s">
        <v>881</v>
      </c>
      <c r="F57" s="830" t="s">
        <v>864</v>
      </c>
      <c r="G57" s="838"/>
      <c r="H57" s="1193"/>
      <c r="I57" s="838"/>
      <c r="J57" s="1193"/>
      <c r="K57" s="459"/>
      <c r="X57" s="928">
        <v>0</v>
      </c>
    </row>
    <row r="58" s="9138" customFormat="1" ht="11.25" hidden="1" customHeight="1">
      <c r="A58" s="2562"/>
      <c r="B58" s="681"/>
      <c r="D58" s="835" t="s">
        <v>891</v>
      </c>
      <c r="E58" s="837" t="s">
        <v>883</v>
      </c>
      <c r="F58" s="830" t="s">
        <v>864</v>
      </c>
      <c r="G58" s="838"/>
      <c r="H58" s="1193"/>
      <c r="I58" s="838"/>
      <c r="J58" s="1193"/>
      <c r="K58" s="459"/>
      <c r="X58" s="928">
        <v>0</v>
      </c>
    </row>
    <row r="59" s="9138" customFormat="1" ht="11.25" hidden="1" customHeight="1">
      <c r="A59" s="2562"/>
      <c r="B59" s="681"/>
      <c r="D59" s="835" t="s">
        <v>892</v>
      </c>
      <c r="E59" s="837" t="s">
        <v>885</v>
      </c>
      <c r="F59" s="830" t="s">
        <v>864</v>
      </c>
      <c r="G59" s="838"/>
      <c r="H59" s="1193"/>
      <c r="I59" s="838"/>
      <c r="J59" s="1193"/>
      <c r="K59" s="459"/>
      <c r="X59" s="928">
        <v>0</v>
      </c>
    </row>
    <row r="60" s="9138" customFormat="1" ht="33.75" hidden="1" customHeight="1">
      <c r="A60" s="2562"/>
      <c r="B60" s="681"/>
      <c r="D60" s="835" t="s">
        <v>93</v>
      </c>
      <c r="E60" s="836" t="s">
        <v>893</v>
      </c>
      <c r="F60" s="891" t="s">
        <v>564</v>
      </c>
      <c r="G60" s="912"/>
      <c r="H60" s="1193"/>
      <c r="I60" s="912"/>
      <c r="J60" s="1193"/>
      <c r="K60" s="472" t="s">
        <v>894</v>
      </c>
      <c r="X60" s="928">
        <v>0</v>
      </c>
    </row>
    <row r="61" s="9138" customFormat="1" ht="33.75" hidden="1" customHeight="1">
      <c r="A61" s="2562"/>
      <c r="B61" s="681"/>
      <c r="D61" s="835" t="s">
        <v>94</v>
      </c>
      <c r="E61" s="836" t="s">
        <v>895</v>
      </c>
      <c r="F61" s="896" t="s">
        <v>825</v>
      </c>
      <c r="G61" s="838"/>
      <c r="H61" s="1193"/>
      <c r="I61" s="838"/>
      <c r="J61" s="1193"/>
      <c r="K61" s="459"/>
      <c r="X61" s="928">
        <v>0</v>
      </c>
    </row>
    <row r="62" s="9138" customFormat="1" ht="22.5" hidden="1" customHeight="1">
      <c r="A62" s="2562"/>
      <c r="B62" s="681" t="s">
        <v>594</v>
      </c>
      <c r="D62" s="835" t="s">
        <v>100</v>
      </c>
      <c r="E62" s="836" t="s">
        <v>896</v>
      </c>
      <c r="F62" s="896" t="s">
        <v>313</v>
      </c>
      <c r="G62" s="552"/>
      <c r="H62" s="1193"/>
      <c r="I62" s="552"/>
      <c r="J62" s="1193"/>
      <c r="K62" s="459" t="s">
        <v>637</v>
      </c>
      <c r="X62" s="928">
        <v>0</v>
      </c>
    </row>
    <row r="63" s="9138" customFormat="1" ht="45" hidden="1" customHeight="1">
      <c r="A63" s="2562"/>
      <c r="B63" s="681" t="s">
        <v>594</v>
      </c>
      <c r="D63" s="835" t="s">
        <v>897</v>
      </c>
      <c r="E63" s="837" t="s">
        <v>898</v>
      </c>
      <c r="F63" s="891" t="s">
        <v>313</v>
      </c>
      <c r="G63" s="552"/>
      <c r="H63" s="1193"/>
      <c r="I63" s="552"/>
      <c r="J63" s="1193"/>
      <c r="K63" s="459" t="s">
        <v>637</v>
      </c>
      <c r="X63" s="928">
        <v>0</v>
      </c>
    </row>
    <row r="64" s="9138" customFormat="1" ht="11.5" customHeight="1">
      <c r="A64" s="1203"/>
      <c r="B64" s="688"/>
      <c r="D64" s="1204"/>
      <c r="E64" s="1205"/>
      <c r="X64" s="679">
        <v>11</v>
      </c>
    </row>
    <row r="65" s="9138" customFormat="1" ht="22.5" hidden="1" customHeight="1">
      <c r="A65" s="2562" t="s">
        <v>899</v>
      </c>
      <c r="B65" s="681"/>
      <c r="D65" s="835">
        <v>1</v>
      </c>
      <c r="E65" s="914" t="s">
        <v>900</v>
      </c>
      <c r="F65" s="910" t="s">
        <v>815</v>
      </c>
      <c r="G65" s="911"/>
      <c r="H65" s="1199"/>
      <c r="I65" s="911"/>
      <c r="J65" s="1199"/>
      <c r="K65" s="471" t="s">
        <v>901</v>
      </c>
      <c r="X65" s="928">
        <v>0</v>
      </c>
    </row>
    <row r="66" s="9138" customFormat="1" ht="56.25" hidden="1" customHeight="1">
      <c r="A66" s="2562"/>
      <c r="B66" s="681"/>
      <c r="D66" s="913" t="s">
        <v>111</v>
      </c>
      <c r="E66" s="877" t="s">
        <v>902</v>
      </c>
      <c r="F66" s="830" t="s">
        <v>552</v>
      </c>
      <c r="G66" s="830" t="s">
        <v>552</v>
      </c>
      <c r="H66" s="689"/>
      <c r="I66" s="830" t="s">
        <v>552</v>
      </c>
      <c r="J66" s="689"/>
      <c r="K66" s="459"/>
      <c r="X66" s="928">
        <v>0</v>
      </c>
    </row>
    <row r="67" s="9138" customFormat="1" ht="33.75" hidden="1" customHeight="1">
      <c r="A67" s="2562"/>
      <c r="B67" s="681"/>
      <c r="D67" s="913" t="s">
        <v>714</v>
      </c>
      <c r="E67" s="1124" t="s">
        <v>903</v>
      </c>
      <c r="F67" s="830" t="s">
        <v>867</v>
      </c>
      <c r="G67" s="897"/>
      <c r="H67" s="689"/>
      <c r="I67" s="897"/>
      <c r="J67" s="689"/>
      <c r="K67" s="459"/>
      <c r="X67" s="928">
        <v>0</v>
      </c>
    </row>
    <row r="68" s="9138" customFormat="1" ht="22.5" hidden="1" customHeight="1">
      <c r="A68" s="2562"/>
      <c r="B68" s="681"/>
      <c r="D68" s="913" t="s">
        <v>314</v>
      </c>
      <c r="E68" s="1124" t="s">
        <v>904</v>
      </c>
      <c r="F68" s="830" t="s">
        <v>867</v>
      </c>
      <c r="G68" s="897"/>
      <c r="H68" s="689"/>
      <c r="I68" s="897"/>
      <c r="J68" s="689"/>
      <c r="K68" s="459"/>
      <c r="X68" s="928">
        <v>0</v>
      </c>
    </row>
    <row r="69" s="9138" customFormat="1" ht="22.5" hidden="1" customHeight="1">
      <c r="A69" s="2562"/>
      <c r="B69" s="681"/>
      <c r="D69" s="913" t="s">
        <v>317</v>
      </c>
      <c r="E69" s="1124" t="s">
        <v>905</v>
      </c>
      <c r="F69" s="891" t="s">
        <v>564</v>
      </c>
      <c r="G69" s="912"/>
      <c r="H69" s="689"/>
      <c r="I69" s="912"/>
      <c r="J69" s="689"/>
      <c r="K69" s="459"/>
      <c r="X69" s="928">
        <v>0</v>
      </c>
    </row>
    <row r="70" s="9138" customFormat="1" ht="22.5" hidden="1" customHeight="1">
      <c r="A70" s="2562"/>
      <c r="B70" s="681"/>
      <c r="D70" s="913" t="s">
        <v>734</v>
      </c>
      <c r="E70" s="1124" t="s">
        <v>906</v>
      </c>
      <c r="F70" s="891" t="s">
        <v>564</v>
      </c>
      <c r="G70" s="912"/>
      <c r="H70" s="689"/>
      <c r="I70" s="912"/>
      <c r="J70" s="689"/>
      <c r="K70" s="459"/>
      <c r="X70" s="928">
        <v>0</v>
      </c>
    </row>
    <row r="71" s="9138" customFormat="1" ht="22.5" hidden="1" customHeight="1">
      <c r="A71" s="2562"/>
      <c r="B71" s="681"/>
      <c r="D71" s="835" t="s">
        <v>91</v>
      </c>
      <c r="E71" s="836" t="s">
        <v>907</v>
      </c>
      <c r="F71" s="830" t="s">
        <v>867</v>
      </c>
      <c r="G71" s="727"/>
      <c r="H71" s="1200"/>
      <c r="I71" s="727"/>
      <c r="J71" s="1200"/>
      <c r="K71" s="472"/>
      <c r="X71" s="928">
        <v>0</v>
      </c>
    </row>
    <row r="72" s="9138" customFormat="1" ht="56.25" hidden="1" customHeight="1">
      <c r="A72" s="2562"/>
      <c r="B72" s="681"/>
      <c r="D72" s="835" t="s">
        <v>92</v>
      </c>
      <c r="E72" s="836" t="s">
        <v>908</v>
      </c>
      <c r="F72" s="891" t="s">
        <v>564</v>
      </c>
      <c r="G72" s="912"/>
      <c r="H72" s="1193"/>
      <c r="I72" s="912"/>
      <c r="J72" s="1193"/>
      <c r="K72" s="472"/>
      <c r="X72" s="928">
        <v>0</v>
      </c>
    </row>
    <row r="73" s="9138" customFormat="1" ht="33.75" hidden="1" customHeight="1">
      <c r="A73" s="2562"/>
      <c r="B73" s="681"/>
      <c r="D73" s="835" t="s">
        <v>112</v>
      </c>
      <c r="E73" s="836" t="s">
        <v>909</v>
      </c>
      <c r="F73" s="896" t="s">
        <v>825</v>
      </c>
      <c r="G73" s="838"/>
      <c r="H73" s="1193"/>
      <c r="I73" s="838"/>
      <c r="J73" s="1193"/>
      <c r="K73" s="459"/>
      <c r="X73" s="928">
        <v>0</v>
      </c>
    </row>
    <row r="74" s="9138" customFormat="1" ht="22.5" hidden="1" customHeight="1">
      <c r="A74" s="2562"/>
      <c r="B74" s="681" t="s">
        <v>594</v>
      </c>
      <c r="D74" s="835" t="s">
        <v>93</v>
      </c>
      <c r="E74" s="836" t="s">
        <v>910</v>
      </c>
      <c r="F74" s="896" t="s">
        <v>313</v>
      </c>
      <c r="G74" s="552"/>
      <c r="H74" s="1193"/>
      <c r="I74" s="552"/>
      <c r="J74" s="1193"/>
      <c r="K74" s="459" t="s">
        <v>637</v>
      </c>
      <c r="X74" s="928">
        <v>0</v>
      </c>
    </row>
    <row r="75" s="9138" customFormat="1" ht="45" hidden="1" customHeight="1">
      <c r="A75" s="2562"/>
      <c r="B75" s="681" t="s">
        <v>594</v>
      </c>
      <c r="D75" s="835" t="s">
        <v>658</v>
      </c>
      <c r="E75" s="837" t="s">
        <v>911</v>
      </c>
      <c r="F75" s="891" t="s">
        <v>313</v>
      </c>
      <c r="G75" s="552"/>
      <c r="H75" s="1193"/>
      <c r="I75" s="552"/>
      <c r="J75" s="1193"/>
      <c r="K75" s="459" t="s">
        <v>637</v>
      </c>
      <c r="X75" s="928">
        <v>0</v>
      </c>
    </row>
    <row r="76" s="9138" customFormat="1" ht="11.5" customHeight="1">
      <c r="A76" s="1203"/>
      <c r="B76" s="688"/>
      <c r="D76" s="1204"/>
      <c r="E76" s="1205"/>
      <c r="X76" s="679">
        <v>11</v>
      </c>
    </row>
    <row r="77" s="9138" customFormat="1" ht="11.25" hidden="1" customHeight="1">
      <c r="A77" s="2562" t="s">
        <v>912</v>
      </c>
      <c r="B77" s="681"/>
      <c r="D77" s="835">
        <v>1</v>
      </c>
      <c r="E77" s="836" t="s">
        <v>913</v>
      </c>
      <c r="F77" s="891" t="s">
        <v>815</v>
      </c>
      <c r="G77" s="894"/>
      <c r="H77" s="1193"/>
      <c r="I77" s="894"/>
      <c r="J77" s="1193"/>
      <c r="K77" s="459" t="s">
        <v>914</v>
      </c>
      <c r="X77" s="928">
        <v>0</v>
      </c>
    </row>
    <row r="78" s="9138" customFormat="1" ht="11.25" hidden="1" customHeight="1">
      <c r="A78" s="2562"/>
      <c r="B78" s="681"/>
      <c r="D78" s="835" t="s">
        <v>111</v>
      </c>
      <c r="E78" s="836" t="s">
        <v>915</v>
      </c>
      <c r="F78" s="891" t="s">
        <v>815</v>
      </c>
      <c r="G78" s="894"/>
      <c r="H78" s="1193"/>
      <c r="I78" s="894"/>
      <c r="J78" s="1193"/>
      <c r="K78" s="459" t="s">
        <v>916</v>
      </c>
      <c r="X78" s="928">
        <v>0</v>
      </c>
    </row>
    <row r="79" s="9138" customFormat="1" ht="22.5" hidden="1" customHeight="1">
      <c r="A79" s="2562"/>
      <c r="B79" s="681"/>
      <c r="D79" s="835" t="s">
        <v>91</v>
      </c>
      <c r="E79" s="892" t="s">
        <v>917</v>
      </c>
      <c r="F79" s="830" t="s">
        <v>864</v>
      </c>
      <c r="G79" s="894"/>
      <c r="H79" s="1193"/>
      <c r="I79" s="894"/>
      <c r="J79" s="1193"/>
      <c r="K79" s="459" t="s">
        <v>918</v>
      </c>
      <c r="X79" s="928">
        <v>0</v>
      </c>
    </row>
    <row r="80" s="9138" customFormat="1" ht="11.25" hidden="1" customHeight="1">
      <c r="A80" s="2562"/>
      <c r="B80" s="681"/>
      <c r="D80" s="835" t="s">
        <v>331</v>
      </c>
      <c r="E80" s="893" t="s">
        <v>919</v>
      </c>
      <c r="F80" s="830" t="s">
        <v>864</v>
      </c>
      <c r="G80" s="894"/>
      <c r="H80" s="1193"/>
      <c r="I80" s="894"/>
      <c r="J80" s="1193"/>
      <c r="K80" s="459"/>
      <c r="X80" s="928">
        <v>0</v>
      </c>
    </row>
    <row r="81" s="9138" customFormat="1" ht="11.25" hidden="1" customHeight="1">
      <c r="A81" s="2562"/>
      <c r="B81" s="681"/>
      <c r="D81" s="835" t="s">
        <v>339</v>
      </c>
      <c r="E81" s="893" t="s">
        <v>920</v>
      </c>
      <c r="F81" s="830" t="s">
        <v>864</v>
      </c>
      <c r="G81" s="894"/>
      <c r="H81" s="1193"/>
      <c r="I81" s="894"/>
      <c r="J81" s="1193"/>
      <c r="K81" s="459"/>
      <c r="X81" s="928">
        <v>0</v>
      </c>
    </row>
    <row r="82" s="9138" customFormat="1" ht="11.25" hidden="1" customHeight="1">
      <c r="A82" s="2562"/>
      <c r="B82" s="681"/>
      <c r="D82" s="835" t="s">
        <v>341</v>
      </c>
      <c r="E82" s="893" t="s">
        <v>921</v>
      </c>
      <c r="F82" s="830" t="s">
        <v>864</v>
      </c>
      <c r="G82" s="894"/>
      <c r="H82" s="1193"/>
      <c r="I82" s="894"/>
      <c r="J82" s="1193"/>
      <c r="K82" s="459"/>
      <c r="X82" s="928">
        <v>0</v>
      </c>
    </row>
    <row r="83" s="9138" customFormat="1" ht="11.25" hidden="1" customHeight="1">
      <c r="A83" s="2562"/>
      <c r="B83" s="681"/>
      <c r="D83" s="835" t="s">
        <v>343</v>
      </c>
      <c r="E83" s="893" t="s">
        <v>922</v>
      </c>
      <c r="F83" s="830" t="s">
        <v>864</v>
      </c>
      <c r="G83" s="894"/>
      <c r="H83" s="1193"/>
      <c r="I83" s="894"/>
      <c r="J83" s="1193"/>
      <c r="K83" s="459"/>
      <c r="X83" s="928">
        <v>0</v>
      </c>
    </row>
    <row r="84" s="9138" customFormat="1" ht="11.25" hidden="1" customHeight="1">
      <c r="A84" s="2562"/>
      <c r="B84" s="681"/>
      <c r="D84" s="835" t="s">
        <v>923</v>
      </c>
      <c r="E84" s="893" t="s">
        <v>924</v>
      </c>
      <c r="F84" s="830" t="s">
        <v>864</v>
      </c>
      <c r="G84" s="894"/>
      <c r="H84" s="1193"/>
      <c r="I84" s="894"/>
      <c r="J84" s="1193"/>
      <c r="K84" s="459"/>
      <c r="X84" s="928">
        <v>0</v>
      </c>
    </row>
    <row r="85" s="9138" customFormat="1" ht="11.25" hidden="1" customHeight="1">
      <c r="A85" s="2562"/>
      <c r="B85" s="681"/>
      <c r="D85" s="835" t="s">
        <v>925</v>
      </c>
      <c r="E85" s="893" t="s">
        <v>926</v>
      </c>
      <c r="F85" s="830" t="s">
        <v>864</v>
      </c>
      <c r="G85" s="894"/>
      <c r="H85" s="1193"/>
      <c r="I85" s="894"/>
      <c r="J85" s="1193"/>
      <c r="K85" s="459"/>
      <c r="X85" s="928">
        <v>0</v>
      </c>
    </row>
    <row r="86" s="9138" customFormat="1" ht="11.25" hidden="1" customHeight="1">
      <c r="A86" s="2562"/>
      <c r="B86" s="681"/>
      <c r="D86" s="835" t="s">
        <v>927</v>
      </c>
      <c r="E86" s="893" t="s">
        <v>928</v>
      </c>
      <c r="F86" s="830" t="s">
        <v>864</v>
      </c>
      <c r="G86" s="894"/>
      <c r="H86" s="1193"/>
      <c r="I86" s="894"/>
      <c r="J86" s="1193"/>
      <c r="K86" s="459"/>
      <c r="X86" s="928">
        <v>0</v>
      </c>
    </row>
    <row r="87" s="9138" customFormat="1" ht="45" hidden="1" customHeight="1">
      <c r="A87" s="2562"/>
      <c r="B87" s="681"/>
      <c r="D87" s="835" t="s">
        <v>92</v>
      </c>
      <c r="E87" s="836" t="s">
        <v>929</v>
      </c>
      <c r="F87" s="830" t="s">
        <v>864</v>
      </c>
      <c r="G87" s="894"/>
      <c r="H87" s="1193"/>
      <c r="I87" s="894"/>
      <c r="J87" s="1193"/>
      <c r="K87" s="459" t="s">
        <v>930</v>
      </c>
      <c r="X87" s="928">
        <v>0</v>
      </c>
    </row>
    <row r="88" s="9138" customFormat="1" ht="11.25" hidden="1" customHeight="1">
      <c r="A88" s="2562"/>
      <c r="B88" s="681"/>
      <c r="D88" s="835" t="s">
        <v>759</v>
      </c>
      <c r="E88" s="893" t="s">
        <v>919</v>
      </c>
      <c r="F88" s="830" t="s">
        <v>864</v>
      </c>
      <c r="G88" s="894"/>
      <c r="H88" s="1193"/>
      <c r="I88" s="894"/>
      <c r="J88" s="1193"/>
      <c r="K88" s="459"/>
      <c r="X88" s="928">
        <v>0</v>
      </c>
    </row>
    <row r="89" s="9138" customFormat="1" ht="11.25" hidden="1" customHeight="1">
      <c r="A89" s="2562"/>
      <c r="B89" s="681"/>
      <c r="D89" s="835" t="s">
        <v>801</v>
      </c>
      <c r="E89" s="893" t="s">
        <v>920</v>
      </c>
      <c r="F89" s="830" t="s">
        <v>864</v>
      </c>
      <c r="G89" s="894"/>
      <c r="H89" s="1193"/>
      <c r="I89" s="894"/>
      <c r="J89" s="1193"/>
      <c r="K89" s="459"/>
      <c r="X89" s="928">
        <v>0</v>
      </c>
    </row>
    <row r="90" s="9138" customFormat="1" ht="11.25" hidden="1" customHeight="1">
      <c r="A90" s="2562"/>
      <c r="B90" s="681"/>
      <c r="D90" s="835" t="s">
        <v>804</v>
      </c>
      <c r="E90" s="893" t="s">
        <v>921</v>
      </c>
      <c r="F90" s="830" t="s">
        <v>864</v>
      </c>
      <c r="G90" s="894"/>
      <c r="H90" s="1193"/>
      <c r="I90" s="894"/>
      <c r="J90" s="1193"/>
      <c r="K90" s="459"/>
      <c r="X90" s="928">
        <v>0</v>
      </c>
    </row>
    <row r="91" s="9138" customFormat="1" ht="11.25" hidden="1" customHeight="1">
      <c r="A91" s="2562"/>
      <c r="B91" s="681"/>
      <c r="D91" s="835" t="s">
        <v>882</v>
      </c>
      <c r="E91" s="893" t="s">
        <v>922</v>
      </c>
      <c r="F91" s="830" t="s">
        <v>864</v>
      </c>
      <c r="G91" s="894"/>
      <c r="H91" s="1193"/>
      <c r="I91" s="894"/>
      <c r="J91" s="1193"/>
      <c r="K91" s="459"/>
      <c r="X91" s="928">
        <v>0</v>
      </c>
    </row>
    <row r="92" s="9138" customFormat="1" ht="11.25" hidden="1" customHeight="1">
      <c r="A92" s="2562"/>
      <c r="B92" s="681"/>
      <c r="D92" s="835" t="s">
        <v>884</v>
      </c>
      <c r="E92" s="893" t="s">
        <v>924</v>
      </c>
      <c r="F92" s="830" t="s">
        <v>864</v>
      </c>
      <c r="G92" s="894"/>
      <c r="H92" s="1193"/>
      <c r="I92" s="894"/>
      <c r="J92" s="1193"/>
      <c r="K92" s="459"/>
      <c r="X92" s="928">
        <v>0</v>
      </c>
    </row>
    <row r="93" s="9138" customFormat="1" ht="11.25" hidden="1" customHeight="1">
      <c r="A93" s="2562"/>
      <c r="B93" s="681"/>
      <c r="D93" s="835" t="s">
        <v>931</v>
      </c>
      <c r="E93" s="893" t="s">
        <v>926</v>
      </c>
      <c r="F93" s="830" t="s">
        <v>864</v>
      </c>
      <c r="G93" s="894"/>
      <c r="H93" s="1193"/>
      <c r="I93" s="894"/>
      <c r="J93" s="1193"/>
      <c r="K93" s="459"/>
      <c r="X93" s="928">
        <v>0</v>
      </c>
    </row>
    <row r="94" s="9138" customFormat="1" ht="11.25" hidden="1" customHeight="1">
      <c r="A94" s="2562"/>
      <c r="B94" s="681"/>
      <c r="D94" s="835" t="s">
        <v>932</v>
      </c>
      <c r="E94" s="893" t="s">
        <v>928</v>
      </c>
      <c r="F94" s="830" t="s">
        <v>864</v>
      </c>
      <c r="G94" s="894"/>
      <c r="H94" s="1193"/>
      <c r="I94" s="894"/>
      <c r="J94" s="1193"/>
      <c r="K94" s="459"/>
      <c r="X94" s="928">
        <v>0</v>
      </c>
    </row>
    <row r="95" s="9138" customFormat="1" ht="24.75" hidden="1" customHeight="1">
      <c r="A95" s="2562"/>
      <c r="B95" s="681"/>
      <c r="D95" s="835" t="s">
        <v>112</v>
      </c>
      <c r="E95" s="836" t="s">
        <v>933</v>
      </c>
      <c r="F95" s="895" t="s">
        <v>564</v>
      </c>
      <c r="G95" s="897"/>
      <c r="H95" s="1193"/>
      <c r="I95" s="897"/>
      <c r="J95" s="1193"/>
      <c r="K95" s="459" t="s">
        <v>934</v>
      </c>
      <c r="X95" s="928">
        <v>0</v>
      </c>
    </row>
    <row r="96" s="9138" customFormat="1" ht="33.75" hidden="1" customHeight="1">
      <c r="A96" s="2562"/>
      <c r="B96" s="681"/>
      <c r="D96" s="835" t="s">
        <v>93</v>
      </c>
      <c r="E96" s="836" t="s">
        <v>935</v>
      </c>
      <c r="F96" s="896" t="s">
        <v>825</v>
      </c>
      <c r="G96" s="898"/>
      <c r="H96" s="1193"/>
      <c r="I96" s="898"/>
      <c r="J96" s="1193"/>
      <c r="K96" s="459"/>
      <c r="X96" s="928">
        <v>0</v>
      </c>
    </row>
    <row r="97" s="9138" customFormat="1" ht="22.5" hidden="1" customHeight="1">
      <c r="A97" s="2562"/>
      <c r="B97" s="681" t="s">
        <v>594</v>
      </c>
      <c r="D97" s="835" t="s">
        <v>94</v>
      </c>
      <c r="E97" s="836" t="s">
        <v>936</v>
      </c>
      <c r="F97" s="896" t="s">
        <v>313</v>
      </c>
      <c r="G97" s="555"/>
      <c r="H97" s="1193"/>
      <c r="I97" s="555"/>
      <c r="J97" s="1193"/>
      <c r="K97" s="459" t="s">
        <v>637</v>
      </c>
      <c r="X97" s="928">
        <v>0</v>
      </c>
    </row>
    <row r="98" s="9138" customFormat="1" ht="45" hidden="1" customHeight="1">
      <c r="A98" s="2562"/>
      <c r="B98" s="681" t="s">
        <v>594</v>
      </c>
      <c r="D98" s="835" t="s">
        <v>937</v>
      </c>
      <c r="E98" s="837" t="s">
        <v>938</v>
      </c>
      <c r="F98" s="891" t="s">
        <v>313</v>
      </c>
      <c r="G98" s="555"/>
      <c r="H98" s="1193"/>
      <c r="I98" s="555"/>
      <c r="J98" s="1193"/>
      <c r="K98" s="459" t="s">
        <v>637</v>
      </c>
      <c r="X98" s="928">
        <v>0</v>
      </c>
    </row>
    <row r="99" s="9138" customFormat="1" ht="95.25" hidden="1" customHeight="1">
      <c r="A99" s="2562"/>
      <c r="B99" s="681" t="s">
        <v>594</v>
      </c>
      <c r="D99" s="835" t="s">
        <v>100</v>
      </c>
      <c r="E99" s="836" t="s">
        <v>939</v>
      </c>
      <c r="F99" s="891" t="s">
        <v>313</v>
      </c>
      <c r="G99" s="555"/>
      <c r="H99" s="1193"/>
      <c r="I99" s="555"/>
      <c r="J99" s="1193"/>
      <c r="K99" s="459" t="s">
        <v>637</v>
      </c>
      <c r="X99" s="928">
        <v>0</v>
      </c>
    </row>
    <row r="100" s="9138" customFormat="1" ht="22.5" hidden="1" customHeight="1">
      <c r="A100" s="2562"/>
      <c r="B100" s="681" t="s">
        <v>594</v>
      </c>
      <c r="D100" s="835" t="s">
        <v>148</v>
      </c>
      <c r="E100" s="836" t="s">
        <v>940</v>
      </c>
      <c r="F100" s="891" t="s">
        <v>313</v>
      </c>
      <c r="G100" s="555"/>
      <c r="H100" s="1193"/>
      <c r="I100" s="555"/>
      <c r="J100" s="1193"/>
      <c r="K100" s="459" t="s">
        <v>637</v>
      </c>
      <c r="X100" s="928">
        <v>0</v>
      </c>
    </row>
    <row r="101" s="9138" customFormat="1" ht="11.5" customHeight="1">
      <c r="A101" s="1203"/>
      <c r="B101" s="688"/>
      <c r="D101" s="1204"/>
      <c r="E101" s="1205"/>
      <c r="X101" s="679">
        <v>11</v>
      </c>
    </row>
    <row r="102" ht="22.5" hidden="1" customHeight="1">
      <c r="A102" s="706" t="s">
        <v>83</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autoFilter="0" deleteColumns="1" deleteRows="1" formatColumns="0" formatRows="0" insertColumns="1" insertRows="1" sheet="1" sort="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6">
        <x14:dataValidation xr:uid="{00390096-002F-4218-8FED-00D100630041}" type="list" allowBlank="1" error="Укажите значение вручную или выберите из списка!" errorTitle="Ошибка" prompt="Укажите значение вручную или выберите из списка" showInputMessage="1">
          <x14:formula1>
            <xm:f>"Не утверждены"</xm:f>
          </x14:formula1>
          <xm:sqref>G19 I19</xm:sqref>
        </x14:dataValidation>
        <x14:dataValidation xr:uid="{00920083-0070-4A9D-B93E-009E00CE0051}" type="decimal" allowBlank="1" error="Введите значение от 0 до 100%" errorTitle="Ошибка" showErrorMessage="1">
          <x14:formula1>
            <xm:f>0</xm:f>
          </x14:formula1>
          <x14:formula2>
            <xm:f>100</xm:f>
          </x14:formula2>
          <xm:sqref>G31 G95 G60 G72 G42:G43 G69:G70 I31 I95 I60 I72 I42:I43 I69:I70</xm:sqref>
        </x14:dataValidation>
        <x14:dataValidation xr:uid="{008900AF-00DF-4511-BB80-00A700AB005B}"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H31:H32 J31:J32 G62:G63 G74:G75 G97:G100 I62:I63 I74:I75 I97:I100 H13:H14 H19 J19 J13:J14</xm:sqref>
        </x14:dataValidation>
        <x14:dataValidation xr:uid="{00CB00C2-00FF-408A-859C-00A2000B0091}" type="decimal" allowBlank="1" error="Допускается ввод только неотрицательных чисел!" errorTitle="Ошибка" showErrorMessage="1">
          <x14:formula1>
            <xm:f>0</xm:f>
          </x14:formula1>
          <x14:formula2>
            <xm:f>9.99999999999999E+23</xm:f>
          </x14:formula2>
          <xm:sqref>G32 G67:G68 G39:G40 G37 G44:G59 G61 G77:G94 G73 G71 G96 G65 G18 G13:G14 G29:G30 G26:G27 I32 I67:I68 I39:I40 I37 I44:I59 I61 I77:I94 I73 I71 I96 I65 I18 I13:I14 I29:I30 I26:I27 I21:I22 G24 G21:G22 I24</xm:sqref>
        </x14:dataValidation>
        <x14:dataValidation xr:uid="{001400B4-00EF-4BC2-9B75-005900930062}" type="whole" allowBlank="1" error="Допускается ввод только неотрицательных целых чисел!" errorTitle="Ошибка" showErrorMessage="1">
          <x14:formula1>
            <xm:f>0</xm:f>
          </x14:formula1>
          <x14:formula2>
            <xm:f>9.99999999999999E+23</xm:f>
          </x14:formula2>
          <xm:sqref>G16:G17 I16:I17</xm:sqref>
        </x14:dataValidation>
        <x14:dataValidation xr:uid="{001D00ED-0055-45C2-97DB-00D2005200BD}" type="textLength" allowBlank="1" error="Допускается ввод не более 900 символов!" errorTitle="Ошибка" operator="lessThanOrEqual" showErrorMessage="1" showInputMessage="1">
          <x14:formula1>
            <xm:f>900</xm:f>
          </x14:formula1>
          <xm:sqref>H21:H22 H29:H30 H24 H26:H27 H15:H18 J26:J27 J15:J18 J21:J22 J29:J30 J24</xm:sqref>
        </x14:dataValidation>
      </x14:dataValidations>
    </ext>
  </extLst>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26B0A"/>
  </sheetPr>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defaultRowHeight="15" customHeight="1"/>
  <cols>
    <col customWidth="1" hidden="1" min="1" max="1" style="9102" width="9.140625"/>
    <col customWidth="1" hidden="1" min="2" max="2" style="9138" width="9.140625"/>
    <col customWidth="1" min="3" max="3" style="11183" width="4.00390625"/>
    <col customWidth="1" min="4" max="4" style="9138" width="6.00390625"/>
    <col customWidth="1" min="5" max="5" style="9138" width="36.00390625"/>
    <col customWidth="1" min="6" max="6" style="9138" width="9.00390625"/>
    <col customWidth="1" hidden="1" min="7" max="7" style="9138" width="25.7109375"/>
    <col customWidth="1" hidden="1" min="8" max="8" style="9138" width="33.7109375"/>
    <col customWidth="1" min="9" max="9" style="9138" width="25.7109375"/>
    <col customWidth="1" min="10" max="10" style="9138" width="33.00390625"/>
    <col customWidth="1" min="11" max="11" style="9217" width="93.00390625"/>
    <col customWidth="1" min="12" max="20" style="9138" width="10.00390625"/>
    <col customWidth="1" min="21" max="21" style="11184" width="10.00390625"/>
    <col hidden="1" min="22" max="22" style="9138" width="10.57421875"/>
  </cols>
  <sheetData>
    <row r="1" s="9217" customFormat="1" ht="22.5" hidden="1" customHeight="1">
      <c r="C1" s="842"/>
      <c r="G1" s="587">
        <v>4</v>
      </c>
      <c r="I1" s="587">
        <v>4</v>
      </c>
      <c r="U1" s="590"/>
      <c r="V1" s="587" t="s">
        <v>14</v>
      </c>
    </row>
    <row r="2" s="9217" customFormat="1" ht="15" hidden="1" customHeight="1">
      <c r="C2" s="842"/>
      <c r="U2" s="590"/>
      <c r="V2" s="587">
        <v>0</v>
      </c>
    </row>
    <row r="3" ht="22.5" hidden="1" customHeight="1">
      <c r="A3" s="675"/>
      <c r="B3" s="2567"/>
      <c r="C3" s="2568" t="s">
        <v>432</v>
      </c>
      <c r="D3" s="859" t="str">
        <f>B3&amp;".1"</f>
        <v>.1</v>
      </c>
      <c r="E3" s="860" t="s">
        <v>941</v>
      </c>
      <c r="F3" s="861" t="s">
        <v>313</v>
      </c>
      <c r="G3" s="856"/>
      <c r="H3" s="571"/>
      <c r="I3" s="856"/>
      <c r="J3" s="571"/>
      <c r="K3" s="459" t="s">
        <v>942</v>
      </c>
      <c r="V3" s="675">
        <v>0</v>
      </c>
    </row>
    <row r="4" ht="15" hidden="1" customHeight="1">
      <c r="A4" s="675"/>
      <c r="B4" s="2567"/>
      <c r="C4" s="2568"/>
      <c r="D4" s="859" t="str">
        <f>B3&amp;".2"</f>
        <v>.2</v>
      </c>
      <c r="E4" s="860" t="s">
        <v>943</v>
      </c>
      <c r="F4" s="861" t="s">
        <v>313</v>
      </c>
      <c r="G4" s="1908" t="s">
        <v>28</v>
      </c>
      <c r="H4" s="571"/>
      <c r="I4" s="1908" t="s">
        <v>28</v>
      </c>
      <c r="J4" s="571"/>
      <c r="K4" s="459" t="s">
        <v>944</v>
      </c>
      <c r="V4" s="675">
        <v>0</v>
      </c>
    </row>
    <row r="5" s="9217" customFormat="1" ht="15" hidden="1" customHeight="1">
      <c r="C5" s="842"/>
      <c r="U5" s="590"/>
      <c r="V5" s="587">
        <v>0</v>
      </c>
    </row>
    <row r="6" ht="22.5" hidden="1" customHeight="1">
      <c r="A6" s="675"/>
      <c r="B6" s="2567"/>
      <c r="C6" s="2568" t="s">
        <v>432</v>
      </c>
      <c r="D6" s="859" t="str">
        <f>B6&amp;".1"</f>
        <v>.1</v>
      </c>
      <c r="E6" s="860" t="s">
        <v>945</v>
      </c>
      <c r="F6" s="861" t="s">
        <v>313</v>
      </c>
      <c r="G6" s="856"/>
      <c r="H6" s="571"/>
      <c r="I6" s="856"/>
      <c r="J6" s="571"/>
      <c r="K6" s="459" t="s">
        <v>946</v>
      </c>
      <c r="V6" s="675">
        <v>0</v>
      </c>
    </row>
    <row r="7" ht="15" hidden="1" customHeight="1">
      <c r="A7" s="675"/>
      <c r="B7" s="2567"/>
      <c r="C7" s="2568"/>
      <c r="D7" s="859" t="str">
        <f>B6&amp;".2"</f>
        <v>.2</v>
      </c>
      <c r="E7" s="860" t="s">
        <v>943</v>
      </c>
      <c r="F7" s="861" t="s">
        <v>313</v>
      </c>
      <c r="G7" s="1908" t="s">
        <v>28</v>
      </c>
      <c r="H7" s="571"/>
      <c r="I7" s="1908" t="s">
        <v>28</v>
      </c>
      <c r="J7" s="571"/>
      <c r="K7" s="459" t="s">
        <v>944</v>
      </c>
      <c r="V7" s="675">
        <v>0</v>
      </c>
    </row>
    <row r="8" s="9217" customFormat="1" ht="15" hidden="1" customHeight="1">
      <c r="C8" s="842"/>
      <c r="U8" s="590"/>
      <c r="V8" s="587">
        <v>0</v>
      </c>
    </row>
    <row r="9" ht="22.5" hidden="1" customHeight="1">
      <c r="A9" s="675"/>
      <c r="B9" s="2567"/>
      <c r="C9" s="2568" t="s">
        <v>432</v>
      </c>
      <c r="D9" s="859" t="str">
        <f>B9&amp;".1"</f>
        <v>.1</v>
      </c>
      <c r="E9" s="860" t="s">
        <v>947</v>
      </c>
      <c r="F9" s="861" t="s">
        <v>313</v>
      </c>
      <c r="G9" s="867" t="s">
        <v>28</v>
      </c>
      <c r="H9" s="571" t="s">
        <v>28</v>
      </c>
      <c r="I9" s="867" t="s">
        <v>28</v>
      </c>
      <c r="J9" s="571" t="s">
        <v>28</v>
      </c>
      <c r="K9" s="459"/>
      <c r="V9" s="675">
        <v>0</v>
      </c>
    </row>
    <row r="10" ht="15" hidden="1" customHeight="1">
      <c r="A10" s="675"/>
      <c r="B10" s="2567"/>
      <c r="C10" s="2568"/>
      <c r="D10" s="859" t="str">
        <f>B9&amp;".2"</f>
        <v>.2</v>
      </c>
      <c r="E10" s="860" t="s">
        <v>948</v>
      </c>
      <c r="F10" s="861" t="s">
        <v>313</v>
      </c>
      <c r="G10" s="1902" t="s">
        <v>28</v>
      </c>
      <c r="H10" s="571" t="s">
        <v>28</v>
      </c>
      <c r="I10" s="1902" t="s">
        <v>28</v>
      </c>
      <c r="J10" s="571" t="s">
        <v>28</v>
      </c>
      <c r="K10" s="459" t="s">
        <v>949</v>
      </c>
      <c r="V10" s="675">
        <v>0</v>
      </c>
    </row>
    <row r="11" ht="15" hidden="1" customHeight="1">
      <c r="A11" s="675"/>
      <c r="B11" s="2567"/>
      <c r="C11" s="2568"/>
      <c r="D11" s="859" t="str">
        <f>B9&amp;".3"</f>
        <v>.3</v>
      </c>
      <c r="E11" s="860" t="s">
        <v>950</v>
      </c>
      <c r="F11" s="861" t="s">
        <v>313</v>
      </c>
      <c r="G11" s="1902" t="s">
        <v>28</v>
      </c>
      <c r="H11" s="571" t="s">
        <v>28</v>
      </c>
      <c r="I11" s="1902" t="s">
        <v>28</v>
      </c>
      <c r="J11" s="571" t="s">
        <v>28</v>
      </c>
      <c r="K11" s="459" t="s">
        <v>951</v>
      </c>
      <c r="V11" s="675">
        <v>0</v>
      </c>
    </row>
    <row r="12" s="9217" customFormat="1" ht="15" hidden="1" customHeight="1">
      <c r="C12" s="842"/>
      <c r="U12" s="590"/>
      <c r="V12" s="587">
        <v>0</v>
      </c>
    </row>
    <row r="13" ht="33.75" hidden="1" customHeight="1">
      <c r="A13" s="675"/>
      <c r="B13" s="2567"/>
      <c r="C13" s="2568" t="s">
        <v>432</v>
      </c>
      <c r="D13" s="859" t="str">
        <f>B13&amp;".1"</f>
        <v>.1</v>
      </c>
      <c r="E13" s="860" t="s">
        <v>952</v>
      </c>
      <c r="F13" s="861" t="s">
        <v>313</v>
      </c>
      <c r="G13" s="867" t="s">
        <v>28</v>
      </c>
      <c r="H13" s="571" t="s">
        <v>28</v>
      </c>
      <c r="I13" s="867" t="s">
        <v>28</v>
      </c>
      <c r="J13" s="571" t="s">
        <v>28</v>
      </c>
      <c r="K13" s="459" t="s">
        <v>953</v>
      </c>
      <c r="V13" s="675">
        <v>0</v>
      </c>
    </row>
    <row r="14" ht="15" hidden="1" customHeight="1">
      <c r="B14" s="2567"/>
      <c r="C14" s="2568"/>
      <c r="D14" s="859" t="str">
        <f>B13&amp;".2"</f>
        <v>.2</v>
      </c>
      <c r="E14" s="860" t="s">
        <v>954</v>
      </c>
      <c r="F14" s="861" t="s">
        <v>313</v>
      </c>
      <c r="G14" s="1902" t="s">
        <v>28</v>
      </c>
      <c r="H14" s="571" t="s">
        <v>28</v>
      </c>
      <c r="I14" s="1902" t="s">
        <v>28</v>
      </c>
      <c r="J14" s="571" t="s">
        <v>28</v>
      </c>
      <c r="K14" s="459" t="s">
        <v>955</v>
      </c>
      <c r="V14" s="675">
        <v>0</v>
      </c>
    </row>
    <row r="15" s="9217" customFormat="1" ht="15" hidden="1" customHeight="1">
      <c r="C15" s="842"/>
      <c r="U15" s="590"/>
      <c r="V15" s="587">
        <v>0</v>
      </c>
    </row>
    <row r="16" s="9217" customFormat="1" ht="15" hidden="1" customHeight="1">
      <c r="C16" s="842"/>
      <c r="U16" s="590"/>
      <c r="V16" s="587">
        <v>0</v>
      </c>
    </row>
    <row r="17" s="9217" customFormat="1" ht="15" hidden="1" customHeight="1">
      <c r="C17" s="842"/>
      <c r="U17" s="590"/>
      <c r="V17" s="587">
        <v>0</v>
      </c>
    </row>
    <row r="18" s="9217" customFormat="1" ht="15" hidden="1" customHeight="1">
      <c r="C18" s="842"/>
      <c r="U18" s="590"/>
      <c r="V18" s="587">
        <v>0</v>
      </c>
    </row>
    <row r="19" s="9217" customFormat="1" ht="15" hidden="1" customHeight="1">
      <c r="C19" s="842"/>
      <c r="U19" s="590"/>
      <c r="V19" s="587">
        <v>0</v>
      </c>
    </row>
    <row r="20" s="9217" customFormat="1" ht="15" hidden="1" customHeight="1">
      <c r="C20" s="842"/>
      <c r="U20" s="590"/>
      <c r="V20" s="587">
        <v>0</v>
      </c>
    </row>
    <row r="21" ht="15.75" customHeight="1">
      <c r="C21" s="346"/>
      <c r="D21" s="679"/>
      <c r="E21" s="679"/>
      <c r="F21" s="679"/>
      <c r="G21" s="679"/>
      <c r="H21" s="679"/>
      <c r="I21" s="679"/>
      <c r="J21" s="679"/>
      <c r="V21" s="675">
        <v>15</v>
      </c>
    </row>
    <row r="22" ht="23.25" customHeight="1">
      <c r="C22" s="346"/>
      <c r="D22" s="2407" t="str">
        <f>KNE_NAME_FORM</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07"/>
      <c r="F22" s="2407"/>
      <c r="G22" s="2407"/>
      <c r="H22" s="2407"/>
      <c r="I22" s="2407"/>
      <c r="J22" s="846"/>
      <c r="K22" s="707"/>
      <c r="V22" s="675">
        <v>22</v>
      </c>
    </row>
    <row r="23" ht="15.75" customHeight="1">
      <c r="C23" s="346"/>
      <c r="D23" s="2346" t="str">
        <f>IF(org=0,"Не определено",org)</f>
        <v xml:space="preserve">АО "ДГК" СП "Биробиджанская ТЭЦ"</v>
      </c>
      <c r="E23" s="2346"/>
      <c r="F23" s="2346"/>
      <c r="G23" s="2346"/>
      <c r="H23" s="2346"/>
      <c r="I23" s="2346"/>
      <c r="J23" s="846"/>
      <c r="K23" s="707"/>
      <c r="V23" s="675">
        <v>15</v>
      </c>
    </row>
    <row r="24" ht="15.75" customHeight="1">
      <c r="C24" s="346"/>
      <c r="D24" s="679"/>
      <c r="E24" s="679"/>
      <c r="F24" s="679"/>
      <c r="G24" s="707">
        <v>22</v>
      </c>
      <c r="H24" s="922"/>
      <c r="I24" s="707">
        <v>22</v>
      </c>
      <c r="J24" s="922"/>
      <c r="V24" s="675">
        <v>15</v>
      </c>
    </row>
    <row r="25" s="9138" customFormat="1" ht="1.05" customHeight="1">
      <c r="A25" s="929"/>
      <c r="C25" s="346"/>
      <c r="D25" s="679"/>
      <c r="E25" s="679"/>
      <c r="F25" s="679"/>
      <c r="G25" s="707"/>
      <c r="H25" s="922"/>
      <c r="I25" s="707" t="s">
        <v>117</v>
      </c>
      <c r="J25" s="922"/>
      <c r="K25" s="587"/>
      <c r="U25" s="845"/>
      <c r="V25" s="928">
        <v>1</v>
      </c>
    </row>
    <row r="26" ht="15.75" customHeight="1">
      <c r="C26" s="346"/>
      <c r="D26" s="881"/>
      <c r="E26" s="2537" t="s">
        <v>106</v>
      </c>
      <c r="F26" s="2538"/>
      <c r="G26" s="2565" t="str">
        <f>IF(G25="","",INDEX(DIFFERENTIATION_UNMERGE_VD,MATCH(G25,DIFFERENTIATION_ID_DIFF,0)))</f>
        <v/>
      </c>
      <c r="H26" s="2566"/>
      <c r="I26" s="2565">
        <f>IF(I25="","",INDEX(DIFFERENTIATION_UNMERGE_VD,MATCH(I25,DIFFERENTIATION_ID_DIFF,0)))</f>
        <v>0</v>
      </c>
      <c r="J26" s="2566"/>
      <c r="K26" s="2345" t="s">
        <v>308</v>
      </c>
      <c r="V26" s="675">
        <v>15</v>
      </c>
    </row>
    <row r="27" s="9138" customFormat="1" ht="15.75" customHeight="1">
      <c r="A27" s="929"/>
      <c r="C27" s="346"/>
      <c r="D27" s="881"/>
      <c r="E27" s="2537" t="s">
        <v>570</v>
      </c>
      <c r="F27" s="2538"/>
      <c r="G27" s="2565" t="str">
        <f>IF(G25="","",INDEX(DIFFERENTIATION_UNMERGE_AREA,MATCH(G25,DIFFERENTIATION_ID_DIFF,0)))</f>
        <v/>
      </c>
      <c r="H27" s="2566"/>
      <c r="I27" s="2565" t="str">
        <f>IF(I25="","",INDEX(DIFFERENTIATION_UNMERGE_AREA,MATCH(I25,DIFFERENTIATION_ID_DIFF,0)))</f>
        <v/>
      </c>
      <c r="J27" s="2566"/>
      <c r="K27" s="2365"/>
      <c r="U27" s="845"/>
      <c r="V27" s="928">
        <v>15</v>
      </c>
    </row>
    <row r="28" s="9138" customFormat="1" ht="15.75" customHeight="1">
      <c r="A28" s="929"/>
      <c r="C28" s="346"/>
      <c r="D28" s="881"/>
      <c r="E28" s="2537" t="s">
        <v>571</v>
      </c>
      <c r="F28" s="2538"/>
      <c r="G28" s="2565" t="str">
        <f>IF(G25="","",INDEX(DIFFERENTIATION_UNMERGE_SYSTEM,MATCH(G25,DIFFERENTIATION_ID_DIFF,0)))</f>
        <v/>
      </c>
      <c r="H28" s="2566"/>
      <c r="I28" s="2565" t="str">
        <f>IF(I25="","",INDEX(DIFFERENTIATION_UNMERGE_SYSTEM,MATCH(I25,DIFFERENTIATION_ID_DIFF,0)))</f>
        <v xml:space="preserve">без дифференциации</v>
      </c>
      <c r="J28" s="2566"/>
      <c r="K28" s="2365"/>
      <c r="U28" s="845"/>
      <c r="V28" s="928">
        <v>15</v>
      </c>
    </row>
    <row r="29" s="9138" customFormat="1" ht="15.75" customHeight="1">
      <c r="A29" s="929"/>
      <c r="C29" s="346"/>
      <c r="D29" s="2539" t="s">
        <v>307</v>
      </c>
      <c r="E29" s="2540"/>
      <c r="F29" s="2540"/>
      <c r="G29" s="1057"/>
      <c r="H29" s="1057"/>
      <c r="I29" s="1057"/>
      <c r="J29" s="1058"/>
      <c r="K29" s="2365"/>
      <c r="U29" s="845"/>
      <c r="V29" s="928">
        <v>15</v>
      </c>
    </row>
    <row r="30" ht="35.649999999999999" customHeight="1">
      <c r="C30" s="346"/>
      <c r="D30" s="931" t="s">
        <v>89</v>
      </c>
      <c r="E30" s="930" t="s">
        <v>309</v>
      </c>
      <c r="F30" s="930" t="s">
        <v>572</v>
      </c>
      <c r="G30" s="978" t="s">
        <v>310</v>
      </c>
      <c r="H30" s="977" t="s">
        <v>397</v>
      </c>
      <c r="I30" s="854" t="s">
        <v>310</v>
      </c>
      <c r="J30" s="635" t="s">
        <v>397</v>
      </c>
      <c r="K30" s="2371"/>
      <c r="V30" s="675">
        <v>34</v>
      </c>
    </row>
    <row r="31" ht="15" hidden="1" customHeight="1">
      <c r="C31" s="346"/>
      <c r="D31" s="763"/>
      <c r="E31" s="763"/>
      <c r="F31" s="763"/>
      <c r="G31" s="829"/>
      <c r="H31" s="829"/>
      <c r="I31" s="829"/>
      <c r="J31" s="829"/>
      <c r="K31" s="459"/>
      <c r="V31" s="675">
        <v>0</v>
      </c>
    </row>
    <row r="32" ht="24" customHeight="1">
      <c r="A32" s="675"/>
      <c r="B32" s="675" t="s">
        <v>956</v>
      </c>
      <c r="C32" s="696"/>
      <c r="D32" s="862">
        <v>1</v>
      </c>
      <c r="E32" s="863" t="s">
        <v>957</v>
      </c>
      <c r="F32" s="861" t="s">
        <v>313</v>
      </c>
      <c r="G32" s="983" t="s">
        <v>313</v>
      </c>
      <c r="H32" s="983" t="s">
        <v>313</v>
      </c>
      <c r="I32" s="861" t="s">
        <v>313</v>
      </c>
      <c r="J32" s="861" t="s">
        <v>313</v>
      </c>
      <c r="K32" s="459"/>
      <c r="V32" s="675">
        <v>23</v>
      </c>
    </row>
    <row r="33" ht="11.5" customHeight="1">
      <c r="A33" s="675"/>
      <c r="C33" s="675"/>
      <c r="D33" s="517"/>
      <c r="E33" s="750" t="s">
        <v>592</v>
      </c>
      <c r="F33" s="742"/>
      <c r="G33" s="742"/>
      <c r="H33" s="742"/>
      <c r="I33" s="742"/>
      <c r="J33" s="742"/>
      <c r="K33" s="743"/>
      <c r="U33" s="675"/>
      <c r="V33" s="675">
        <v>11</v>
      </c>
    </row>
    <row r="34" ht="24" customHeight="1">
      <c r="A34" s="675"/>
      <c r="B34" s="751" t="s">
        <v>642</v>
      </c>
      <c r="C34" s="696"/>
      <c r="D34" s="862">
        <v>2</v>
      </c>
      <c r="E34" s="863" t="s">
        <v>958</v>
      </c>
      <c r="F34" s="990" t="s">
        <v>313</v>
      </c>
      <c r="G34" s="990" t="s">
        <v>313</v>
      </c>
      <c r="H34" s="990" t="s">
        <v>313</v>
      </c>
      <c r="I34" s="861"/>
      <c r="J34" s="861"/>
      <c r="K34" s="459"/>
      <c r="V34" s="675">
        <v>23</v>
      </c>
    </row>
    <row r="35" ht="11.5" customHeight="1">
      <c r="A35" s="675"/>
      <c r="C35" s="675"/>
      <c r="D35" s="517"/>
      <c r="E35" s="750" t="s">
        <v>959</v>
      </c>
      <c r="F35" s="742"/>
      <c r="G35" s="864"/>
      <c r="H35" s="742"/>
      <c r="I35" s="864"/>
      <c r="J35" s="742"/>
      <c r="K35" s="743"/>
      <c r="U35" s="675"/>
      <c r="V35" s="675">
        <v>11</v>
      </c>
    </row>
    <row r="36" ht="71.25" customHeight="1">
      <c r="A36" s="675"/>
      <c r="B36" s="675" t="s">
        <v>960</v>
      </c>
      <c r="C36" s="696"/>
      <c r="D36" s="862">
        <v>3</v>
      </c>
      <c r="E36" s="863" t="s">
        <v>961</v>
      </c>
      <c r="F36" s="865" t="s">
        <v>313</v>
      </c>
      <c r="G36" s="984" t="s">
        <v>962</v>
      </c>
      <c r="H36" s="983" t="s">
        <v>313</v>
      </c>
      <c r="I36" s="694" t="s">
        <v>962</v>
      </c>
      <c r="J36" s="861" t="s">
        <v>313</v>
      </c>
      <c r="K36" s="459" t="s">
        <v>963</v>
      </c>
      <c r="V36" s="675">
        <v>68</v>
      </c>
    </row>
    <row r="37" ht="11.5" customHeight="1">
      <c r="A37" s="675"/>
      <c r="C37" s="675"/>
      <c r="D37" s="517"/>
      <c r="E37" s="750" t="s">
        <v>964</v>
      </c>
      <c r="F37" s="742"/>
      <c r="G37" s="864"/>
      <c r="H37" s="864"/>
      <c r="I37" s="864"/>
      <c r="J37" s="864"/>
      <c r="K37" s="743"/>
      <c r="U37" s="675"/>
      <c r="V37" s="675">
        <v>11</v>
      </c>
    </row>
    <row r="38" ht="71.25" customHeight="1">
      <c r="A38" s="675"/>
      <c r="B38" s="675" t="s">
        <v>965</v>
      </c>
      <c r="C38" s="696"/>
      <c r="D38" s="862">
        <v>4</v>
      </c>
      <c r="E38" s="863" t="s">
        <v>966</v>
      </c>
      <c r="F38" s="865" t="s">
        <v>313</v>
      </c>
      <c r="G38" s="984" t="s">
        <v>962</v>
      </c>
      <c r="H38" s="985" t="s">
        <v>313</v>
      </c>
      <c r="I38" s="694" t="s">
        <v>962</v>
      </c>
      <c r="J38" s="691" t="s">
        <v>313</v>
      </c>
      <c r="K38" s="849" t="s">
        <v>967</v>
      </c>
      <c r="V38" s="675">
        <v>68</v>
      </c>
    </row>
    <row r="39" ht="11.5" customHeight="1">
      <c r="A39" s="675"/>
      <c r="C39" s="675"/>
      <c r="D39" s="517"/>
      <c r="E39" s="750" t="s">
        <v>968</v>
      </c>
      <c r="F39" s="742"/>
      <c r="G39" s="742"/>
      <c r="H39" s="866"/>
      <c r="I39" s="742"/>
      <c r="J39" s="866"/>
      <c r="K39" s="743"/>
      <c r="U39" s="675"/>
      <c r="V39" s="675">
        <v>11</v>
      </c>
    </row>
    <row r="40" ht="22.5" hidden="1" customHeight="1">
      <c r="A40" s="619" t="s">
        <v>83</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autoFilter="0" deleteColumns="1" deleteRows="1" formatColumns="0" formatRows="0" insertColumns="1" insertRows="1" sheet="1" sort="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3">
    <dataValidation sqref="I36 G38 I38 G36" allowBlank="1" prompt="Для выбора выполните двойной щелчок левой клавиши мыши по ячейке." showErrorMessage="1" showInputMessage="1"/>
    <dataValidation sqref="I14 I4 I10:I11 G7 G14 I7 G10:G11 G4"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E30"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05009B-00DD-4B74-ABFE-002E00940000}"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H3:H4 J3:J4 H6:H7 J6:J7 J9:J11 H9:H11 J13:J14 H13:H14</xm:sqref>
        </x14:dataValidation>
        <x14:dataValidation xr:uid="{009F003F-0062-423C-A87B-00A0003D00E9}" type="textLength" allowBlank="1" error="Допускается ввод не более 900 символов!" errorTitle="Ошибка" operator="lessThanOrEqual" showErrorMessage="1" showInputMessage="1">
          <x14:formula1>
            <xm:f>900</xm:f>
          </x14:formula1>
          <xm:sqref>I3 I6 I9 I13 G6 G13 G9 G3</xm:sqref>
        </x14:dataValidation>
      </x14:dataValidations>
    </ext>
  </extLst>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defaultRowHeight="10.5" customHeight="1"/>
  <cols>
    <col customWidth="1" hidden="1" min="1" max="3" style="11154" width="6.7109375"/>
    <col customWidth="1" hidden="1" min="4" max="4" style="9217" width="6.7109375"/>
    <col customWidth="1" min="5" max="5" style="9138" width="3.00390625"/>
    <col customWidth="1" min="6" max="6" style="9138" width="6.00390625"/>
    <col customWidth="1" min="7" max="7" style="9138" width="37.00390625"/>
    <col customWidth="1" min="8" max="8" style="9138" width="16.00390625"/>
    <col customWidth="1" min="9" max="10" style="9138" width="19.00390625"/>
    <col customWidth="1" min="11" max="11" style="9138" width="24.00390625"/>
    <col customWidth="1" min="12" max="13" style="9138" width="25.00390625"/>
    <col customWidth="1" min="14" max="16" style="9138" width="17.00390625"/>
    <col customWidth="1" min="17" max="24" style="9138" width="19.00390625"/>
    <col customWidth="1" min="25" max="25" style="9138" width="7.00390625"/>
    <col customWidth="1" min="26" max="26" style="9138" width="3.00390625"/>
    <col customWidth="1" min="27" max="27" style="9138" width="6.00390625"/>
    <col customWidth="1" min="28" max="28" style="9138" width="34.00390625"/>
    <col customWidth="1" min="29" max="30" style="9138" width="8.00390625"/>
    <col hidden="1" min="31" max="31" style="9138" width="9.140625"/>
  </cols>
  <sheetData>
    <row r="1" s="9217" customFormat="1" ht="10.5" hidden="1" customHeight="1">
      <c r="A1" s="1065"/>
      <c r="B1" s="1065"/>
      <c r="C1" s="1065"/>
      <c r="E1" s="707"/>
      <c r="H1" s="1330"/>
      <c r="AE1" s="587" t="s">
        <v>14</v>
      </c>
    </row>
    <row r="2" ht="10.5" hidden="1" customHeight="1">
      <c r="AE2" s="928">
        <v>0</v>
      </c>
    </row>
    <row r="3" s="9102" customFormat="1" ht="10.5" hidden="1" customHeight="1">
      <c r="A3" s="1065"/>
      <c r="B3" s="1065"/>
      <c r="C3" s="1065"/>
      <c r="D3" s="587"/>
      <c r="E3" s="532"/>
      <c r="G3" s="1802" t="s">
        <v>969</v>
      </c>
      <c r="H3" s="1326"/>
      <c r="AE3" s="929">
        <v>0</v>
      </c>
    </row>
    <row r="4" ht="3" customHeight="1">
      <c r="AE4" s="928">
        <v>3</v>
      </c>
    </row>
    <row r="5" ht="27.300000000000001" customHeight="1">
      <c r="F5" s="2418"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M5" s="752"/>
      <c r="AB5" s="1076"/>
      <c r="AE5" s="928">
        <v>26</v>
      </c>
    </row>
    <row r="6" s="9138" customFormat="1" ht="16.800000000000001" customHeight="1">
      <c r="A6" s="1336"/>
      <c r="B6" s="1336"/>
      <c r="C6" s="1336"/>
      <c r="D6" s="1330"/>
      <c r="E6" s="1805"/>
      <c r="F6" s="2419" t="str">
        <f>IF(org=0,"Не определено",org)</f>
        <v xml:space="preserve">АО "ДГК" СП "Биробиджанская ТЭЦ"</v>
      </c>
      <c r="G6" s="2419"/>
      <c r="H6" s="2419"/>
      <c r="I6" s="2419"/>
      <c r="J6" s="2419"/>
      <c r="K6" s="2419"/>
      <c r="M6" s="752"/>
      <c r="AB6" s="1318"/>
      <c r="AE6" s="1801">
        <v>16</v>
      </c>
    </row>
    <row r="7" ht="10.5" customHeight="1">
      <c r="AE7" s="928">
        <v>10</v>
      </c>
    </row>
    <row r="8" ht="10.5" customHeight="1">
      <c r="A8" s="1221"/>
      <c r="B8" s="1221"/>
      <c r="C8" s="1221"/>
      <c r="F8" s="2271" t="s">
        <v>307</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r="9" ht="43.049999999999997" customHeight="1">
      <c r="A9" s="1075"/>
      <c r="B9" s="1075"/>
      <c r="C9" s="1075"/>
      <c r="F9" s="2297" t="s">
        <v>89</v>
      </c>
      <c r="G9" s="2297" t="s">
        <v>969</v>
      </c>
      <c r="H9" s="2345" t="s">
        <v>970</v>
      </c>
      <c r="I9" s="2297" t="s">
        <v>971</v>
      </c>
      <c r="J9" s="2297" t="s">
        <v>972</v>
      </c>
      <c r="K9" s="2297" t="s">
        <v>973</v>
      </c>
      <c r="L9" s="2297" t="s">
        <v>974</v>
      </c>
      <c r="M9" s="2297" t="s">
        <v>975</v>
      </c>
      <c r="N9" s="2379" t="s">
        <v>976</v>
      </c>
      <c r="O9" s="2379"/>
      <c r="P9" s="2379"/>
      <c r="Q9" s="2569" t="s">
        <v>977</v>
      </c>
      <c r="R9" s="2570"/>
      <c r="S9" s="2570"/>
      <c r="T9" s="2571"/>
      <c r="U9" s="2569" t="s">
        <v>978</v>
      </c>
      <c r="V9" s="2570"/>
      <c r="W9" s="2570"/>
      <c r="X9" s="2571"/>
      <c r="Y9" s="2271" t="s">
        <v>979</v>
      </c>
      <c r="Z9" s="2272"/>
      <c r="AA9" s="2272"/>
      <c r="AB9" s="2273"/>
      <c r="AE9" s="928">
        <v>41</v>
      </c>
    </row>
    <row r="10" ht="43.049999999999997" customHeight="1">
      <c r="A10" s="1075"/>
      <c r="B10" s="1075"/>
      <c r="C10" s="1075"/>
      <c r="F10" s="2345"/>
      <c r="G10" s="2345"/>
      <c r="H10" s="2402"/>
      <c r="I10" s="2345"/>
      <c r="J10" s="2345"/>
      <c r="K10" s="2345"/>
      <c r="L10" s="2345"/>
      <c r="M10" s="2345"/>
      <c r="N10" s="1073" t="s">
        <v>980</v>
      </c>
      <c r="O10" s="1073" t="s">
        <v>981</v>
      </c>
      <c r="P10" s="1074" t="s">
        <v>982</v>
      </c>
      <c r="Q10" s="1085" t="s">
        <v>90</v>
      </c>
      <c r="R10" s="1085" t="s">
        <v>983</v>
      </c>
      <c r="S10" s="1085" t="s">
        <v>984</v>
      </c>
      <c r="T10" s="1086" t="s">
        <v>985</v>
      </c>
      <c r="U10" s="1085" t="s">
        <v>90</v>
      </c>
      <c r="V10" s="1085" t="s">
        <v>986</v>
      </c>
      <c r="W10" s="1085" t="s">
        <v>984</v>
      </c>
      <c r="X10" s="1086" t="s">
        <v>985</v>
      </c>
      <c r="Y10" s="471" t="s">
        <v>987</v>
      </c>
      <c r="Z10" s="2271" t="s">
        <v>89</v>
      </c>
      <c r="AA10" s="2273"/>
      <c r="AB10" s="1219" t="s">
        <v>988</v>
      </c>
      <c r="AE10" s="928">
        <v>41</v>
      </c>
    </row>
    <row r="11" s="9218" customFormat="1" ht="5.25" hidden="1" customHeight="1">
      <c r="A11" s="1222"/>
      <c r="B11" s="1222"/>
      <c r="C11" s="1222"/>
      <c r="E11" s="1220"/>
      <c r="F11" s="2576" t="s">
        <v>383</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989</v>
      </c>
      <c r="AE11" s="681">
        <v>0</v>
      </c>
    </row>
    <row r="12" s="9218" customFormat="1" ht="5.25" hidden="1" customHeight="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r="13" ht="10.5" customHeight="1">
      <c r="F13" s="1072"/>
      <c r="G13" s="820" t="s">
        <v>990</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r="14" ht="10.5" customHeight="1">
      <c r="AE14" s="928">
        <v>10</v>
      </c>
    </row>
    <row r="15" s="9218" customFormat="1" ht="10.5" customHeight="1">
      <c r="A15" s="1337"/>
      <c r="B15" s="1337"/>
      <c r="C15" s="1337"/>
      <c r="E15" s="688"/>
      <c r="H15" s="681">
        <f>_xlfn.IFERROR(MATCH("нет",IP_MAIN_DIFFERENTIATION_EVENTS_FLAG,0),0)</f>
        <v>0</v>
      </c>
      <c r="AE15" s="681">
        <v>10</v>
      </c>
    </row>
    <row r="16" ht="10.5" hidden="1" customHeight="1">
      <c r="A16" s="1065" t="s">
        <v>83</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autoFilter="0" deleteColumns="1" deleteRows="1" formatColumns="0" formatRows="0" insertColumns="1" insertRows="1" sheet="1" sort="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defaultRowHeight="10.5" customHeight="1"/>
  <cols>
    <col customWidth="1" hidden="1" min="1" max="3" style="11154" width="4.140625"/>
    <col customWidth="1" hidden="1" min="4" max="4" style="9217" width="4.140625"/>
    <col customWidth="1" min="5" max="5" style="9138" width="3.00390625"/>
    <col customWidth="1" min="6" max="6" style="9138" width="14.00390625"/>
    <col customWidth="1" min="7" max="7" style="9138" width="3.00390625"/>
    <col customWidth="1" min="8" max="8" style="9138" width="7.00390625"/>
    <col customWidth="1" min="9" max="10" style="9138" width="16.00390625"/>
    <col customWidth="1" min="11" max="11" style="9138" width="25.00390625"/>
    <col customWidth="1" min="12" max="12" style="9138" width="7.00390625"/>
    <col customWidth="1" min="13" max="13" style="9138" width="15.00390625"/>
    <col customWidth="1" min="14" max="14" style="9138" width="3.00390625"/>
    <col customWidth="1" min="15" max="15" style="9138" width="4.00390625"/>
    <col customWidth="1" min="16" max="16" style="9138" width="8.00390625"/>
    <col customWidth="1" min="17" max="17" style="9138" width="21.00390625"/>
    <col customWidth="1" min="18" max="18" style="9138" width="14.00390625"/>
    <col customWidth="1" min="19" max="20" style="9138" width="17.00390625"/>
    <col customWidth="1" min="21" max="21" style="9138" width="9.00390625"/>
    <col customWidth="1" min="22" max="22" style="9138" width="12.00390625"/>
    <col customWidth="1" min="23" max="23" style="9138" width="9.00390625"/>
    <col customWidth="1" min="24" max="24" style="9138" width="21.00390625"/>
    <col customWidth="1" min="25" max="25" style="9138" width="12.00390625"/>
    <col customWidth="1" min="26" max="26" style="9138" width="3.00390625"/>
    <col customWidth="1" min="27" max="27" style="9138" width="6.00390625"/>
    <col customWidth="1" min="28" max="28" style="9138" width="38.00390625"/>
    <col customWidth="1" min="29" max="29" style="9138" width="15.00390625"/>
    <col customWidth="1" hidden="1" min="30" max="30" style="9138" width="37.57421875"/>
    <col customWidth="1" hidden="1" min="31" max="31" style="9138" width="15.7109375"/>
    <col customWidth="1" min="32" max="34" style="9138" width="16.00390625"/>
    <col customWidth="1" hidden="1" min="35" max="37" style="9138" width="16.7109375"/>
    <col customWidth="1" min="38" max="58" style="9138" width="8.00390625"/>
    <col hidden="1" min="59" max="59" style="9138" width="9.140625"/>
  </cols>
  <sheetData>
    <row r="1" s="9217" customFormat="1" ht="10.5" hidden="1" customHeight="1">
      <c r="A1" s="1065"/>
      <c r="B1" s="1065"/>
      <c r="C1" s="1065"/>
      <c r="E1" s="707"/>
      <c r="H1" s="1330"/>
      <c r="L1" s="1298"/>
      <c r="M1" s="1298"/>
      <c r="AD1" s="1298"/>
      <c r="AH1" s="1317"/>
      <c r="AI1" s="1310"/>
      <c r="BG1" s="587" t="s">
        <v>14</v>
      </c>
    </row>
    <row r="2" ht="10.5" hidden="1" customHeight="1">
      <c r="BG2" s="928">
        <v>0</v>
      </c>
    </row>
    <row r="3" s="9102" customFormat="1" ht="10.5" hidden="1" customHeight="1">
      <c r="A3" s="1065"/>
      <c r="B3" s="1065"/>
      <c r="C3" s="1065"/>
      <c r="D3" s="587"/>
      <c r="E3" s="532"/>
      <c r="H3" s="1326"/>
      <c r="L3" s="1296"/>
      <c r="M3" s="1296"/>
      <c r="AD3" s="1296"/>
      <c r="AH3" s="1315"/>
      <c r="AI3" s="1308"/>
      <c r="BG3" s="929">
        <v>0</v>
      </c>
    </row>
    <row r="4" ht="3" customHeight="1">
      <c r="BG4" s="928">
        <v>3</v>
      </c>
    </row>
    <row r="5" ht="27.300000000000001" customHeight="1">
      <c r="F5" s="2418" t="str">
        <f>IP_NAME_FORM</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18"/>
      <c r="H5" s="2418"/>
      <c r="I5" s="2418"/>
      <c r="J5" s="2418"/>
      <c r="K5" s="2418"/>
      <c r="L5" s="1305"/>
      <c r="M5" s="1305"/>
      <c r="AG5" s="1076"/>
      <c r="AH5" s="1318"/>
      <c r="BG5" s="928">
        <v>26</v>
      </c>
    </row>
    <row r="6" ht="10.5" customHeight="1">
      <c r="F6" s="2346" t="str">
        <f>IF(org=0,"Не определено",org)</f>
        <v xml:space="preserve">АО "ДГК" СП "Биробиджанская ТЭЦ"</v>
      </c>
      <c r="G6" s="2346"/>
      <c r="H6" s="2346"/>
      <c r="I6" s="2346"/>
      <c r="J6" s="2346"/>
      <c r="K6" s="2346"/>
      <c r="L6" s="1306"/>
      <c r="M6" s="1306"/>
      <c r="BG6" s="928">
        <v>10</v>
      </c>
    </row>
    <row r="7" ht="11.5" customHeight="1">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r="8" ht="10.5" customHeight="1">
      <c r="E8" s="1078"/>
      <c r="F8" s="2585" t="s">
        <v>307</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r="9" ht="24" customHeight="1">
      <c r="A9" s="1075"/>
      <c r="B9" s="1075"/>
      <c r="C9" s="1075"/>
      <c r="E9" s="1078"/>
      <c r="F9" s="2578" t="s">
        <v>991</v>
      </c>
      <c r="G9" s="2579" t="s">
        <v>992</v>
      </c>
      <c r="H9" s="2580"/>
      <c r="I9" s="2297" t="s">
        <v>993</v>
      </c>
      <c r="J9" s="2297"/>
      <c r="K9" s="2297" t="s">
        <v>994</v>
      </c>
      <c r="L9" s="2297"/>
      <c r="M9" s="2297"/>
      <c r="N9" s="2297"/>
      <c r="O9" s="2297"/>
      <c r="P9" s="2297"/>
      <c r="Q9" s="2297"/>
      <c r="R9" s="2297"/>
      <c r="S9" s="2297"/>
      <c r="T9" s="2297"/>
      <c r="U9" s="2297"/>
      <c r="V9" s="2297"/>
      <c r="W9" s="2297"/>
      <c r="X9" s="2297"/>
      <c r="Y9" s="2297"/>
      <c r="Z9" s="2362" t="s">
        <v>995</v>
      </c>
      <c r="AA9" s="2363"/>
      <c r="AB9" s="2297" t="s">
        <v>996</v>
      </c>
      <c r="AC9" s="2297"/>
      <c r="AD9" s="2297"/>
      <c r="AE9" s="2297"/>
      <c r="AF9" s="2345" t="s">
        <v>997</v>
      </c>
      <c r="AG9" s="2297" t="s">
        <v>998</v>
      </c>
      <c r="AH9" s="2297"/>
      <c r="AI9" s="2345" t="s">
        <v>999</v>
      </c>
      <c r="AJ9" s="2297" t="s">
        <v>1000</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r="10" ht="25.199999999999999" customHeight="1">
      <c r="A10" s="1075"/>
      <c r="B10" s="1075"/>
      <c r="C10" s="1075"/>
      <c r="E10" s="1082"/>
      <c r="F10" s="2578"/>
      <c r="G10" s="2581"/>
      <c r="H10" s="2582"/>
      <c r="I10" s="2297"/>
      <c r="J10" s="2297"/>
      <c r="K10" s="2297" t="s">
        <v>1001</v>
      </c>
      <c r="L10" s="2271" t="s">
        <v>1002</v>
      </c>
      <c r="M10" s="2273"/>
      <c r="N10" s="2297" t="s">
        <v>1003</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r="11" s="9138" customFormat="1" ht="25.199999999999999" customHeight="1">
      <c r="A11" s="1299"/>
      <c r="B11" s="1299"/>
      <c r="C11" s="1299"/>
      <c r="D11" s="1298"/>
      <c r="E11" s="1300"/>
      <c r="F11" s="2578"/>
      <c r="G11" s="2581"/>
      <c r="H11" s="2582"/>
      <c r="I11" s="2297"/>
      <c r="J11" s="2297"/>
      <c r="K11" s="2297"/>
      <c r="L11" s="2345" t="s">
        <v>1004</v>
      </c>
      <c r="M11" s="2345" t="s">
        <v>1005</v>
      </c>
      <c r="N11" s="2297" t="s">
        <v>1006</v>
      </c>
      <c r="O11" s="2297"/>
      <c r="P11" s="2588" t="s">
        <v>987</v>
      </c>
      <c r="Q11" s="2588" t="s">
        <v>1007</v>
      </c>
      <c r="R11" s="2588" t="s">
        <v>1008</v>
      </c>
      <c r="S11" s="2588" t="s">
        <v>1009</v>
      </c>
      <c r="T11" s="2588"/>
      <c r="U11" s="2588"/>
      <c r="V11" s="2588"/>
      <c r="W11" s="2588"/>
      <c r="X11" s="2588"/>
      <c r="Y11" s="2588"/>
      <c r="Z11" s="2364"/>
      <c r="AA11" s="2365"/>
      <c r="AB11" s="2297" t="s">
        <v>1010</v>
      </c>
      <c r="AC11" s="2297"/>
      <c r="AD11" s="2271" t="s">
        <v>1011</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r="12" ht="35.649999999999999" customHeight="1">
      <c r="A12" s="1075"/>
      <c r="B12" s="1075"/>
      <c r="C12" s="1075"/>
      <c r="E12" s="1078"/>
      <c r="F12" s="2578"/>
      <c r="G12" s="2583"/>
      <c r="H12" s="2584"/>
      <c r="I12" s="1323" t="s">
        <v>90</v>
      </c>
      <c r="J12" s="1323" t="s">
        <v>1012</v>
      </c>
      <c r="K12" s="2297"/>
      <c r="L12" s="2402"/>
      <c r="M12" s="2402"/>
      <c r="N12" s="2297"/>
      <c r="O12" s="2297"/>
      <c r="P12" s="2588"/>
      <c r="Q12" s="2588"/>
      <c r="R12" s="2588"/>
      <c r="S12" s="1304" t="s">
        <v>87</v>
      </c>
      <c r="T12" s="1304" t="s">
        <v>88</v>
      </c>
      <c r="U12" s="1304" t="s">
        <v>86</v>
      </c>
      <c r="V12" s="1304" t="s">
        <v>1013</v>
      </c>
      <c r="W12" s="1304" t="s">
        <v>86</v>
      </c>
      <c r="X12" s="1304" t="s">
        <v>1014</v>
      </c>
      <c r="Y12" s="1304" t="s">
        <v>1015</v>
      </c>
      <c r="Z12" s="2370"/>
      <c r="AA12" s="2371"/>
      <c r="AB12" s="1311" t="s">
        <v>1016</v>
      </c>
      <c r="AC12" s="1311" t="s">
        <v>1017</v>
      </c>
      <c r="AD12" s="1311" t="s">
        <v>1016</v>
      </c>
      <c r="AE12" s="1311" t="s">
        <v>1017</v>
      </c>
      <c r="AF12" s="2402"/>
      <c r="AG12" s="1324" t="s">
        <v>1018</v>
      </c>
      <c r="AH12" s="1324" t="s">
        <v>1019</v>
      </c>
      <c r="AI12" s="2402"/>
      <c r="AJ12" s="1324" t="s">
        <v>1018</v>
      </c>
      <c r="AK12" s="1324" t="s">
        <v>1019</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r="13" ht="1.05" customHeight="1">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r="14" ht="10.5" customHeight="1">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r="15" ht="13.5" customHeight="1">
      <c r="E15" s="1077"/>
      <c r="F15" s="1084" t="s">
        <v>1020</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r="16" ht="10.5" customHeight="1">
      <c r="BG16" s="928">
        <v>10</v>
      </c>
    </row>
    <row r="17" ht="10.5" customHeight="1">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r="18" ht="10.5" customHeight="1">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r="19" ht="10.5" customHeight="1">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r="20" ht="10.5" hidden="1" customHeight="1">
      <c r="A20" s="1065" t="s">
        <v>83</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autoFilter="0" deleteColumns="1" deleteRows="1" formatColumns="0" formatRows="0" insertColumns="1" insertRows="1" sheet="1" sort="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defaultRowHeight="10.5" customHeight="1"/>
  <cols>
    <col customWidth="1" hidden="1" min="1" max="3" style="11154" width="4.140625"/>
    <col customWidth="1" hidden="1" min="4" max="4" style="9217" width="4.140625"/>
    <col customWidth="1" min="5" max="5" style="9138" width="3.00390625"/>
    <col customWidth="1" min="6" max="6" style="9138" width="6.00390625"/>
    <col customWidth="1" min="7" max="7" style="9138" width="60.00390625"/>
    <col customWidth="1" hidden="1" min="8" max="9" style="9138" width="21.7109375"/>
    <col customWidth="1" min="10" max="10" style="9138" width="0.140625"/>
    <col customWidth="1" min="11" max="11" style="9138" width="1.00390625"/>
    <col customWidth="1" min="12" max="22" style="9138" width="8.00390625"/>
    <col hidden="1" min="23" max="23" style="9138" width="9.140625"/>
  </cols>
  <sheetData>
    <row r="1" s="9217" customFormat="1" ht="10.5" hidden="1" customHeight="1">
      <c r="A1" s="1336"/>
      <c r="B1" s="1336"/>
      <c r="C1" s="1336"/>
      <c r="E1" s="707"/>
      <c r="W1" s="1330" t="s">
        <v>14</v>
      </c>
    </row>
    <row r="2" ht="10.5" hidden="1" customHeight="1">
      <c r="W2" s="1325">
        <v>0</v>
      </c>
    </row>
    <row r="3" s="9102" customFormat="1" ht="10.5" hidden="1" customHeight="1">
      <c r="A3" s="1336"/>
      <c r="B3" s="1336"/>
      <c r="C3" s="1336"/>
      <c r="D3" s="1330"/>
      <c r="E3" s="532"/>
      <c r="W3" s="1326">
        <v>0</v>
      </c>
    </row>
    <row r="4" ht="3" customHeight="1">
      <c r="W4" s="1325">
        <v>3</v>
      </c>
    </row>
    <row r="5" ht="27.300000000000001" customHeight="1">
      <c r="F5" s="2418" t="str">
        <f>IP_NAME_FORM&amp;"
Финансовый план"</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18"/>
      <c r="H5" s="2418"/>
      <c r="I5" s="2418"/>
      <c r="J5" s="2418"/>
      <c r="W5" s="1325">
        <v>26</v>
      </c>
    </row>
    <row r="6" ht="10.5" customHeight="1">
      <c r="F6" s="2346" t="str">
        <f>IF(org=0,"Не определено",org)</f>
        <v xml:space="preserve">АО "ДГК" СП "Биробиджанская ТЭЦ"</v>
      </c>
      <c r="G6" s="2346"/>
      <c r="H6" s="2346"/>
      <c r="I6" s="2346"/>
      <c r="J6" s="2346"/>
      <c r="W6" s="1325">
        <v>10</v>
      </c>
    </row>
    <row r="7" ht="11.5" customHeight="1">
      <c r="E7" s="1340"/>
      <c r="F7" s="1397"/>
      <c r="G7" s="1397"/>
      <c r="H7" s="1397"/>
      <c r="I7" s="1397"/>
      <c r="J7" s="1397"/>
      <c r="K7" s="1327"/>
      <c r="L7" s="1327"/>
      <c r="M7" s="1327"/>
      <c r="N7" s="1327"/>
      <c r="O7" s="1327"/>
      <c r="P7" s="1327"/>
      <c r="Q7" s="1327"/>
      <c r="R7" s="1327"/>
      <c r="S7" s="1327"/>
      <c r="T7" s="1327"/>
      <c r="U7" s="1327"/>
      <c r="V7" s="1327"/>
      <c r="W7" s="1325">
        <v>11</v>
      </c>
    </row>
    <row r="8" s="9218" customFormat="1" ht="4.2000000000000002" customHeight="1">
      <c r="A8" s="1337"/>
      <c r="B8" s="1337"/>
      <c r="C8" s="1337"/>
      <c r="E8" s="1398"/>
      <c r="F8" s="1399"/>
      <c r="G8" s="1399"/>
      <c r="H8" s="1399"/>
      <c r="I8" s="1399"/>
      <c r="J8" s="1399"/>
      <c r="K8" s="1398"/>
      <c r="L8" s="1398"/>
      <c r="M8" s="1398"/>
      <c r="N8" s="1398"/>
      <c r="O8" s="1398"/>
      <c r="P8" s="1398"/>
      <c r="Q8" s="1398"/>
      <c r="R8" s="1398"/>
      <c r="S8" s="1398"/>
      <c r="T8" s="1398"/>
      <c r="U8" s="1398"/>
      <c r="V8" s="1398"/>
      <c r="W8" s="681">
        <v>4</v>
      </c>
    </row>
    <row r="9" ht="10.5" customHeight="1">
      <c r="E9" s="1340"/>
      <c r="F9" s="2589" t="s">
        <v>307</v>
      </c>
      <c r="G9" s="2590"/>
      <c r="H9" s="2590"/>
      <c r="I9" s="2590"/>
      <c r="J9" s="2590"/>
      <c r="K9" s="1410"/>
      <c r="L9" s="1327"/>
      <c r="M9" s="1327"/>
      <c r="N9" s="1327"/>
      <c r="O9" s="1327"/>
      <c r="P9" s="1327"/>
      <c r="Q9" s="1327"/>
      <c r="R9" s="1327"/>
      <c r="S9" s="1327"/>
      <c r="T9" s="1327"/>
      <c r="U9" s="1327"/>
      <c r="V9" s="1327"/>
      <c r="W9" s="1325">
        <v>10</v>
      </c>
    </row>
    <row r="10" ht="25.199999999999999" customHeight="1">
      <c r="E10" s="1327"/>
      <c r="F10" s="2593" t="s">
        <v>89</v>
      </c>
      <c r="G10" s="2598" t="s">
        <v>1021</v>
      </c>
      <c r="H10" s="2596" t="s">
        <v>1022</v>
      </c>
      <c r="I10" s="2596"/>
      <c r="J10" s="2596"/>
      <c r="K10" s="1403"/>
      <c r="L10" s="1327"/>
      <c r="M10" s="1327"/>
      <c r="N10" s="1327"/>
      <c r="O10" s="1327"/>
      <c r="P10" s="1327"/>
      <c r="Q10" s="1327"/>
      <c r="R10" s="1327"/>
      <c r="S10" s="1327"/>
      <c r="T10" s="1327"/>
      <c r="U10" s="1327"/>
      <c r="V10" s="1327"/>
      <c r="W10" s="1325">
        <v>24</v>
      </c>
    </row>
    <row r="11" ht="25.5" customHeight="1">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r="12" ht="10.5" customHeight="1">
      <c r="F12" s="2595"/>
      <c r="G12" s="2598"/>
      <c r="H12" s="1396" t="s">
        <v>1023</v>
      </c>
      <c r="I12" s="1402"/>
      <c r="J12" s="1396"/>
      <c r="K12" s="1404"/>
      <c r="W12" s="1325">
        <v>10</v>
      </c>
    </row>
    <row r="13" ht="10.5" hidden="1" customHeight="1">
      <c r="F13" s="1396">
        <v>1</v>
      </c>
      <c r="G13" s="1396">
        <v>2</v>
      </c>
      <c r="H13" s="1396">
        <v>3</v>
      </c>
      <c r="I13" s="1396">
        <v>4</v>
      </c>
      <c r="J13" s="1396">
        <v>5</v>
      </c>
      <c r="K13" s="1404"/>
      <c r="W13" s="1325">
        <v>0</v>
      </c>
    </row>
    <row r="14" ht="11.5" customHeight="1">
      <c r="F14" s="1395" t="s">
        <v>1024</v>
      </c>
      <c r="G14" s="2591" t="s">
        <v>1025</v>
      </c>
      <c r="H14" s="2591"/>
      <c r="I14" s="2591"/>
      <c r="J14" s="2591"/>
      <c r="K14" s="1404"/>
      <c r="W14" s="1325">
        <v>11</v>
      </c>
    </row>
    <row r="15" ht="11.5" customHeight="1">
      <c r="F15" s="1400">
        <v>1</v>
      </c>
      <c r="G15" s="860" t="s">
        <v>1026</v>
      </c>
      <c r="H15" s="1406">
        <f>SUM(I15:J15)</f>
        <v>0</v>
      </c>
      <c r="I15" s="1406">
        <f>SUM(I16:I27)</f>
        <v>0</v>
      </c>
      <c r="J15" s="1395"/>
      <c r="K15" s="1404"/>
      <c r="W15" s="1325">
        <v>11</v>
      </c>
    </row>
    <row r="16" ht="24" customHeight="1">
      <c r="F16" s="1400" t="s">
        <v>1027</v>
      </c>
      <c r="G16" s="1407" t="s">
        <v>1028</v>
      </c>
      <c r="H16" s="1406">
        <f>SUM(I16:J16)</f>
        <v>0</v>
      </c>
      <c r="I16" s="1405"/>
      <c r="J16" s="1395"/>
      <c r="K16" s="1404"/>
      <c r="W16" s="1325">
        <v>23</v>
      </c>
    </row>
    <row r="17" ht="24" customHeight="1">
      <c r="F17" s="1400" t="s">
        <v>1029</v>
      </c>
      <c r="G17" s="1407" t="s">
        <v>1030</v>
      </c>
      <c r="H17" s="1406">
        <f>SUM(I17:J17)</f>
        <v>0</v>
      </c>
      <c r="I17" s="1405"/>
      <c r="J17" s="1395"/>
      <c r="K17" s="1404"/>
      <c r="W17" s="1325">
        <v>23</v>
      </c>
    </row>
    <row r="18" ht="35.649999999999999" customHeight="1">
      <c r="F18" s="1400" t="s">
        <v>1031</v>
      </c>
      <c r="G18" s="1407" t="s">
        <v>1032</v>
      </c>
      <c r="H18" s="1406">
        <f>SUM(I18:J18)</f>
        <v>0</v>
      </c>
      <c r="I18" s="1405"/>
      <c r="J18" s="1395"/>
      <c r="K18" s="1404"/>
      <c r="W18" s="1325">
        <v>34</v>
      </c>
    </row>
    <row r="19" ht="35.649999999999999" customHeight="1">
      <c r="F19" s="1400" t="s">
        <v>1033</v>
      </c>
      <c r="G19" s="1407" t="s">
        <v>1034</v>
      </c>
      <c r="H19" s="1406">
        <f>SUM(I19:J19)</f>
        <v>0</v>
      </c>
      <c r="I19" s="1405"/>
      <c r="J19" s="1395"/>
      <c r="K19" s="1404"/>
      <c r="W19" s="1325">
        <v>34</v>
      </c>
    </row>
    <row r="20" ht="48.25" customHeight="1">
      <c r="F20" s="1400" t="s">
        <v>1035</v>
      </c>
      <c r="G20" s="1407" t="s">
        <v>1036</v>
      </c>
      <c r="H20" s="1406">
        <f>SUM(I20:J20)</f>
        <v>0</v>
      </c>
      <c r="I20" s="1405"/>
      <c r="J20" s="1395"/>
      <c r="K20" s="1404"/>
      <c r="W20" s="1325">
        <v>46</v>
      </c>
    </row>
    <row r="21" ht="35.649999999999999" customHeight="1">
      <c r="F21" s="1400" t="s">
        <v>1037</v>
      </c>
      <c r="G21" s="1407" t="s">
        <v>1038</v>
      </c>
      <c r="H21" s="1406">
        <f>SUM(I21:J21)</f>
        <v>0</v>
      </c>
      <c r="I21" s="1405"/>
      <c r="J21" s="1395"/>
      <c r="K21" s="1404"/>
      <c r="W21" s="1325">
        <v>34</v>
      </c>
    </row>
    <row r="22" ht="35.649999999999999" customHeight="1">
      <c r="F22" s="1400" t="s">
        <v>1039</v>
      </c>
      <c r="G22" s="1407" t="s">
        <v>1040</v>
      </c>
      <c r="H22" s="1406">
        <f>SUM(I22:J22)</f>
        <v>0</v>
      </c>
      <c r="I22" s="1405"/>
      <c r="J22" s="1395"/>
      <c r="K22" s="1404"/>
      <c r="W22" s="1325">
        <v>34</v>
      </c>
    </row>
    <row r="23" ht="24" customHeight="1">
      <c r="F23" s="1400" t="s">
        <v>1041</v>
      </c>
      <c r="G23" s="1407" t="s">
        <v>1042</v>
      </c>
      <c r="H23" s="1406">
        <f>SUM(I23:J23)</f>
        <v>0</v>
      </c>
      <c r="I23" s="1405"/>
      <c r="J23" s="1395"/>
      <c r="K23" s="1404"/>
      <c r="W23" s="1325">
        <v>23</v>
      </c>
    </row>
    <row r="24" ht="24" customHeight="1">
      <c r="F24" s="1400" t="s">
        <v>1043</v>
      </c>
      <c r="G24" s="1407" t="s">
        <v>1044</v>
      </c>
      <c r="H24" s="1406">
        <f>SUM(I24:J24)</f>
        <v>0</v>
      </c>
      <c r="I24" s="1405"/>
      <c r="J24" s="1395"/>
      <c r="K24" s="1404"/>
      <c r="W24" s="1325">
        <v>23</v>
      </c>
    </row>
    <row r="25" ht="35.649999999999999" customHeight="1">
      <c r="F25" s="1400" t="s">
        <v>1045</v>
      </c>
      <c r="G25" s="1407" t="s">
        <v>1046</v>
      </c>
      <c r="H25" s="1406">
        <f>SUM(I25:J25)</f>
        <v>0</v>
      </c>
      <c r="I25" s="1405"/>
      <c r="J25" s="1395"/>
      <c r="K25" s="1404"/>
      <c r="W25" s="1325">
        <v>34</v>
      </c>
    </row>
    <row r="26" ht="35.649999999999999" customHeight="1">
      <c r="F26" s="1400" t="s">
        <v>1047</v>
      </c>
      <c r="G26" s="1407" t="s">
        <v>1048</v>
      </c>
      <c r="H26" s="1406">
        <f>SUM(I26:J26)</f>
        <v>0</v>
      </c>
      <c r="I26" s="1405"/>
      <c r="J26" s="1395"/>
      <c r="K26" s="1404"/>
      <c r="W26" s="1325">
        <v>34</v>
      </c>
    </row>
    <row r="27" ht="11.5" customHeight="1">
      <c r="F27" s="1400" t="s">
        <v>1049</v>
      </c>
      <c r="G27" s="1407" t="s">
        <v>1050</v>
      </c>
      <c r="H27" s="1406">
        <f>SUM(I27:J27)</f>
        <v>0</v>
      </c>
      <c r="I27" s="1405"/>
      <c r="J27" s="1395"/>
      <c r="K27" s="1404"/>
      <c r="W27" s="1325">
        <v>11</v>
      </c>
    </row>
    <row r="28" ht="11.5" customHeight="1">
      <c r="F28" s="1400">
        <v>2</v>
      </c>
      <c r="G28" s="860" t="s">
        <v>1051</v>
      </c>
      <c r="H28" s="1406">
        <f>SUM(I28:J28)</f>
        <v>0</v>
      </c>
      <c r="I28" s="1406">
        <f>SUM(I29:I31)</f>
        <v>0</v>
      </c>
      <c r="J28" s="1395"/>
      <c r="K28" s="1404"/>
      <c r="W28" s="1325">
        <v>11</v>
      </c>
    </row>
    <row r="29" ht="11.5" customHeight="1">
      <c r="F29" s="1400" t="s">
        <v>714</v>
      </c>
      <c r="G29" s="1407" t="s">
        <v>1052</v>
      </c>
      <c r="H29" s="1406">
        <f>SUM(I29:J29)</f>
        <v>0</v>
      </c>
      <c r="I29" s="1405"/>
      <c r="J29" s="1395"/>
      <c r="K29" s="1404"/>
      <c r="W29" s="1325">
        <v>11</v>
      </c>
    </row>
    <row r="30" ht="11.5" customHeight="1">
      <c r="F30" s="1400" t="s">
        <v>314</v>
      </c>
      <c r="G30" s="1407" t="s">
        <v>1053</v>
      </c>
      <c r="H30" s="1406">
        <f>SUM(I30:J30)</f>
        <v>0</v>
      </c>
      <c r="I30" s="1405"/>
      <c r="J30" s="1395"/>
      <c r="K30" s="1404"/>
      <c r="W30" s="1325">
        <v>11</v>
      </c>
    </row>
    <row r="31" ht="11.5" customHeight="1">
      <c r="F31" s="1400" t="s">
        <v>317</v>
      </c>
      <c r="G31" s="1407" t="s">
        <v>1054</v>
      </c>
      <c r="H31" s="1406">
        <f>SUM(I31:J31)</f>
        <v>0</v>
      </c>
      <c r="I31" s="1405"/>
      <c r="J31" s="1395"/>
      <c r="K31" s="1404"/>
      <c r="W31" s="1325">
        <v>11</v>
      </c>
    </row>
    <row r="32" ht="11.5" customHeight="1">
      <c r="F32" s="1400">
        <v>3</v>
      </c>
      <c r="G32" s="860" t="s">
        <v>1055</v>
      </c>
      <c r="H32" s="1406">
        <f>SUM(I32:J32)</f>
        <v>0</v>
      </c>
      <c r="I32" s="1406">
        <f>SUM(I33:I34)</f>
        <v>0</v>
      </c>
      <c r="J32" s="1395"/>
      <c r="K32" s="1404"/>
      <c r="W32" s="1325">
        <v>11</v>
      </c>
    </row>
    <row r="33" ht="48.25" customHeight="1">
      <c r="F33" s="1400" t="s">
        <v>331</v>
      </c>
      <c r="G33" s="1407" t="s">
        <v>1056</v>
      </c>
      <c r="H33" s="1406">
        <f>SUM(I33:J33)</f>
        <v>0</v>
      </c>
      <c r="I33" s="1405"/>
      <c r="J33" s="1395"/>
      <c r="K33" s="1404"/>
      <c r="W33" s="1325">
        <v>46</v>
      </c>
    </row>
    <row r="34" ht="11.5" customHeight="1">
      <c r="F34" s="1400" t="s">
        <v>339</v>
      </c>
      <c r="G34" s="1407" t="s">
        <v>1057</v>
      </c>
      <c r="H34" s="1406">
        <f>SUM(I34:J34)</f>
        <v>0</v>
      </c>
      <c r="I34" s="1405"/>
      <c r="J34" s="1395"/>
      <c r="K34" s="1404"/>
      <c r="W34" s="1325">
        <v>11</v>
      </c>
    </row>
    <row r="35" ht="11.5" customHeight="1">
      <c r="F35" s="1400">
        <v>4</v>
      </c>
      <c r="G35" s="860" t="s">
        <v>1058</v>
      </c>
      <c r="H35" s="1406">
        <f>SUM(I35:J35)</f>
        <v>0</v>
      </c>
      <c r="I35" s="1405"/>
      <c r="J35" s="1395"/>
      <c r="K35" s="1404"/>
      <c r="W35" s="1325">
        <v>11</v>
      </c>
    </row>
    <row r="36" ht="11.5" customHeight="1">
      <c r="F36" s="1400"/>
      <c r="G36" s="863" t="s">
        <v>1059</v>
      </c>
      <c r="H36" s="1406">
        <f>SUM(I36:J36)</f>
        <v>0</v>
      </c>
      <c r="I36" s="1406">
        <f>SUM(I15,I28,I32,I35)</f>
        <v>0</v>
      </c>
      <c r="J36" s="1395"/>
      <c r="K36" s="1404"/>
      <c r="W36" s="1325">
        <v>11</v>
      </c>
    </row>
    <row r="37" ht="29.25" customHeight="1">
      <c r="F37" s="1401" t="s">
        <v>1060</v>
      </c>
      <c r="G37" s="2592" t="s">
        <v>1061</v>
      </c>
      <c r="H37" s="2592"/>
      <c r="I37" s="2592"/>
      <c r="J37" s="2592"/>
      <c r="K37" s="1404"/>
      <c r="W37" s="1325">
        <v>28</v>
      </c>
    </row>
    <row r="38" ht="24" customHeight="1">
      <c r="F38" s="1400" t="s">
        <v>110</v>
      </c>
      <c r="G38" s="860" t="s">
        <v>1062</v>
      </c>
      <c r="H38" s="1406">
        <f>SUM(I38:J38)</f>
        <v>0</v>
      </c>
      <c r="I38" s="1406">
        <f>SUM(I39,I44,I47)</f>
        <v>0</v>
      </c>
      <c r="J38" s="1395"/>
      <c r="K38" s="1404"/>
      <c r="W38" s="1325">
        <v>23</v>
      </c>
    </row>
    <row r="39" ht="11.5" customHeight="1">
      <c r="F39" s="1400" t="s">
        <v>1027</v>
      </c>
      <c r="G39" s="1407" t="s">
        <v>1026</v>
      </c>
      <c r="H39" s="1406">
        <f>SUM(I39:J39)</f>
        <v>0</v>
      </c>
      <c r="I39" s="1406">
        <f>SUM(I40:I43)</f>
        <v>0</v>
      </c>
      <c r="J39" s="1395"/>
      <c r="K39" s="1404"/>
      <c r="W39" s="1325">
        <v>11</v>
      </c>
    </row>
    <row r="40" ht="24" customHeight="1">
      <c r="F40" s="1400" t="s">
        <v>1063</v>
      </c>
      <c r="G40" s="1408" t="s">
        <v>1064</v>
      </c>
      <c r="H40" s="1406">
        <f>SUM(I40:J40)</f>
        <v>0</v>
      </c>
      <c r="I40" s="1405"/>
      <c r="J40" s="1395"/>
      <c r="K40" s="1404"/>
      <c r="W40" s="1325">
        <v>23</v>
      </c>
    </row>
    <row r="41" ht="11.5" customHeight="1">
      <c r="F41" s="1400" t="s">
        <v>1065</v>
      </c>
      <c r="G41" s="1408" t="s">
        <v>1066</v>
      </c>
      <c r="H41" s="1406">
        <f>SUM(I41:J41)</f>
        <v>0</v>
      </c>
      <c r="I41" s="1405"/>
      <c r="J41" s="1395"/>
      <c r="K41" s="1404"/>
      <c r="W41" s="1325">
        <v>11</v>
      </c>
    </row>
    <row r="42" ht="11.5" customHeight="1">
      <c r="F42" s="1400" t="s">
        <v>1067</v>
      </c>
      <c r="G42" s="1408" t="s">
        <v>1068</v>
      </c>
      <c r="H42" s="1406">
        <f>SUM(I42:J42)</f>
        <v>0</v>
      </c>
      <c r="I42" s="1405"/>
      <c r="J42" s="1395"/>
      <c r="K42" s="1404"/>
      <c r="W42" s="1325">
        <v>11</v>
      </c>
    </row>
    <row r="43" ht="35.649999999999999" customHeight="1">
      <c r="F43" s="1400" t="s">
        <v>1069</v>
      </c>
      <c r="G43" s="1408" t="s">
        <v>1070</v>
      </c>
      <c r="H43" s="1406">
        <f>SUM(I43:J43)</f>
        <v>0</v>
      </c>
      <c r="I43" s="1405"/>
      <c r="J43" s="1395"/>
      <c r="K43" s="1404"/>
      <c r="W43" s="1325">
        <v>34</v>
      </c>
    </row>
    <row r="44" ht="11.5" customHeight="1">
      <c r="F44" s="1400" t="s">
        <v>1029</v>
      </c>
      <c r="G44" s="1407" t="s">
        <v>1055</v>
      </c>
      <c r="H44" s="1406">
        <f>SUM(I44:J44)</f>
        <v>0</v>
      </c>
      <c r="I44" s="1406">
        <f>SUM(I45:I46)</f>
        <v>0</v>
      </c>
      <c r="J44" s="1395"/>
      <c r="K44" s="1404"/>
      <c r="W44" s="1325">
        <v>11</v>
      </c>
    </row>
    <row r="45" ht="48.25" customHeight="1">
      <c r="F45" s="1400" t="s">
        <v>1071</v>
      </c>
      <c r="G45" s="1408" t="s">
        <v>1056</v>
      </c>
      <c r="H45" s="1406">
        <f>SUM(I45:J45)</f>
        <v>0</v>
      </c>
      <c r="I45" s="1405"/>
      <c r="J45" s="1395"/>
      <c r="K45" s="1404"/>
      <c r="W45" s="1325">
        <v>46</v>
      </c>
    </row>
    <row r="46" ht="11.5" customHeight="1">
      <c r="F46" s="1400" t="s">
        <v>1072</v>
      </c>
      <c r="G46" s="1408" t="s">
        <v>1057</v>
      </c>
      <c r="H46" s="1406">
        <f>SUM(I46:J46)</f>
        <v>0</v>
      </c>
      <c r="I46" s="1405"/>
      <c r="J46" s="1395"/>
      <c r="K46" s="1404"/>
      <c r="W46" s="1325">
        <v>11</v>
      </c>
    </row>
    <row r="47" ht="11.5" customHeight="1">
      <c r="F47" s="1400" t="s">
        <v>1031</v>
      </c>
      <c r="G47" s="1407" t="s">
        <v>1073</v>
      </c>
      <c r="H47" s="1406">
        <f>SUM(I47:J47)</f>
        <v>0</v>
      </c>
      <c r="I47" s="1405"/>
      <c r="J47" s="1395"/>
      <c r="K47" s="1404"/>
      <c r="W47" s="1325">
        <v>11</v>
      </c>
    </row>
    <row r="48" ht="24" customHeight="1">
      <c r="F48" s="1400" t="s">
        <v>111</v>
      </c>
      <c r="G48" s="860" t="s">
        <v>1074</v>
      </c>
      <c r="H48" s="1406">
        <f>SUM(I48:J48)</f>
        <v>0</v>
      </c>
      <c r="I48" s="1406">
        <f>SUM(I49,I54,I57)</f>
        <v>0</v>
      </c>
      <c r="J48" s="1395"/>
      <c r="K48" s="1404"/>
      <c r="W48" s="1325">
        <v>23</v>
      </c>
    </row>
    <row r="49" ht="11.5" customHeight="1">
      <c r="F49" s="1400" t="s">
        <v>714</v>
      </c>
      <c r="G49" s="1407" t="s">
        <v>1026</v>
      </c>
      <c r="H49" s="1406">
        <f>SUM(I49:J49)</f>
        <v>0</v>
      </c>
      <c r="I49" s="1406">
        <f>SUM(I50:I53)</f>
        <v>0</v>
      </c>
      <c r="J49" s="1395"/>
      <c r="K49" s="1404"/>
      <c r="W49" s="1325">
        <v>11</v>
      </c>
    </row>
    <row r="50" ht="24" customHeight="1">
      <c r="F50" s="1400" t="s">
        <v>717</v>
      </c>
      <c r="G50" s="1408" t="s">
        <v>1064</v>
      </c>
      <c r="H50" s="1406">
        <f>SUM(I50:J50)</f>
        <v>0</v>
      </c>
      <c r="I50" s="1405"/>
      <c r="J50" s="1395"/>
      <c r="K50" s="1404"/>
      <c r="W50" s="1325">
        <v>23</v>
      </c>
    </row>
    <row r="51" ht="11.5" customHeight="1">
      <c r="F51" s="1400" t="s">
        <v>720</v>
      </c>
      <c r="G51" s="1408" t="s">
        <v>1066</v>
      </c>
      <c r="H51" s="1406">
        <f>SUM(I51:J51)</f>
        <v>0</v>
      </c>
      <c r="I51" s="1405"/>
      <c r="J51" s="1395"/>
      <c r="K51" s="1404"/>
      <c r="W51" s="1325">
        <v>11</v>
      </c>
    </row>
    <row r="52" ht="11.5" customHeight="1">
      <c r="F52" s="1400" t="s">
        <v>1075</v>
      </c>
      <c r="G52" s="1408" t="s">
        <v>1068</v>
      </c>
      <c r="H52" s="1406">
        <f>SUM(I52:J52)</f>
        <v>0</v>
      </c>
      <c r="I52" s="1405"/>
      <c r="J52" s="1395"/>
      <c r="K52" s="1404"/>
      <c r="W52" s="1325">
        <v>11</v>
      </c>
    </row>
    <row r="53" ht="35.649999999999999" customHeight="1">
      <c r="F53" s="1400" t="s">
        <v>1076</v>
      </c>
      <c r="G53" s="1408" t="s">
        <v>1070</v>
      </c>
      <c r="H53" s="1406">
        <f>SUM(I53:J53)</f>
        <v>0</v>
      </c>
      <c r="I53" s="1405"/>
      <c r="J53" s="1395"/>
      <c r="K53" s="1404"/>
      <c r="W53" s="1325">
        <v>34</v>
      </c>
    </row>
    <row r="54" ht="11.5" customHeight="1">
      <c r="F54" s="1400" t="s">
        <v>314</v>
      </c>
      <c r="G54" s="1407" t="s">
        <v>1055</v>
      </c>
      <c r="H54" s="1406">
        <f>SUM(I54:J54)</f>
        <v>0</v>
      </c>
      <c r="I54" s="1406">
        <f>SUM(I55:I56)</f>
        <v>0</v>
      </c>
      <c r="J54" s="1395"/>
      <c r="K54" s="1404"/>
      <c r="W54" s="1325">
        <v>11</v>
      </c>
    </row>
    <row r="55" ht="48.25" customHeight="1">
      <c r="F55" s="1400" t="s">
        <v>724</v>
      </c>
      <c r="G55" s="1408" t="s">
        <v>1056</v>
      </c>
      <c r="H55" s="1406">
        <f>SUM(I55:J55)</f>
        <v>0</v>
      </c>
      <c r="I55" s="1405"/>
      <c r="J55" s="1395"/>
      <c r="K55" s="1404"/>
      <c r="W55" s="1325">
        <v>46</v>
      </c>
    </row>
    <row r="56" ht="11.5" customHeight="1">
      <c r="F56" s="1400" t="s">
        <v>726</v>
      </c>
      <c r="G56" s="1408" t="s">
        <v>1057</v>
      </c>
      <c r="H56" s="1406">
        <f>SUM(I56:J56)</f>
        <v>0</v>
      </c>
      <c r="I56" s="1405"/>
      <c r="J56" s="1395"/>
      <c r="K56" s="1404"/>
      <c r="W56" s="1325">
        <v>11</v>
      </c>
    </row>
    <row r="57" ht="11.5" customHeight="1">
      <c r="F57" s="1400" t="s">
        <v>317</v>
      </c>
      <c r="G57" s="1407" t="s">
        <v>1073</v>
      </c>
      <c r="H57" s="1406">
        <f>SUM(I57:J57)</f>
        <v>0</v>
      </c>
      <c r="I57" s="1405"/>
      <c r="J57" s="1395"/>
      <c r="K57" s="1404"/>
      <c r="W57" s="1325">
        <v>11</v>
      </c>
    </row>
    <row r="58" ht="11.5" customHeight="1">
      <c r="F58" s="1400"/>
      <c r="G58" s="1409" t="s">
        <v>1059</v>
      </c>
      <c r="H58" s="1406">
        <f>SUM(I58:J58)</f>
        <v>0</v>
      </c>
      <c r="I58" s="1406">
        <f>SUM(I38,I48)</f>
        <v>0</v>
      </c>
      <c r="J58" s="1395"/>
      <c r="K58" s="1404"/>
      <c r="W58" s="1325">
        <v>11</v>
      </c>
    </row>
    <row r="59" ht="10.5" hidden="1" customHeight="1">
      <c r="A59" s="1336" t="s">
        <v>83</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autoFilter="0" deleteColumns="1" deleteRows="1" formatColumns="0" formatRows="0" insertColumns="1" insertRows="1" sheet="1" sort="1"/>
  <mergeCells count="9">
    <mergeCell ref="F5:J5"/>
    <mergeCell ref="F6:J6"/>
    <mergeCell ref="F9:J9"/>
    <mergeCell ref="G14:J14"/>
    <mergeCell ref="G37:J37"/>
    <mergeCell ref="F10:F12"/>
    <mergeCell ref="H10:J10"/>
    <mergeCell ref="H11:J11"/>
    <mergeCell ref="G10:G12"/>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4500CC-00CD-4B88-B27B-0019009800F6}" type="decimal" allowBlank="1" error="Допускается ввод только неотрицательных чисел!" errorTitle="Ошибка" showErrorMessage="1">
          <x14:formula1>
            <xm:f>0</xm:f>
          </x14:formula1>
          <x14:formula2>
            <xm:f>9.99999999999999E+23</xm:f>
          </x14:formula2>
          <xm:sqref>I29:I31 I33:I35 I40:I43 I45:I47 I50:I53 I55:I57 I16:I27</xm:sqref>
        </x14:dataValidation>
      </x14:dataValidations>
    </ext>
  </extLst>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25"/>
  </sheetPr>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defaultRowHeight="12" customHeight="1"/>
  <cols>
    <col customWidth="1" hidden="1" min="1" max="1" style="11359" width="4.7109375"/>
    <col customWidth="1" hidden="1" min="2" max="2" style="11365" width="4.7109375"/>
    <col customWidth="1" hidden="1" min="3" max="4" style="11359" width="4.7109375"/>
    <col customWidth="1" min="5" max="5" style="11359" width="3.00390625"/>
    <col customWidth="1" min="6" max="6" style="11359" width="6.00390625"/>
    <col customWidth="1" min="7" max="7" style="11359" width="18.00390625"/>
    <col customWidth="1" min="8" max="8" style="11359" width="27.00390625"/>
    <col customWidth="1" min="9" max="9" style="11359" width="18.00390625"/>
    <col customWidth="1" hidden="1" min="10" max="14" style="11359" width="0.8515625"/>
    <col customWidth="1" min="15" max="28" style="11359" width="21.7109375"/>
    <col customWidth="1" min="29" max="71" style="11359" width="0.8515625"/>
    <col customWidth="1" hidden="1" min="72" max="79" style="11359" width="21.7109375"/>
    <col customWidth="1" hidden="1" min="80" max="81" style="11359" width="29.140625"/>
    <col customWidth="1" hidden="1" min="82" max="89" style="11359" width="21.7109375"/>
    <col customWidth="1" hidden="1" min="90" max="102" style="11359" width="0.7109375"/>
    <col customWidth="1" hidden="1" min="103" max="114" style="11359" width="21.7109375"/>
    <col customWidth="1" hidden="1" min="115" max="178" style="11359" width="0.7109375"/>
    <col customWidth="1" min="179" max="179" style="11359" width="0.140625"/>
    <col customWidth="1" min="180" max="184" style="11359" width="8.00390625"/>
    <col hidden="1" min="185" max="185" style="11359" width="9.140625"/>
  </cols>
  <sheetData>
    <row r="1" s="11289" customFormat="1" ht="12" hidden="1" customHeight="1">
      <c r="B1" s="1093"/>
      <c r="C1" s="1094"/>
      <c r="D1" s="1094"/>
      <c r="GC1" s="1092" t="s">
        <v>14</v>
      </c>
    </row>
    <row r="2" s="11289" customFormat="1" ht="12" hidden="1" customHeight="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r="3" s="11289" customFormat="1" ht="12" hidden="1" customHeight="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r="4" ht="10.5" customHeight="1">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r="5" s="11299" customFormat="1" ht="27.300000000000001" customHeight="1">
      <c r="B5" s="2042"/>
      <c r="E5" s="2044"/>
      <c r="F5" s="2602" t="str">
        <f>IP_NAME_FORM&amp;"
Показатели качества, надежности и энергетической эффективности в сфере "&amp;TEMPLATE_SPHERE_RUS</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r="6" s="11304" customFormat="1" ht="18.75" customHeight="1">
      <c r="B6" s="1113"/>
      <c r="E6" s="1115"/>
      <c r="F6" s="2384" t="str">
        <f>IF(org=0,"Не определено",org)</f>
        <v xml:space="preserve">АО "ДГК" СП "Биробиджанская ТЭЦ"</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r="7" s="11308" customFormat="1" ht="10.5" customHeight="1">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r="8" s="11308" customFormat="1" ht="11.25" hidden="1" customHeight="1">
      <c r="B8" s="1104"/>
      <c r="F8" s="1226"/>
      <c r="G8" s="933"/>
      <c r="H8" s="530"/>
      <c r="I8" s="530"/>
      <c r="J8" s="530"/>
      <c r="K8" s="530"/>
      <c r="L8" s="530"/>
      <c r="M8" s="1226"/>
      <c r="N8" s="1226"/>
      <c r="O8" s="2620" t="s">
        <v>1077</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1078</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r="9" s="11308" customFormat="1" ht="11.25" hidden="1" customHeight="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r="10" s="11308" customFormat="1" ht="11.5" customHeight="1">
      <c r="B10" s="1104"/>
      <c r="F10" s="2599" t="s">
        <v>307</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r="11" ht="12.75" customHeight="1">
      <c r="E11" s="1107"/>
      <c r="F11" s="2375" t="s">
        <v>89</v>
      </c>
      <c r="G11" s="2375" t="s">
        <v>1079</v>
      </c>
      <c r="H11" s="2607" t="s">
        <v>1080</v>
      </c>
      <c r="I11" s="2607" t="s">
        <v>1081</v>
      </c>
      <c r="J11" s="2608"/>
      <c r="K11" s="2608"/>
      <c r="L11" s="2608"/>
      <c r="M11" s="2608"/>
      <c r="N11" s="2608"/>
      <c r="O11" s="2379" t="s">
        <v>1082</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1082</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1082</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r="12" ht="12.75" customHeight="1">
      <c r="D12" s="1108"/>
      <c r="E12" s="1107"/>
      <c r="F12" s="2375"/>
      <c r="G12" s="2375"/>
      <c r="H12" s="2607"/>
      <c r="I12" s="2607"/>
      <c r="J12" s="2608"/>
      <c r="K12" s="2608"/>
      <c r="L12" s="2608"/>
      <c r="M12" s="2608"/>
      <c r="N12" s="2608"/>
      <c r="O12" s="2379" t="s">
        <v>1083</v>
      </c>
      <c r="P12" s="2379"/>
      <c r="Q12" s="2379"/>
      <c r="R12" s="2379"/>
      <c r="S12" s="2379" t="s">
        <v>1084</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1085</v>
      </c>
      <c r="BU12" s="2557"/>
      <c r="BV12" s="2557"/>
      <c r="BW12" s="2603"/>
      <c r="BX12" s="2556" t="s">
        <v>1086</v>
      </c>
      <c r="BY12" s="2557"/>
      <c r="BZ12" s="2557"/>
      <c r="CA12" s="2603"/>
      <c r="CB12" s="2556" t="s">
        <v>1087</v>
      </c>
      <c r="CC12" s="2603"/>
      <c r="CD12" s="2556" t="s">
        <v>1088</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1089</v>
      </c>
      <c r="CZ12" s="2557"/>
      <c r="DA12" s="2557"/>
      <c r="DB12" s="2557"/>
      <c r="DC12" s="2557"/>
      <c r="DD12" s="2603"/>
      <c r="DE12" s="2556" t="s">
        <v>1090</v>
      </c>
      <c r="DF12" s="2603"/>
      <c r="DG12" s="2556" t="s">
        <v>1088</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r="13" ht="37.799999999999997" customHeight="1">
      <c r="D13" s="1108"/>
      <c r="E13" s="1107"/>
      <c r="F13" s="2375"/>
      <c r="G13" s="2375"/>
      <c r="H13" s="2607"/>
      <c r="I13" s="2607"/>
      <c r="J13" s="2608"/>
      <c r="K13" s="2608"/>
      <c r="L13" s="2608"/>
      <c r="M13" s="2608"/>
      <c r="N13" s="2608"/>
      <c r="O13" s="2379" t="s">
        <v>1091</v>
      </c>
      <c r="P13" s="2379"/>
      <c r="Q13" s="2379"/>
      <c r="R13" s="2379"/>
      <c r="S13" s="2506" t="s">
        <v>1092</v>
      </c>
      <c r="T13" s="2558"/>
      <c r="U13" s="2297" t="s">
        <v>1093</v>
      </c>
      <c r="V13" s="2297"/>
      <c r="W13" s="2297"/>
      <c r="X13" s="2297"/>
      <c r="Y13" s="2297" t="s">
        <v>1094</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1095</v>
      </c>
      <c r="BU13" s="2558"/>
      <c r="BV13" s="2506" t="s">
        <v>1096</v>
      </c>
      <c r="BW13" s="2558"/>
      <c r="BX13" s="2506" t="s">
        <v>1097</v>
      </c>
      <c r="BY13" s="2558"/>
      <c r="BZ13" s="2506" t="s">
        <v>1098</v>
      </c>
      <c r="CA13" s="2558"/>
      <c r="CB13" s="2506" t="s">
        <v>1099</v>
      </c>
      <c r="CC13" s="2558"/>
      <c r="CD13" s="2506" t="s">
        <v>1100</v>
      </c>
      <c r="CE13" s="2558"/>
      <c r="CF13" s="2506" t="s">
        <v>1101</v>
      </c>
      <c r="CG13" s="2558"/>
      <c r="CH13" s="2556" t="s">
        <v>1102</v>
      </c>
      <c r="CI13" s="2557"/>
      <c r="CJ13" s="2557"/>
      <c r="CK13" s="2603"/>
      <c r="CL13" s="2606"/>
      <c r="CM13" s="2604"/>
      <c r="CN13" s="2604"/>
      <c r="CO13" s="2604"/>
      <c r="CP13" s="2604"/>
      <c r="CQ13" s="2604"/>
      <c r="CR13" s="2604"/>
      <c r="CS13" s="2604"/>
      <c r="CT13" s="2604"/>
      <c r="CU13" s="2604"/>
      <c r="CV13" s="2604"/>
      <c r="CW13" s="2604"/>
      <c r="CX13" s="2623"/>
      <c r="CY13" s="2506" t="s">
        <v>1103</v>
      </c>
      <c r="CZ13" s="2558"/>
      <c r="DA13" s="2506" t="s">
        <v>1104</v>
      </c>
      <c r="DB13" s="2558"/>
      <c r="DC13" s="2506" t="s">
        <v>1105</v>
      </c>
      <c r="DD13" s="2558"/>
      <c r="DE13" s="2506" t="s">
        <v>1106</v>
      </c>
      <c r="DF13" s="2558"/>
      <c r="DG13" s="2556" t="s">
        <v>1107</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r="14" ht="37.799999999999997" customHeight="1">
      <c r="D14" s="1108"/>
      <c r="E14" s="1107"/>
      <c r="F14" s="2375"/>
      <c r="G14" s="2375"/>
      <c r="H14" s="2607"/>
      <c r="I14" s="2607"/>
      <c r="J14" s="2608"/>
      <c r="K14" s="2608"/>
      <c r="L14" s="2608"/>
      <c r="M14" s="2608"/>
      <c r="N14" s="2608"/>
      <c r="O14" s="2506" t="s">
        <v>1108</v>
      </c>
      <c r="P14" s="2558"/>
      <c r="Q14" s="2506" t="s">
        <v>1109</v>
      </c>
      <c r="R14" s="2558"/>
      <c r="S14" s="2507"/>
      <c r="T14" s="2383"/>
      <c r="U14" s="2506" t="s">
        <v>841</v>
      </c>
      <c r="V14" s="2558"/>
      <c r="W14" s="2506" t="s">
        <v>844</v>
      </c>
      <c r="X14" s="2558"/>
      <c r="Y14" s="2506" t="s">
        <v>841</v>
      </c>
      <c r="Z14" s="2558"/>
      <c r="AA14" s="2506" t="s">
        <v>851</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1110</v>
      </c>
      <c r="CI14" s="2558"/>
      <c r="CJ14" s="2506" t="s">
        <v>1111</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1112</v>
      </c>
      <c r="DH14" s="2558"/>
      <c r="DI14" s="2506" t="s">
        <v>1113</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r="15" ht="37.799999999999997" customHeight="1">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r="16" ht="12.75" customHeight="1">
      <c r="D16" s="1108"/>
      <c r="E16" s="1107"/>
      <c r="F16" s="2375"/>
      <c r="G16" s="2375"/>
      <c r="H16" s="2607"/>
      <c r="I16" s="2607"/>
      <c r="J16" s="2608"/>
      <c r="K16" s="2608"/>
      <c r="L16" s="2608"/>
      <c r="M16" s="2608"/>
      <c r="N16" s="2608"/>
      <c r="O16" s="2556" t="s">
        <v>831</v>
      </c>
      <c r="P16" s="2603"/>
      <c r="Q16" s="2556" t="s">
        <v>833</v>
      </c>
      <c r="R16" s="2603"/>
      <c r="S16" s="2556" t="s">
        <v>837</v>
      </c>
      <c r="T16" s="2603"/>
      <c r="U16" s="2556" t="s">
        <v>842</v>
      </c>
      <c r="V16" s="2603"/>
      <c r="W16" s="2556" t="s">
        <v>845</v>
      </c>
      <c r="X16" s="2603"/>
      <c r="Y16" s="2556" t="s">
        <v>849</v>
      </c>
      <c r="Z16" s="2603"/>
      <c r="AA16" s="2556" t="s">
        <v>852</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564</v>
      </c>
      <c r="BU16" s="2603"/>
      <c r="BV16" s="2556" t="s">
        <v>564</v>
      </c>
      <c r="BW16" s="2603"/>
      <c r="BX16" s="2556" t="s">
        <v>564</v>
      </c>
      <c r="BY16" s="2603"/>
      <c r="BZ16" s="2556" t="s">
        <v>564</v>
      </c>
      <c r="CA16" s="2603"/>
      <c r="CB16" s="2556" t="s">
        <v>1114</v>
      </c>
      <c r="CC16" s="2603"/>
      <c r="CD16" s="2556" t="s">
        <v>564</v>
      </c>
      <c r="CE16" s="2603"/>
      <c r="CF16" s="2556" t="s">
        <v>1115</v>
      </c>
      <c r="CG16" s="2603"/>
      <c r="CH16" s="2556" t="s">
        <v>1116</v>
      </c>
      <c r="CI16" s="2603"/>
      <c r="CJ16" s="2556" t="s">
        <v>1116</v>
      </c>
      <c r="CK16" s="2603"/>
      <c r="CL16" s="2606"/>
      <c r="CM16" s="2604"/>
      <c r="CN16" s="2604"/>
      <c r="CO16" s="2604"/>
      <c r="CP16" s="2604"/>
      <c r="CQ16" s="2604"/>
      <c r="CR16" s="2604"/>
      <c r="CS16" s="2604"/>
      <c r="CT16" s="2604"/>
      <c r="CU16" s="2604"/>
      <c r="CV16" s="2604"/>
      <c r="CW16" s="2604"/>
      <c r="CX16" s="2623"/>
      <c r="CY16" s="2506" t="s">
        <v>564</v>
      </c>
      <c r="CZ16" s="2558"/>
      <c r="DA16" s="2506" t="s">
        <v>564</v>
      </c>
      <c r="DB16" s="2558"/>
      <c r="DC16" s="2506" t="s">
        <v>564</v>
      </c>
      <c r="DD16" s="2558"/>
      <c r="DE16" s="2556" t="s">
        <v>1114</v>
      </c>
      <c r="DF16" s="2603"/>
      <c r="DG16" s="2556" t="s">
        <v>1117</v>
      </c>
      <c r="DH16" s="2603"/>
      <c r="DI16" s="2556" t="s">
        <v>1117</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r="17" ht="15.75" customHeight="1">
      <c r="E17" s="1107"/>
      <c r="F17" s="2375"/>
      <c r="G17" s="2375"/>
      <c r="H17" s="2607"/>
      <c r="I17" s="2607"/>
      <c r="J17" s="2608"/>
      <c r="K17" s="2608"/>
      <c r="L17" s="2608"/>
      <c r="M17" s="2608"/>
      <c r="N17" s="2608"/>
      <c r="O17" s="1361" t="s">
        <v>1118</v>
      </c>
      <c r="P17" s="1361" t="s">
        <v>1119</v>
      </c>
      <c r="Q17" s="1361" t="s">
        <v>1118</v>
      </c>
      <c r="R17" s="1361" t="s">
        <v>1119</v>
      </c>
      <c r="S17" s="1361" t="s">
        <v>1118</v>
      </c>
      <c r="T17" s="1361" t="s">
        <v>1119</v>
      </c>
      <c r="U17" s="1361" t="s">
        <v>1118</v>
      </c>
      <c r="V17" s="1361" t="s">
        <v>1119</v>
      </c>
      <c r="W17" s="1361" t="s">
        <v>1118</v>
      </c>
      <c r="X17" s="1361" t="s">
        <v>1119</v>
      </c>
      <c r="Y17" s="1361" t="s">
        <v>1118</v>
      </c>
      <c r="Z17" s="1361" t="s">
        <v>1119</v>
      </c>
      <c r="AA17" s="1361" t="s">
        <v>1118</v>
      </c>
      <c r="AB17" s="1361" t="s">
        <v>1119</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1118</v>
      </c>
      <c r="BU17" s="1361" t="s">
        <v>1119</v>
      </c>
      <c r="BV17" s="1361" t="s">
        <v>1118</v>
      </c>
      <c r="BW17" s="1361" t="s">
        <v>1119</v>
      </c>
      <c r="BX17" s="1361" t="s">
        <v>1118</v>
      </c>
      <c r="BY17" s="1361" t="s">
        <v>1119</v>
      </c>
      <c r="BZ17" s="1361" t="s">
        <v>1118</v>
      </c>
      <c r="CA17" s="1361" t="s">
        <v>1119</v>
      </c>
      <c r="CB17" s="1361" t="s">
        <v>1118</v>
      </c>
      <c r="CC17" s="1361" t="s">
        <v>1119</v>
      </c>
      <c r="CD17" s="1361" t="s">
        <v>1118</v>
      </c>
      <c r="CE17" s="1361" t="s">
        <v>1119</v>
      </c>
      <c r="CF17" s="1361" t="s">
        <v>1118</v>
      </c>
      <c r="CG17" s="1361" t="s">
        <v>1119</v>
      </c>
      <c r="CH17" s="1361" t="s">
        <v>1118</v>
      </c>
      <c r="CI17" s="1361" t="s">
        <v>1119</v>
      </c>
      <c r="CJ17" s="1361" t="s">
        <v>1118</v>
      </c>
      <c r="CK17" s="1361" t="s">
        <v>1119</v>
      </c>
      <c r="CL17" s="2606"/>
      <c r="CM17" s="2604"/>
      <c r="CN17" s="2604"/>
      <c r="CO17" s="2604"/>
      <c r="CP17" s="2604"/>
      <c r="CQ17" s="2604"/>
      <c r="CR17" s="2604"/>
      <c r="CS17" s="2604"/>
      <c r="CT17" s="2604"/>
      <c r="CU17" s="2604"/>
      <c r="CV17" s="2604"/>
      <c r="CW17" s="2604"/>
      <c r="CX17" s="2623"/>
      <c r="CY17" s="1361" t="s">
        <v>1118</v>
      </c>
      <c r="CZ17" s="1361" t="s">
        <v>1119</v>
      </c>
      <c r="DA17" s="1361" t="s">
        <v>1118</v>
      </c>
      <c r="DB17" s="1361" t="s">
        <v>1119</v>
      </c>
      <c r="DC17" s="1361" t="s">
        <v>1118</v>
      </c>
      <c r="DD17" s="1361" t="s">
        <v>1119</v>
      </c>
      <c r="DE17" s="1361" t="s">
        <v>1118</v>
      </c>
      <c r="DF17" s="1361" t="s">
        <v>1119</v>
      </c>
      <c r="DG17" s="1361" t="s">
        <v>1118</v>
      </c>
      <c r="DH17" s="1361" t="s">
        <v>1119</v>
      </c>
      <c r="DI17" s="1361" t="s">
        <v>1118</v>
      </c>
      <c r="DJ17" s="1361" t="s">
        <v>1119</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r="18" s="11289" customFormat="1" ht="12" hidden="1" customHeight="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r="19" s="11289" customFormat="1" ht="11.25" hidden="1" customHeight="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r="20" s="11289" customFormat="1" ht="11.25" hidden="1" customHeight="1">
      <c r="B20" s="1110"/>
      <c r="D20" s="1094"/>
      <c r="E20" s="1109"/>
      <c r="F20" s="1367" t="s">
        <v>383</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r="21" s="11289" customFormat="1" ht="12.75" customHeight="1">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r="22" s="11289" customFormat="1" ht="12.75" customHeight="1">
      <c r="A22" s="1111"/>
      <c r="B22" s="1111"/>
      <c r="C22" s="1111"/>
      <c r="D22" s="1111"/>
      <c r="E22" s="1111"/>
      <c r="FX22" s="1111"/>
      <c r="FY22" s="1111"/>
      <c r="FZ22" s="1111"/>
      <c r="GA22" s="1111"/>
      <c r="GB22" s="1111"/>
      <c r="GC22" s="1092">
        <v>12</v>
      </c>
    </row>
    <row r="23" s="11359" customFormat="1" ht="12.75" customHeight="1">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r="24" ht="12.75" customHeight="1">
      <c r="S24" s="1108"/>
      <c r="T24" s="1108"/>
      <c r="U24" s="1108"/>
      <c r="V24" s="1108"/>
      <c r="W24" s="1108"/>
      <c r="X24" s="1108"/>
      <c r="Y24" s="1108"/>
      <c r="Z24" s="1108"/>
      <c r="AA24" s="1108"/>
      <c r="AB24" s="1108"/>
      <c r="FX24" s="1108"/>
      <c r="FY24" s="1108"/>
      <c r="FZ24" s="1108"/>
      <c r="GA24" s="1108"/>
      <c r="GB24" s="1108"/>
      <c r="GC24" s="1096">
        <v>12</v>
      </c>
    </row>
    <row r="25" ht="12" hidden="1" customHeight="1">
      <c r="A25" s="1096" t="s">
        <v>83</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autoFilter="0" deleteColumns="1" deleteRows="1" formatColumns="0" formatRows="0" insertColumns="1" insertRows="1" sheet="1" sort="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sqref="AA14:AB16 U16:Z16" allowBlank="1"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sheetPr>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defaultRowHeight="15" customHeight="1"/>
  <cols>
    <col customWidth="1" hidden="1" min="1" max="1" style="9102" width="9.140625"/>
    <col customWidth="1" hidden="1" min="2" max="2" style="9138" width="9.140625"/>
    <col customWidth="1" min="3" max="3" style="11183" width="4.00390625"/>
    <col customWidth="1" min="4" max="4" style="9138" width="6.00390625"/>
    <col customWidth="1" min="5" max="5" style="9138" width="36.00390625"/>
    <col customWidth="1" min="6" max="6" style="9138" width="9.00390625"/>
    <col customWidth="1" hidden="1" min="7" max="7" style="9138" width="42.421875"/>
    <col customWidth="1" min="8" max="8" style="9138" width="40.7109375"/>
    <col customWidth="1" min="9" max="9" style="9217" width="93.00390625"/>
    <col customWidth="1" min="10" max="17" style="9138" width="10.00390625"/>
    <col customWidth="1" min="18" max="18" style="11184" width="10.00390625"/>
    <col hidden="1" min="19" max="19" style="9138" width="10.57421875"/>
  </cols>
  <sheetData>
    <row r="1" s="9217" customFormat="1" ht="15" hidden="1" customHeight="1">
      <c r="C1" s="842"/>
      <c r="H1" s="587">
        <v>4</v>
      </c>
      <c r="R1" s="590"/>
      <c r="S1" s="587" t="s">
        <v>14</v>
      </c>
    </row>
    <row r="2" ht="22.5" hidden="1" customHeight="1">
      <c r="C2" s="2098" t="s">
        <v>432</v>
      </c>
      <c r="D2" s="709"/>
      <c r="E2" s="833"/>
      <c r="F2" s="1931" t="str">
        <f>IF(TEMPLATE_SPHERE="HEAT","Гкал/час","тыс. куб. м/сутки")</f>
        <v>Гкал/час</v>
      </c>
      <c r="G2" s="850"/>
      <c r="H2" s="850"/>
      <c r="I2" s="459"/>
      <c r="S2" s="675">
        <v>0</v>
      </c>
    </row>
    <row r="3" s="9217" customFormat="1" ht="15" hidden="1" customHeight="1">
      <c r="C3" s="842"/>
      <c r="R3" s="590"/>
      <c r="S3" s="587">
        <v>0</v>
      </c>
    </row>
    <row r="4" ht="15.75" customHeight="1">
      <c r="C4" s="346"/>
      <c r="D4" s="679"/>
      <c r="E4" s="679"/>
      <c r="F4" s="679"/>
      <c r="G4" s="679"/>
      <c r="H4" s="679"/>
      <c r="S4" s="675">
        <v>15</v>
      </c>
    </row>
    <row r="5" ht="39.75" customHeight="1">
      <c r="C5" s="346"/>
      <c r="D5" s="2407" t="str">
        <f>TP_NAME_FORM</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07"/>
      <c r="F5" s="2407"/>
      <c r="G5" s="2407"/>
      <c r="H5" s="2407"/>
      <c r="I5" s="707"/>
      <c r="S5" s="675">
        <v>38</v>
      </c>
    </row>
    <row r="6" ht="15.75" customHeight="1">
      <c r="C6" s="346"/>
      <c r="D6" s="2346" t="str">
        <f>IF(org=0,"Не определено",org)</f>
        <v xml:space="preserve">АО "ДГК" СП "Биробиджанская ТЭЦ"</v>
      </c>
      <c r="E6" s="2346"/>
      <c r="F6" s="2346"/>
      <c r="G6" s="2346"/>
      <c r="H6" s="2346"/>
      <c r="I6" s="707"/>
      <c r="S6" s="675">
        <v>15</v>
      </c>
    </row>
    <row r="7" s="9138" customFormat="1" ht="15.75" customHeight="1">
      <c r="A7" s="929"/>
      <c r="C7" s="346"/>
      <c r="D7" s="846"/>
      <c r="E7" s="846"/>
      <c r="F7" s="846"/>
      <c r="G7" s="846"/>
      <c r="H7" s="922"/>
      <c r="I7" s="707"/>
      <c r="R7" s="845"/>
      <c r="S7" s="928">
        <v>15</v>
      </c>
    </row>
    <row r="8" ht="1.05" customHeight="1">
      <c r="C8" s="346"/>
      <c r="D8" s="679"/>
      <c r="E8" s="679"/>
      <c r="F8" s="679"/>
      <c r="G8" s="679"/>
      <c r="H8" s="707" t="s">
        <v>117</v>
      </c>
      <c r="S8" s="675">
        <v>1</v>
      </c>
    </row>
    <row r="9" ht="15.75" customHeight="1">
      <c r="C9" s="346"/>
      <c r="D9" s="881"/>
      <c r="E9" s="2537" t="s">
        <v>106</v>
      </c>
      <c r="F9" s="2538"/>
      <c r="G9" s="986" t="str">
        <f>IF(G8="","",INDEX(DIFFERENTIATION_UNMERGE_VD,MATCH(G8,DIFFERENTIATION_ID_DIFF,0)))</f>
        <v/>
      </c>
      <c r="H9" s="986">
        <f>IF(H8="","",INDEX(DIFFERENTIATION_UNMERGE_VD,MATCH(H8,DIFFERENTIATION_ID_DIFF,0)))</f>
        <v>0</v>
      </c>
      <c r="I9" s="2297" t="s">
        <v>308</v>
      </c>
      <c r="S9" s="675">
        <v>15</v>
      </c>
    </row>
    <row r="10" s="9138" customFormat="1" ht="15.75" customHeight="1">
      <c r="A10" s="929"/>
      <c r="C10" s="346"/>
      <c r="D10" s="881"/>
      <c r="E10" s="2537" t="s">
        <v>570</v>
      </c>
      <c r="F10" s="2538"/>
      <c r="G10" s="986" t="str">
        <f>IF(G8="","",INDEX(DIFFERENTIATION_UNMERGE_AREA,MATCH(G8,DIFFERENTIATION_ID_DIFF,0)))</f>
        <v/>
      </c>
      <c r="H10" s="986" t="str">
        <f>IF(H8="","",INDEX(DIFFERENTIATION_UNMERGE_AREA,MATCH(H8,DIFFERENTIATION_ID_DIFF,0)))</f>
        <v/>
      </c>
      <c r="I10" s="2297"/>
      <c r="R10" s="845"/>
      <c r="S10" s="928">
        <v>15</v>
      </c>
    </row>
    <row r="11" s="9138" customFormat="1" ht="15.75" customHeight="1">
      <c r="A11" s="929"/>
      <c r="C11" s="346"/>
      <c r="D11" s="881"/>
      <c r="E11" s="2537" t="s">
        <v>571</v>
      </c>
      <c r="F11" s="2538"/>
      <c r="G11" s="986" t="str">
        <f>IF(G8="","",INDEX(DIFFERENTIATION_UNMERGE_SYSTEM,MATCH(G8,DIFFERENTIATION_ID_DIFF,0)))</f>
        <v/>
      </c>
      <c r="H11" s="986" t="str">
        <f>IF(H8="","",INDEX(DIFFERENTIATION_UNMERGE_SYSTEM,MATCH(H8,DIFFERENTIATION_ID_DIFF,0)))</f>
        <v xml:space="preserve">без дифференциации</v>
      </c>
      <c r="I11" s="2297"/>
      <c r="R11" s="845"/>
      <c r="S11" s="928">
        <v>15</v>
      </c>
    </row>
    <row r="12" s="9138" customFormat="1" ht="15.75" customHeight="1">
      <c r="A12" s="929"/>
      <c r="C12" s="346"/>
      <c r="D12" s="2539" t="s">
        <v>307</v>
      </c>
      <c r="E12" s="2540"/>
      <c r="F12" s="2540"/>
      <c r="G12" s="1057"/>
      <c r="H12" s="1057"/>
      <c r="I12" s="2297"/>
      <c r="R12" s="845"/>
      <c r="S12" s="928">
        <v>15</v>
      </c>
    </row>
    <row r="13" ht="35.649999999999999" customHeight="1">
      <c r="C13" s="346"/>
      <c r="D13" s="931" t="s">
        <v>89</v>
      </c>
      <c r="E13" s="930" t="s">
        <v>309</v>
      </c>
      <c r="F13" s="930" t="s">
        <v>572</v>
      </c>
      <c r="G13" s="978" t="s">
        <v>310</v>
      </c>
      <c r="H13" s="924" t="s">
        <v>310</v>
      </c>
      <c r="I13" s="2297"/>
      <c r="S13" s="675">
        <v>34</v>
      </c>
    </row>
    <row r="14" ht="15" hidden="1" customHeight="1">
      <c r="C14" s="346"/>
      <c r="D14" s="763" t="s">
        <v>110</v>
      </c>
      <c r="E14" s="763" t="s">
        <v>111</v>
      </c>
      <c r="F14" s="763" t="s">
        <v>91</v>
      </c>
      <c r="G14" s="829" t="str">
        <f>G1&amp;".1"</f>
        <v>.1</v>
      </c>
      <c r="H14" s="829" t="str">
        <f>H1&amp;".1"</f>
        <v>4.1</v>
      </c>
      <c r="I14" s="459"/>
      <c r="S14" s="675">
        <v>0</v>
      </c>
    </row>
    <row r="15" ht="15.75" customHeight="1">
      <c r="A15" s="675"/>
      <c r="C15" s="696"/>
      <c r="D15" s="691">
        <v>1</v>
      </c>
      <c r="E15" s="2100" t="str">
        <f>TP_P_A</f>
        <v xml:space="preserve">Количество поданных заявок</v>
      </c>
      <c r="F15" s="691" t="s">
        <v>1120</v>
      </c>
      <c r="G15" s="855"/>
      <c r="H15" s="855"/>
      <c r="I15" s="378" t="str">
        <f>TP_P_NOTE_A</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S15" s="675">
        <v>15</v>
      </c>
    </row>
    <row r="16" ht="15.75" customHeight="1">
      <c r="A16" s="675"/>
      <c r="C16" s="696"/>
      <c r="D16" s="691">
        <v>2</v>
      </c>
      <c r="E16" s="2100" t="str">
        <f>TP_P_B</f>
        <v xml:space="preserve">Количество рассмотренных заявок</v>
      </c>
      <c r="F16" s="691" t="s">
        <v>1120</v>
      </c>
      <c r="G16" s="855"/>
      <c r="H16" s="855"/>
      <c r="I16" s="378" t="str">
        <f>TP_P_NOTE_B</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S16" s="675">
        <v>15</v>
      </c>
    </row>
    <row r="17" ht="77.700000000000003" customHeight="1">
      <c r="A17" s="675"/>
      <c r="C17" s="696"/>
      <c r="D17" s="691">
        <v>3</v>
      </c>
      <c r="E17" s="2100" t="str">
        <f>TP_P_V</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91" t="s">
        <v>1120</v>
      </c>
      <c r="G17" s="855"/>
      <c r="H17" s="855"/>
      <c r="I17" s="378" t="str">
        <f>TP_P_NOTE_V</f>
        <v xml:space="preserve">Указывается количество заявок с решением об отказе в течение отчетного квартала.</v>
      </c>
      <c r="S17" s="675">
        <v>74</v>
      </c>
    </row>
    <row r="18" ht="54.75" customHeight="1">
      <c r="A18" s="675"/>
      <c r="C18" s="696"/>
      <c r="D18" s="691">
        <v>4</v>
      </c>
      <c r="E18" s="2100" t="str">
        <f>TP_P_V_1</f>
        <v xml:space="preserve">Причины отказа в заключении договора о подключении (технологическом присоединении) к системе теплоснабжения</v>
      </c>
      <c r="F18" s="691" t="s">
        <v>313</v>
      </c>
      <c r="G18" s="856"/>
      <c r="H18" s="856"/>
      <c r="I18" s="1008" t="str">
        <f>TP_P_NOTE_V_1</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r="19" ht="60" customHeight="1">
      <c r="A19" s="675"/>
      <c r="C19" s="696"/>
      <c r="D19" s="691">
        <v>5</v>
      </c>
      <c r="E19" s="2100" t="str">
        <f>TP_P_G</f>
        <v xml:space="preserve">Резерв мощности источников тепловой энергии, входящих в систему теплоснабжения, в течение одного квартала, в том числе:</v>
      </c>
      <c r="F19" s="691" t="str">
        <f>IF(TEMPLATE_SPHERE="HEAT","Гкал/час","тыс. куб. м/сутки")</f>
        <v>Гкал/час</v>
      </c>
      <c r="G19" s="857">
        <f>SUM(G20:G22)</f>
        <v>0</v>
      </c>
      <c r="H19" s="857">
        <f>SUM(H20:H22)</f>
        <v>0</v>
      </c>
      <c r="I19" s="378"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19" s="675">
        <v>57</v>
      </c>
    </row>
    <row r="20" ht="15" hidden="1" customHeight="1">
      <c r="D20" s="679" t="s">
        <v>1121</v>
      </c>
      <c r="E20" s="858"/>
      <c r="F20" s="679"/>
      <c r="G20" s="679"/>
      <c r="H20" s="679"/>
      <c r="I20" s="1933"/>
      <c r="S20" s="675">
        <v>0</v>
      </c>
    </row>
    <row r="21" ht="29.25" customHeight="1">
      <c r="C21" s="621"/>
      <c r="D21" s="709" t="s">
        <v>320</v>
      </c>
      <c r="E21" s="840"/>
      <c r="F21" s="1931" t="str">
        <f>IF(TEMPLATE_SPHERE="HEAT","Гкал/час","тыс. куб. м/сутки")</f>
        <v>Гкал/час</v>
      </c>
      <c r="G21" s="850"/>
      <c r="H21" s="850"/>
      <c r="I21" s="233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S21" s="675">
        <v>28</v>
      </c>
    </row>
    <row r="22" ht="15.75" customHeight="1">
      <c r="A22" s="675"/>
      <c r="C22" s="675"/>
      <c r="D22" s="517"/>
      <c r="E22" s="750" t="s">
        <v>1122</v>
      </c>
      <c r="F22" s="742"/>
      <c r="G22" s="742"/>
      <c r="H22" s="742"/>
      <c r="I22" s="2341"/>
      <c r="R22" s="675"/>
      <c r="S22" s="675">
        <v>15</v>
      </c>
    </row>
    <row r="23" ht="22.5" hidden="1" customHeight="1">
      <c r="A23" s="619" t="s">
        <v>83</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autoFilter="0" deleteColumns="1" deleteRows="1" formatColumns="0" formatRows="0" insertColumns="1" insertRows="1" sheet="1" sort="1"/>
  <mergeCells count="8">
    <mergeCell ref="I21:I22"/>
    <mergeCell ref="I9:I13"/>
    <mergeCell ref="D5:H5"/>
    <mergeCell ref="D6:H6"/>
    <mergeCell ref="E9:F9"/>
    <mergeCell ref="E10:F10"/>
    <mergeCell ref="E11:F11"/>
    <mergeCell ref="D12:F12"/>
  </mergeCells>
  <dataValidations count="1">
    <dataValidation sqref="E15 E13"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F500FF-008E-49F4-B935-00A0009F001F}" type="textLength" allowBlank="1" error="Допускается ввод не более 900 символов!" errorTitle="Ошибка" operator="lessThanOrEqual" showErrorMessage="1" showInputMessage="1">
          <x14:formula1>
            <xm:f>900</xm:f>
          </x14:formula1>
          <xm:sqref>E21 E2 G18:H18</xm:sqref>
        </x14:dataValidation>
        <x14:dataValidation xr:uid="{00F4009C-00A2-440B-82FC-0007002D0022}" type="whole" allowBlank="1" error="Допускается ввод только неотрицательных целых чисел!" errorTitle="Ошибка" showErrorMessage="1">
          <x14:formula1>
            <xm:f>0</xm:f>
          </x14:formula1>
          <x14:formula2>
            <xm:f>9.99999999999999E+23</xm:f>
          </x14:formula2>
          <xm:sqref>G15:H17</xm:sqref>
        </x14:dataValidation>
        <x14:dataValidation xr:uid="{009500BB-00A6-489F-982B-0067003C00DF}" type="decimal" allowBlank="1" error="Допускается ввод только действительных чисел!" errorTitle="Ошибка" showErrorMessage="1">
          <x14:formula1>
            <xm:f>-9.99999999999999E+23</xm:f>
          </x14:formula1>
          <x14:formula2>
            <xm:f>9.99999999999999E+23</xm:f>
          </x14:formula2>
          <xm:sqref>G2:H2 G21:H21</xm:sqref>
        </x14:dataValidation>
      </x14:dataValidations>
    </ext>
  </extLs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pageSetUpPr fitToPage="1"/>
  </sheetPr>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defaultRowHeight="14.25" customHeight="1"/>
  <cols>
    <col customWidth="1" hidden="1" min="1" max="1" style="10313" width="9.140625"/>
    <col customWidth="1" hidden="1" min="2" max="2" style="9217" width="9.140625"/>
    <col customWidth="1" min="3" max="3" style="10314" width="3.00390625"/>
    <col customWidth="1" min="4" max="4" style="9138" width="6.00390625"/>
    <col customWidth="1" min="5" max="6" style="9138" width="64.00390625"/>
    <col customWidth="1" min="7" max="7" style="9138" width="140.00390625"/>
    <col customWidth="1" min="8" max="8" style="9138" width="10.00390625"/>
    <col customWidth="1" min="9" max="10" style="9307" width="10.00390625"/>
    <col customWidth="1" min="11" max="16" style="9138" width="10.00390625"/>
    <col hidden="1" min="17" max="17" style="9138" width="10.57421875"/>
  </cols>
  <sheetData>
    <row r="1" ht="22.5" hidden="1" customHeight="1">
      <c r="M1" s="425"/>
      <c r="N1" s="425"/>
      <c r="P1" s="425"/>
      <c r="Q1" s="253" t="s">
        <v>14</v>
      </c>
    </row>
    <row r="2" ht="14.25" hidden="1" customHeight="1">
      <c r="Q2" s="253">
        <v>0</v>
      </c>
    </row>
    <row r="3" ht="14.25" hidden="1" customHeight="1">
      <c r="Q3" s="253">
        <v>0</v>
      </c>
    </row>
    <row r="4" ht="3" customHeight="1">
      <c r="C4" s="266"/>
      <c r="D4" s="254"/>
      <c r="E4" s="254"/>
      <c r="F4" s="255"/>
      <c r="G4" s="255"/>
      <c r="Q4" s="253">
        <v>3</v>
      </c>
    </row>
    <row r="5" ht="29.25" customHeight="1">
      <c r="C5" s="266"/>
      <c r="D5" s="2624" t="str">
        <f>TERMS_NAME_FORM</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25"/>
      <c r="F5" s="2625"/>
      <c r="G5" s="2626"/>
      <c r="Q5" s="253">
        <v>28</v>
      </c>
    </row>
    <row r="6" s="9138" customFormat="1" ht="18.75" customHeight="1">
      <c r="A6" s="1052"/>
      <c r="B6" s="587"/>
      <c r="C6" s="546"/>
      <c r="D6" s="2627" t="str">
        <f>IF(org=0,"Не определено",org)</f>
        <v xml:space="preserve">АО "ДГК" СП "Биробиджанская ТЭЦ"</v>
      </c>
      <c r="E6" s="2628"/>
      <c r="F6" s="2628"/>
      <c r="G6" s="2629"/>
      <c r="I6" s="670"/>
      <c r="J6" s="670"/>
      <c r="Q6" s="928">
        <v>18</v>
      </c>
    </row>
    <row r="7" ht="14.65" customHeight="1">
      <c r="C7" s="266"/>
      <c r="D7" s="254"/>
      <c r="E7" s="265"/>
      <c r="F7" s="922"/>
      <c r="G7" s="363"/>
      <c r="Q7" s="253">
        <v>14</v>
      </c>
    </row>
    <row r="8" s="9138" customFormat="1" ht="1.05" customHeight="1">
      <c r="A8" s="1839"/>
      <c r="B8" s="1330"/>
      <c r="C8" s="546"/>
      <c r="D8" s="533"/>
      <c r="E8" s="559"/>
      <c r="F8" s="922"/>
      <c r="G8" s="363"/>
      <c r="I8" s="1794"/>
      <c r="J8" s="1794"/>
      <c r="Q8" s="1801">
        <v>1</v>
      </c>
    </row>
    <row r="9" ht="14.65" customHeight="1">
      <c r="C9" s="266"/>
      <c r="D9" s="2379" t="s">
        <v>307</v>
      </c>
      <c r="E9" s="2379"/>
      <c r="F9" s="2379"/>
      <c r="G9" s="2559" t="s">
        <v>308</v>
      </c>
      <c r="Q9" s="253">
        <v>14</v>
      </c>
    </row>
    <row r="10" ht="24" customHeight="1">
      <c r="C10" s="266"/>
      <c r="D10" s="275" t="s">
        <v>89</v>
      </c>
      <c r="E10" s="278" t="s">
        <v>309</v>
      </c>
      <c r="F10" s="278" t="s">
        <v>397</v>
      </c>
      <c r="G10" s="2559"/>
      <c r="Q10" s="253">
        <v>23</v>
      </c>
    </row>
    <row r="11" ht="12" hidden="1" customHeight="1">
      <c r="C11" s="266"/>
      <c r="D11" s="257"/>
      <c r="E11" s="257"/>
      <c r="F11" s="257"/>
      <c r="G11" s="257"/>
      <c r="Q11" s="253">
        <v>0</v>
      </c>
    </row>
    <row r="12" ht="65.25" customHeight="1">
      <c r="A12" s="362"/>
      <c r="C12" s="266"/>
      <c r="D12" s="317">
        <v>1</v>
      </c>
      <c r="E12" s="367" t="str">
        <f>TERMS_P_1</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68" t="s">
        <v>313</v>
      </c>
      <c r="G12" s="321"/>
      <c r="Q12" s="253">
        <v>62</v>
      </c>
    </row>
    <row r="13" ht="24" customHeight="1">
      <c r="A13" s="362"/>
      <c r="C13" s="266"/>
      <c r="D13" s="317" t="s">
        <v>1027</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 xml:space="preserve">Форма публичного договора поставки товаров (оказания услуг), тарифы на которые подлежат регулированию</v>
      </c>
      <c r="F13" s="368" t="s">
        <v>313</v>
      </c>
      <c r="G13" s="321"/>
      <c r="Q13" s="253">
        <v>23</v>
      </c>
    </row>
    <row r="14" ht="14.65" customHeight="1">
      <c r="A14" s="362"/>
      <c r="C14" s="266"/>
      <c r="D14" s="317" t="s">
        <v>1063</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 xml:space="preserve">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r="15" ht="15.75" customHeight="1">
      <c r="A15" s="362"/>
      <c r="C15" s="266"/>
      <c r="D15" s="279"/>
      <c r="E15" s="519" t="s">
        <v>1123</v>
      </c>
      <c r="F15" s="371"/>
      <c r="G15" s="2341"/>
      <c r="Q15" s="253">
        <v>15</v>
      </c>
    </row>
    <row r="16" ht="14.65" customHeight="1">
      <c r="A16" s="362"/>
      <c r="C16" s="266"/>
      <c r="D16" s="317" t="s">
        <v>1029</v>
      </c>
      <c r="E16" s="364" t="str">
        <f>"Договор о подключении (технологическом присоединении) к"&amp;IF(TEMPLATE_SPHERE="HEAT",""," централизованной")&amp;" системе "&amp;TEMPLATE_SPHERE_RUS</f>
        <v xml:space="preserve">Договор о подключении (технологическом присоединении) к системе теплоснабжения</v>
      </c>
      <c r="F16" s="368" t="s">
        <v>313</v>
      </c>
      <c r="G16" s="507"/>
      <c r="Q16" s="253">
        <v>14</v>
      </c>
    </row>
    <row r="17" ht="14.65" customHeight="1">
      <c r="A17" s="362"/>
      <c r="C17" s="266"/>
      <c r="D17" s="317" t="s">
        <v>1071</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53">
        <v>14</v>
      </c>
    </row>
    <row r="18" s="9138" customFormat="1" ht="22" customHeight="1">
      <c r="A18" s="513"/>
      <c r="B18" s="316"/>
      <c r="C18" s="477"/>
      <c r="D18" s="517"/>
      <c r="E18" s="519" t="s">
        <v>1124</v>
      </c>
      <c r="F18" s="508"/>
      <c r="G18" s="2341"/>
      <c r="I18" s="520"/>
      <c r="J18" s="520"/>
      <c r="Q18" s="512">
        <v>21</v>
      </c>
    </row>
    <row r="19" s="9138" customFormat="1" ht="256.5" hidden="1" customHeight="1">
      <c r="A19" s="513"/>
      <c r="B19" s="587"/>
      <c r="C19" s="546"/>
      <c r="D19" s="1054" t="s">
        <v>1031</v>
      </c>
      <c r="E19" s="1053" t="s">
        <v>1125</v>
      </c>
      <c r="F19" s="555"/>
      <c r="G19" s="507" t="s">
        <v>1126</v>
      </c>
      <c r="I19" s="670"/>
      <c r="J19" s="670"/>
      <c r="Q19" s="928">
        <v>0</v>
      </c>
    </row>
    <row r="20" s="9138" customFormat="1" ht="14.65" customHeight="1">
      <c r="A20" s="513"/>
      <c r="B20" s="316"/>
      <c r="C20" s="477"/>
      <c r="D20" s="1055">
        <v>2</v>
      </c>
      <c r="E20" s="500" t="s">
        <v>1127</v>
      </c>
      <c r="F20" s="368" t="s">
        <v>313</v>
      </c>
      <c r="G20" s="507"/>
      <c r="I20" s="520"/>
      <c r="J20" s="520"/>
      <c r="Q20" s="512">
        <v>14</v>
      </c>
    </row>
    <row r="21" s="9138" customFormat="1" ht="18.75" hidden="1" customHeight="1">
      <c r="A21" s="513"/>
      <c r="B21" s="316"/>
      <c r="C21" s="477"/>
      <c r="D21" s="503" t="s">
        <v>642</v>
      </c>
      <c r="E21" s="502"/>
      <c r="F21" s="501"/>
      <c r="G21" s="511"/>
      <c r="H21" s="504"/>
      <c r="I21" s="520"/>
      <c r="J21" s="520"/>
      <c r="Q21" s="512">
        <v>0</v>
      </c>
    </row>
    <row r="22" ht="15.75" customHeight="1">
      <c r="A22" s="362"/>
      <c r="C22" s="266"/>
      <c r="D22" s="279"/>
      <c r="E22" s="373" t="s">
        <v>329</v>
      </c>
      <c r="F22" s="508"/>
      <c r="G22" s="509"/>
      <c r="Q22" s="253">
        <v>15</v>
      </c>
    </row>
    <row r="23" s="9138" customFormat="1" ht="22.5" hidden="1" customHeight="1">
      <c r="A23" s="513"/>
      <c r="B23" s="1330"/>
      <c r="C23" s="546"/>
      <c r="D23" s="1843" t="s">
        <v>111</v>
      </c>
      <c r="E23" s="367" t="s">
        <v>1128</v>
      </c>
      <c r="F23" s="1840" t="s">
        <v>313</v>
      </c>
      <c r="G23" s="515"/>
      <c r="I23" s="1794"/>
      <c r="J23" s="1794"/>
      <c r="Q23" s="1801">
        <v>0</v>
      </c>
    </row>
    <row r="24" s="9138" customFormat="1" ht="14.25" hidden="1" customHeight="1">
      <c r="A24" s="513"/>
      <c r="B24" s="1330"/>
      <c r="C24" s="546"/>
      <c r="D24" s="1843" t="s">
        <v>714</v>
      </c>
      <c r="E24" s="1842" t="s">
        <v>1129</v>
      </c>
      <c r="F24" s="1840" t="s">
        <v>313</v>
      </c>
      <c r="G24" s="507"/>
      <c r="I24" s="1794"/>
      <c r="J24" s="1794"/>
      <c r="Q24" s="1801">
        <v>0</v>
      </c>
    </row>
    <row r="25" s="9138" customFormat="1" ht="14.25" hidden="1" customHeight="1">
      <c r="A25" s="513"/>
      <c r="B25" s="1330"/>
      <c r="C25" s="546"/>
      <c r="D25" s="1843" t="s">
        <v>717</v>
      </c>
      <c r="E25" s="365"/>
      <c r="F25" s="555"/>
      <c r="G25" s="2339" t="s">
        <v>1130</v>
      </c>
      <c r="I25" s="1794"/>
      <c r="J25" s="1794"/>
      <c r="Q25" s="1801">
        <v>0</v>
      </c>
    </row>
    <row r="26" s="9138" customFormat="1" ht="22.5" hidden="1" customHeight="1">
      <c r="A26" s="513"/>
      <c r="B26" s="1330"/>
      <c r="C26" s="546"/>
      <c r="D26" s="517"/>
      <c r="E26" s="519" t="s">
        <v>1131</v>
      </c>
      <c r="F26" s="508"/>
      <c r="G26" s="2341"/>
      <c r="I26" s="1794"/>
      <c r="J26" s="1794"/>
      <c r="Q26" s="1801">
        <v>0</v>
      </c>
    </row>
    <row r="27" ht="3" customHeight="1">
      <c r="Q27" s="253">
        <v>3</v>
      </c>
    </row>
    <row r="28" ht="14.65" customHeight="1">
      <c r="D28" s="506"/>
      <c r="E28" s="505"/>
      <c r="F28" s="485"/>
      <c r="G28" s="485"/>
      <c r="H28" s="485"/>
      <c r="I28" s="485"/>
      <c r="J28" s="485"/>
      <c r="K28" s="485"/>
      <c r="L28" s="485"/>
      <c r="M28" s="485"/>
      <c r="N28" s="485"/>
      <c r="O28" s="485"/>
      <c r="P28" s="485"/>
      <c r="Q28" s="253">
        <v>14</v>
      </c>
    </row>
    <row r="29" ht="14.65" customHeight="1">
      <c r="D29" s="506"/>
      <c r="E29" s="752"/>
      <c r="Q29" s="253">
        <v>14</v>
      </c>
    </row>
    <row r="30" ht="14.65" customHeight="1">
      <c r="Q30" s="253">
        <v>14</v>
      </c>
    </row>
    <row r="31" ht="14.65" customHeight="1">
      <c r="E31" s="928"/>
      <c r="Q31" s="253">
        <v>14</v>
      </c>
    </row>
    <row r="32" ht="22.5" hidden="1" customHeight="1">
      <c r="A32" s="271" t="s">
        <v>83</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autoFilter="0" deleteColumns="1" deleteRows="1" formatColumns="0" formatRows="0" insertColumns="1" insertRows="1" sheet="1" sort="1"/>
  <mergeCells count="7">
    <mergeCell ref="D5:G5"/>
    <mergeCell ref="D6:G6"/>
    <mergeCell ref="G25:G26"/>
    <mergeCell ref="G17:G18"/>
    <mergeCell ref="D9:F9"/>
    <mergeCell ref="G9:G10"/>
    <mergeCell ref="G14:G15"/>
  </mergeCells>
  <pageMargins left="0" right="0" top="0" bottom="0" header="0" footer="0.79000000000000004"/>
  <pageSetup paperSize="9" scale="41" fitToHeight="0" pageOrder="downThenOver" orientation="portrait" blackAndWhite="1"/>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C1000C-001A-49A2-BCCD-004D00D4003F}"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F14 F17:F19 F25:F26</xm:sqref>
        </x14:dataValidation>
        <x14:dataValidation xr:uid="{005D00A2-00A2-4B3B-9674-00A300AD00B9}" type="textLength" allowBlank="1" error="Допускается ввод не более 900 символов!" errorTitle="Ошибка" operator="lessThanOrEqual" showErrorMessage="1" showInputMessage="1">
          <x14:formula1>
            <xm:f>900</xm:f>
          </x14:formula1>
          <xm:sqref>G14 G25 E17 E14 G17 G21 E25</xm:sqref>
        </x14:dataValidation>
      </x14:dataValidations>
    </ext>
  </extLs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defaultRowHeight="14.25" customHeight="1"/>
  <cols>
    <col customWidth="1" hidden="1" min="1" max="1" style="10312" width="9.140625"/>
    <col customWidth="1" hidden="1" min="2" max="2" style="9217" width="9.140625"/>
    <col customWidth="1" min="3" max="3" style="10314" width="3.00390625"/>
    <col customWidth="1" min="4" max="4" style="9138" width="6.00390625"/>
    <col customWidth="1" min="5" max="5" style="9138" width="63.00390625"/>
    <col customWidth="1" hidden="1" min="6" max="6" style="9138" width="1.7109375"/>
    <col customWidth="1" min="7" max="8" style="9138" width="35.00390625"/>
    <col customWidth="1" min="9" max="9" style="9138" width="91.00390625"/>
    <col customWidth="1" min="10" max="10" style="9138" width="68.00390625"/>
    <col customWidth="1" min="11" max="12" style="9307" width="10.00390625"/>
    <col hidden="1" min="13" max="13" style="9138" width="10.57421875"/>
  </cols>
  <sheetData>
    <row r="1" ht="22.5" hidden="1" customHeight="1">
      <c r="M1" s="253" t="s">
        <v>14</v>
      </c>
    </row>
    <row r="2" s="9138" customFormat="1" ht="18.75" hidden="1" customHeight="1">
      <c r="A2" s="1853"/>
      <c r="B2" s="1330"/>
      <c r="C2" s="1900" t="s">
        <v>432</v>
      </c>
      <c r="D2" s="1843"/>
      <c r="E2" s="369"/>
      <c r="F2" s="1840"/>
      <c r="G2" s="1840" t="s">
        <v>313</v>
      </c>
      <c r="H2" s="1331"/>
      <c r="K2" s="1794"/>
      <c r="L2" s="1794"/>
      <c r="M2" s="1801">
        <v>0</v>
      </c>
    </row>
    <row r="3" s="9138" customFormat="1" ht="14.25" hidden="1" customHeight="1">
      <c r="A3" s="1532"/>
      <c r="B3" s="1330"/>
      <c r="C3" s="514"/>
      <c r="K3" s="1794"/>
      <c r="L3" s="1794"/>
      <c r="M3" s="1801">
        <v>0</v>
      </c>
    </row>
    <row r="4" s="9138" customFormat="1" ht="18.75" hidden="1" customHeight="1">
      <c r="A4" s="1853"/>
      <c r="B4" s="1330"/>
      <c r="C4" s="1900" t="s">
        <v>432</v>
      </c>
      <c r="D4" s="1843"/>
      <c r="E4" s="375" t="s">
        <v>1132</v>
      </c>
      <c r="F4" s="1840"/>
      <c r="G4" s="427"/>
      <c r="H4" s="1840" t="s">
        <v>313</v>
      </c>
      <c r="K4" s="1794"/>
      <c r="L4" s="1794"/>
      <c r="M4" s="1801">
        <v>0</v>
      </c>
    </row>
    <row r="5" s="9138" customFormat="1" ht="14.25" hidden="1" customHeight="1">
      <c r="A5" s="1532"/>
      <c r="B5" s="1330"/>
      <c r="C5" s="514"/>
      <c r="K5" s="1794"/>
      <c r="L5" s="1794"/>
      <c r="M5" s="1801">
        <v>0</v>
      </c>
    </row>
    <row r="6" s="9138" customFormat="1" ht="18.75" hidden="1" customHeight="1">
      <c r="A6" s="1853"/>
      <c r="B6" s="1330"/>
      <c r="C6" s="1900" t="s">
        <v>432</v>
      </c>
      <c r="D6" s="1843"/>
      <c r="E6" s="376" t="s">
        <v>1133</v>
      </c>
      <c r="F6" s="1840"/>
      <c r="G6" s="427"/>
      <c r="H6" s="1840" t="s">
        <v>313</v>
      </c>
      <c r="K6" s="1794"/>
      <c r="L6" s="1794"/>
      <c r="M6" s="1801">
        <v>0</v>
      </c>
    </row>
    <row r="7" s="9138" customFormat="1" ht="14.25" hidden="1" customHeight="1">
      <c r="A7" s="1532"/>
      <c r="B7" s="1330"/>
      <c r="C7" s="514"/>
      <c r="K7" s="1794"/>
      <c r="L7" s="1794"/>
      <c r="M7" s="1801">
        <v>0</v>
      </c>
    </row>
    <row r="8" s="9138" customFormat="1" ht="18.75" hidden="1" customHeight="1">
      <c r="A8" s="1853"/>
      <c r="B8" s="1330"/>
      <c r="C8" s="1900" t="s">
        <v>432</v>
      </c>
      <c r="D8" s="1843"/>
      <c r="E8" s="376" t="s">
        <v>1134</v>
      </c>
      <c r="F8" s="1840"/>
      <c r="G8" s="427"/>
      <c r="H8" s="1840" t="s">
        <v>313</v>
      </c>
      <c r="K8" s="1794"/>
      <c r="L8" s="1794"/>
      <c r="M8" s="1801">
        <v>0</v>
      </c>
    </row>
    <row r="9" s="9138" customFormat="1" ht="14.25" hidden="1" customHeight="1">
      <c r="A9" s="1532"/>
      <c r="B9" s="1330"/>
      <c r="C9" s="514"/>
      <c r="K9" s="1794"/>
      <c r="L9" s="1794"/>
      <c r="M9" s="1801">
        <v>0</v>
      </c>
    </row>
    <row r="10" s="9138" customFormat="1" ht="18.75" hidden="1" customHeight="1">
      <c r="A10" s="1853"/>
      <c r="B10" s="1330"/>
      <c r="C10" s="1900" t="s">
        <v>432</v>
      </c>
      <c r="D10" s="1843"/>
      <c r="E10" s="376" t="s">
        <v>1135</v>
      </c>
      <c r="F10" s="1840"/>
      <c r="G10" s="1844"/>
      <c r="H10" s="1840" t="s">
        <v>313</v>
      </c>
      <c r="K10" s="1794"/>
      <c r="L10" s="1794" t="s">
        <v>1136</v>
      </c>
      <c r="M10" s="1801">
        <v>0</v>
      </c>
    </row>
    <row r="11" ht="14.25" hidden="1" customHeight="1">
      <c r="M11" s="253">
        <v>0</v>
      </c>
    </row>
    <row r="12" ht="14.25" hidden="1" customHeight="1">
      <c r="M12" s="253">
        <v>0</v>
      </c>
    </row>
    <row r="13" ht="14.65" customHeight="1">
      <c r="C13" s="266"/>
      <c r="D13" s="254"/>
      <c r="E13" s="254"/>
      <c r="F13" s="254"/>
      <c r="G13" s="254"/>
      <c r="H13" s="255"/>
      <c r="I13" s="255"/>
      <c r="M13" s="253">
        <v>14</v>
      </c>
    </row>
    <row r="14" ht="29.25" customHeight="1">
      <c r="C14" s="266"/>
      <c r="D14" s="2624" t="str">
        <f>PROCEDURE_TC_NAME_FORM</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25"/>
      <c r="F14" s="2625"/>
      <c r="G14" s="2625"/>
      <c r="H14" s="2626"/>
      <c r="J14" s="1801"/>
      <c r="M14" s="253">
        <v>28</v>
      </c>
    </row>
    <row r="15" s="9138" customFormat="1" ht="14.65" customHeight="1">
      <c r="A15" s="1532"/>
      <c r="B15" s="1330"/>
      <c r="C15" s="546"/>
      <c r="D15" s="2627" t="str">
        <f>IF(org=0,"Не определено",org)</f>
        <v xml:space="preserve">АО "ДГК" СП "Биробиджанская ТЭЦ"</v>
      </c>
      <c r="E15" s="2628"/>
      <c r="F15" s="2628"/>
      <c r="G15" s="2628"/>
      <c r="H15" s="2629"/>
      <c r="J15" s="1022"/>
      <c r="K15" s="1794"/>
      <c r="L15" s="1794"/>
      <c r="M15" s="1801">
        <v>14</v>
      </c>
    </row>
    <row r="16" ht="14.65" customHeight="1">
      <c r="C16" s="266"/>
      <c r="D16" s="254"/>
      <c r="E16" s="265"/>
      <c r="F16" s="265"/>
      <c r="G16" s="265"/>
      <c r="H16" s="922"/>
      <c r="I16" s="363"/>
      <c r="M16" s="253">
        <v>14</v>
      </c>
    </row>
    <row r="17" s="9138" customFormat="1" ht="14.25" hidden="1" customHeight="1">
      <c r="A17" s="1532"/>
      <c r="B17" s="1330"/>
      <c r="C17" s="546"/>
      <c r="D17" s="533"/>
      <c r="E17" s="559"/>
      <c r="F17" s="559"/>
      <c r="G17" s="559"/>
      <c r="H17" s="922"/>
      <c r="I17" s="363"/>
      <c r="K17" s="1794"/>
      <c r="L17" s="1794"/>
      <c r="M17" s="1801">
        <v>0</v>
      </c>
    </row>
    <row r="18" ht="22" customHeight="1">
      <c r="C18" s="266"/>
      <c r="D18" s="2379" t="s">
        <v>307</v>
      </c>
      <c r="E18" s="2379"/>
      <c r="F18" s="2379"/>
      <c r="G18" s="2379"/>
      <c r="H18" s="2379"/>
      <c r="I18" s="2559" t="s">
        <v>308</v>
      </c>
      <c r="M18" s="253">
        <v>21</v>
      </c>
    </row>
    <row r="19" ht="22" customHeight="1">
      <c r="C19" s="266"/>
      <c r="D19" s="275" t="s">
        <v>89</v>
      </c>
      <c r="E19" s="278" t="s">
        <v>309</v>
      </c>
      <c r="F19" s="278"/>
      <c r="G19" s="278" t="s">
        <v>310</v>
      </c>
      <c r="H19" s="278" t="s">
        <v>397</v>
      </c>
      <c r="I19" s="2559"/>
      <c r="M19" s="253">
        <v>21</v>
      </c>
    </row>
    <row r="20" ht="12" hidden="1" customHeight="1">
      <c r="C20" s="266"/>
      <c r="D20" s="257"/>
      <c r="E20" s="257"/>
      <c r="F20" s="257"/>
      <c r="G20" s="257"/>
      <c r="H20" s="257"/>
      <c r="I20" s="257"/>
      <c r="M20" s="253">
        <v>0</v>
      </c>
    </row>
    <row r="21" ht="14.65" customHeight="1">
      <c r="A21" s="1853"/>
      <c r="C21" s="266"/>
      <c r="D21" s="317">
        <v>1</v>
      </c>
      <c r="E21" s="2631" t="s">
        <v>1137</v>
      </c>
      <c r="F21" s="2631"/>
      <c r="G21" s="2631"/>
      <c r="H21" s="2631"/>
      <c r="I21" s="378"/>
      <c r="M21" s="253">
        <v>14</v>
      </c>
    </row>
    <row r="22" ht="21" customHeight="1">
      <c r="A22" s="1853"/>
      <c r="C22" s="266"/>
      <c r="D22" s="317" t="s">
        <v>1027</v>
      </c>
      <c r="E22" s="364" t="s">
        <v>1138</v>
      </c>
      <c r="F22" s="368"/>
      <c r="G22" s="1907"/>
      <c r="H22" s="368" t="s">
        <v>313</v>
      </c>
      <c r="I22" s="321" t="s">
        <v>1139</v>
      </c>
      <c r="M22" s="253">
        <v>20</v>
      </c>
    </row>
    <row r="23" ht="60" customHeight="1">
      <c r="A23" s="1853"/>
      <c r="C23" s="266"/>
      <c r="D23" s="317" t="s">
        <v>1029</v>
      </c>
      <c r="E23" s="364" t="s">
        <v>1140</v>
      </c>
      <c r="F23" s="368"/>
      <c r="G23" s="427"/>
      <c r="H23" s="383"/>
      <c r="I23" s="428" t="s">
        <v>1141</v>
      </c>
      <c r="M23" s="253">
        <v>57</v>
      </c>
    </row>
    <row r="24" ht="14.65" customHeight="1">
      <c r="A24" s="1853"/>
      <c r="B24" s="316">
        <v>3</v>
      </c>
      <c r="C24" s="266"/>
      <c r="D24" s="317">
        <v>2</v>
      </c>
      <c r="E24" s="392" t="str">
        <f>"Форма заявки на заключение договора о подключении (технологическом присоединении) к системе "&amp;TEMPLATE_SPHERE_RUS</f>
        <v xml:space="preserve">Форма заявки на заключение договора о подключении (технологическом присоединении) к системе теплоснабжения</v>
      </c>
      <c r="F24" s="368"/>
      <c r="G24" s="368" t="s">
        <v>313</v>
      </c>
      <c r="H24" s="383"/>
      <c r="I24" s="429" t="s">
        <v>637</v>
      </c>
      <c r="M24" s="253">
        <v>14</v>
      </c>
    </row>
    <row r="25" ht="48.25" customHeight="1">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 xml:space="preserve">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0"/>
      <c r="G25" s="2630"/>
      <c r="H25" s="2630"/>
      <c r="I25" s="426"/>
      <c r="M25" s="253">
        <v>46</v>
      </c>
    </row>
    <row r="26" ht="14.65" customHeight="1">
      <c r="A26" s="1853"/>
      <c r="C26" s="266"/>
      <c r="D26" s="317" t="s">
        <v>331</v>
      </c>
      <c r="E26" s="369"/>
      <c r="F26" s="368"/>
      <c r="G26" s="368" t="s">
        <v>313</v>
      </c>
      <c r="H26" s="383"/>
      <c r="I26" s="2339" t="s">
        <v>1142</v>
      </c>
      <c r="M26" s="253">
        <v>14</v>
      </c>
    </row>
    <row r="27" ht="15.75" customHeight="1">
      <c r="A27" s="1853" t="s">
        <v>110</v>
      </c>
      <c r="C27" s="266"/>
      <c r="D27" s="279"/>
      <c r="E27" s="373" t="s">
        <v>329</v>
      </c>
      <c r="F27" s="374"/>
      <c r="G27" s="374"/>
      <c r="H27" s="371"/>
      <c r="I27" s="2341"/>
      <c r="M27" s="253">
        <v>15</v>
      </c>
    </row>
    <row r="28" ht="39.75" customHeight="1">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 xml:space="preserve">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0"/>
      <c r="G28" s="2630"/>
      <c r="H28" s="2630"/>
      <c r="I28" s="426"/>
      <c r="M28" s="253">
        <v>38</v>
      </c>
    </row>
    <row r="29" ht="21" customHeight="1">
      <c r="A29" s="1853"/>
      <c r="C29" s="266"/>
      <c r="D29" s="317" t="s">
        <v>759</v>
      </c>
      <c r="E29" s="375" t="s">
        <v>1132</v>
      </c>
      <c r="F29" s="368"/>
      <c r="G29" s="427"/>
      <c r="H29" s="368" t="s">
        <v>313</v>
      </c>
      <c r="I29" s="2339" t="s">
        <v>1143</v>
      </c>
      <c r="M29" s="253">
        <v>20</v>
      </c>
    </row>
    <row r="30" ht="15.75" customHeight="1">
      <c r="A30" s="1853" t="s">
        <v>111</v>
      </c>
      <c r="C30" s="266"/>
      <c r="D30" s="279"/>
      <c r="E30" s="373" t="s">
        <v>329</v>
      </c>
      <c r="F30" s="374"/>
      <c r="G30" s="374"/>
      <c r="H30" s="371"/>
      <c r="I30" s="2341"/>
      <c r="M30" s="253">
        <v>15</v>
      </c>
    </row>
    <row r="31" ht="31.5" customHeight="1">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0"/>
      <c r="G31" s="2630"/>
      <c r="H31" s="2630"/>
      <c r="I31" s="426"/>
      <c r="M31" s="253">
        <v>30</v>
      </c>
    </row>
    <row r="32" ht="27.300000000000001" customHeight="1">
      <c r="A32" s="1853"/>
      <c r="C32" s="266"/>
      <c r="D32" s="317" t="s">
        <v>320</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73"/>
      <c r="G32" s="2573"/>
      <c r="H32" s="2573"/>
      <c r="I32" s="426"/>
      <c r="M32" s="253">
        <v>26</v>
      </c>
    </row>
    <row r="33" ht="14.65" customHeight="1">
      <c r="A33" s="1853"/>
      <c r="C33" s="266"/>
      <c r="D33" s="317" t="s">
        <v>1144</v>
      </c>
      <c r="E33" s="376" t="s">
        <v>1133</v>
      </c>
      <c r="F33" s="368"/>
      <c r="G33" s="427"/>
      <c r="H33" s="368" t="s">
        <v>313</v>
      </c>
      <c r="I33" s="2339" t="s">
        <v>1145</v>
      </c>
      <c r="M33" s="253">
        <v>14</v>
      </c>
    </row>
    <row r="34" ht="15.75" customHeight="1">
      <c r="A34" s="1853" t="s">
        <v>91</v>
      </c>
      <c r="C34" s="266"/>
      <c r="D34" s="279"/>
      <c r="E34" s="374" t="s">
        <v>329</v>
      </c>
      <c r="F34" s="370"/>
      <c r="G34" s="370"/>
      <c r="H34" s="371"/>
      <c r="I34" s="2341"/>
      <c r="M34" s="253">
        <v>15</v>
      </c>
    </row>
    <row r="35" ht="25.199999999999999" customHeight="1">
      <c r="A35" s="1853"/>
      <c r="C35" s="266"/>
      <c r="D35" s="317" t="s">
        <v>887</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73"/>
      <c r="G35" s="2573"/>
      <c r="H35" s="2573"/>
      <c r="I35" s="426"/>
      <c r="M35" s="253">
        <v>24</v>
      </c>
    </row>
    <row r="36" ht="14.65" customHeight="1">
      <c r="A36" s="1853"/>
      <c r="C36" s="266"/>
      <c r="D36" s="317" t="s">
        <v>1146</v>
      </c>
      <c r="E36" s="376" t="s">
        <v>1134</v>
      </c>
      <c r="F36" s="368"/>
      <c r="G36" s="427"/>
      <c r="H36" s="368" t="s">
        <v>313</v>
      </c>
      <c r="I36" s="2313" t="s">
        <v>1147</v>
      </c>
      <c r="M36" s="253">
        <v>14</v>
      </c>
    </row>
    <row r="37" ht="15.75" customHeight="1">
      <c r="A37" s="1853" t="s">
        <v>92</v>
      </c>
      <c r="C37" s="266"/>
      <c r="D37" s="279"/>
      <c r="E37" s="374" t="s">
        <v>329</v>
      </c>
      <c r="F37" s="370"/>
      <c r="G37" s="370"/>
      <c r="H37" s="371"/>
      <c r="I37" s="2313"/>
      <c r="M37" s="253">
        <v>15</v>
      </c>
    </row>
    <row r="38" ht="27.300000000000001" customHeight="1">
      <c r="A38" s="1853"/>
      <c r="C38" s="266"/>
      <c r="D38" s="317" t="s">
        <v>888</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 xml:space="preserve">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73"/>
      <c r="G38" s="2573"/>
      <c r="H38" s="2573"/>
      <c r="I38" s="426"/>
      <c r="M38" s="253">
        <v>26</v>
      </c>
    </row>
    <row r="39" ht="14.65" customHeight="1">
      <c r="A39" s="1853"/>
      <c r="C39" s="266"/>
      <c r="D39" s="317" t="s">
        <v>889</v>
      </c>
      <c r="E39" s="376" t="s">
        <v>1135</v>
      </c>
      <c r="F39" s="368"/>
      <c r="G39" s="377"/>
      <c r="H39" s="368" t="s">
        <v>313</v>
      </c>
      <c r="I39" s="2339" t="s">
        <v>1148</v>
      </c>
      <c r="L39" s="325" t="s">
        <v>1136</v>
      </c>
      <c r="M39" s="253">
        <v>14</v>
      </c>
    </row>
    <row r="40" ht="15.75" customHeight="1">
      <c r="A40" s="1853" t="s">
        <v>112</v>
      </c>
      <c r="C40" s="266"/>
      <c r="D40" s="279"/>
      <c r="E40" s="374" t="s">
        <v>329</v>
      </c>
      <c r="F40" s="370"/>
      <c r="G40" s="370"/>
      <c r="H40" s="371"/>
      <c r="I40" s="2341"/>
      <c r="M40" s="253">
        <v>15</v>
      </c>
    </row>
    <row r="41" s="11442" customFormat="1" ht="3" customHeight="1">
      <c r="A41" s="1853"/>
      <c r="K41" s="366"/>
      <c r="L41" s="366"/>
      <c r="M41" s="310">
        <v>3</v>
      </c>
    </row>
    <row r="42" ht="26.25" customHeight="1">
      <c r="D42" s="1851" t="s">
        <v>809</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 xml:space="preserve">Информация размещается в случае, если организация осуществляет услуги по подключению (технологическому присоединению) к системе теплоснабжения.</v>
      </c>
      <c r="F42" s="2455"/>
      <c r="G42" s="2455"/>
      <c r="H42" s="2455"/>
      <c r="I42" s="2455"/>
      <c r="M42" s="253">
        <v>25</v>
      </c>
    </row>
    <row r="43" ht="22.5" hidden="1" customHeight="1">
      <c r="A43" s="1532" t="s">
        <v>83</v>
      </c>
      <c r="B43" s="316">
        <v>0</v>
      </c>
      <c r="C43" s="267">
        <v>3</v>
      </c>
      <c r="D43" s="253">
        <v>6</v>
      </c>
      <c r="E43" s="253">
        <v>63</v>
      </c>
      <c r="F43" s="253">
        <v>0</v>
      </c>
      <c r="G43" s="253">
        <v>35</v>
      </c>
      <c r="H43" s="253">
        <v>35</v>
      </c>
      <c r="I43" s="253">
        <v>91</v>
      </c>
      <c r="J43" s="253">
        <v>68</v>
      </c>
      <c r="K43" s="325">
        <v>10</v>
      </c>
      <c r="L43" s="325">
        <v>10</v>
      </c>
      <c r="M43" s="253">
        <v>23</v>
      </c>
    </row>
  </sheetData>
  <sheetProtection autoFilter="0" deleteColumns="1" deleteRows="1" formatColumns="0" formatRows="0" insertColumns="1" insertRows="1" sheet="1" sort="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1">
    <dataValidation sqref="G2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3">
        <x14:dataValidation xr:uid="{002B00CE-0090-414B-A4FC-00F400A900CF}" type="textLength" allowBlank="1" error="Допускается ввод не более 900 символов!" errorTitle="Ошибка" operator="lessThanOrEqual" showErrorMessage="1" showInputMessage="1">
          <x14:formula1>
            <xm:f>900</xm:f>
          </x14:formula1>
          <xm:sqref>I23:I24 I33 G36 I39 I26 E29 G33 E36 I29 E33 I36 G23 E26 I10 E23 G29 E10 G8 E2 I2 I4 G4 E4 E6 I6 G6 E8 I8 E39</xm:sqref>
        </x14:dataValidation>
        <x14:dataValidation xr:uid="{001B0000-0002-4EDC-BD5A-0047003600CC}"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H26 H23:H24 H2</xm:sqref>
        </x14:dataValidation>
        <x14:dataValidation xr:uid="{0021003A-00EF-4D68-B66E-00E2004E00D6}"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G10 G39</xm:sqref>
        </x14:dataValidation>
      </x14:dataValidations>
    </ext>
  </extLs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7" ySplit="21" topLeftCell="H159" activePane="bottomRight" state="frozen"/>
      <selection pane="bottomLeft" activeCell="A22" sqref="A22"/>
      <selection pane="topRight" activeCell="H1" sqref="H1"/>
      <selection pane="bottomRight" activeCell="K96" sqref="K96"/>
    </sheetView>
  </sheetViews>
  <sheetFormatPr defaultColWidth="10.57421875" defaultRowHeight="14.25" customHeight="1"/>
  <cols>
    <col customWidth="1" hidden="1" min="1" max="2" style="11493" width="25.140625"/>
    <col customWidth="1" hidden="1" min="3" max="3" style="11494" width="9.140625"/>
    <col customWidth="1" min="4" max="4" style="10314" width="3.00390625"/>
    <col customWidth="1" min="5" max="5" style="9138" width="6.00390625"/>
    <col customWidth="1" min="6" max="6" style="9138" width="46.7109375"/>
    <col customWidth="1" min="7" max="7" style="9138" width="35.00390625"/>
    <col customWidth="1" min="8" max="8" style="9138" width="3.00390625"/>
    <col customWidth="1" min="9" max="10" style="9138" width="11.00390625"/>
    <col customWidth="1" min="11" max="12" style="9138" width="35.00390625"/>
    <col customWidth="1" min="13" max="13" style="9138" width="84.00390625"/>
    <col customWidth="1" min="14" max="14" style="9138" width="10.00390625"/>
    <col customWidth="1" min="15" max="16" style="9307" width="10.00390625"/>
    <col customWidth="1" min="17" max="33" style="9138" width="10.00390625"/>
    <col hidden="1" min="34" max="34" style="9138" width="10.57421875"/>
  </cols>
  <sheetData>
    <row r="1" s="9138" customFormat="1" ht="22.5" hidden="1" customHeight="1">
      <c r="A1" s="1949"/>
      <c r="B1" s="1949"/>
      <c r="C1" s="539"/>
      <c r="D1" s="514"/>
      <c r="N1" s="1806">
        <f>_xlfn.IFERROR(MATCH("метод экономически обоснованных расходов (затрат)",OFFER_METHOD,0),0)</f>
        <v>0</v>
      </c>
      <c r="O1" s="1794"/>
      <c r="P1" s="1794"/>
      <c r="T1" s="1001"/>
      <c r="AG1" s="425"/>
      <c r="AH1" s="1801" t="s">
        <v>14</v>
      </c>
    </row>
    <row r="2" s="9138" customFormat="1" ht="18.75" hidden="1" customHeight="1">
      <c r="A2" s="1950" t="s">
        <v>158</v>
      </c>
      <c r="B2" s="1950" t="s">
        <v>159</v>
      </c>
      <c r="C2" s="539"/>
      <c r="D2" s="514"/>
      <c r="E2" s="1201"/>
      <c r="F2" s="1201"/>
      <c r="G2" s="2597" t="str">
        <f>INDEX(PT_DIFFERENTIATION_NTAR,MATCH(B2,PT_DIFFERENTIATION_NTAR_ID,0))</f>
        <v xml:space="preserve">Тариф на тепловую энергию</v>
      </c>
      <c r="H2" s="2034"/>
      <c r="I2" s="1909"/>
      <c r="J2" s="1943"/>
      <c r="K2" s="2035"/>
      <c r="L2" s="2034" t="s">
        <v>313</v>
      </c>
      <c r="M2" s="2045"/>
      <c r="N2" s="504"/>
      <c r="O2" s="1794"/>
      <c r="P2" s="1794"/>
      <c r="AH2" s="1801">
        <v>0</v>
      </c>
    </row>
    <row r="3" s="9138" customFormat="1" ht="18.75" hidden="1" customHeight="1">
      <c r="A3" s="1950"/>
      <c r="B3" s="1950"/>
      <c r="C3" s="539" t="s">
        <v>1149</v>
      </c>
      <c r="D3" s="514"/>
      <c r="E3" s="1201"/>
      <c r="F3" s="1201"/>
      <c r="G3" s="2597"/>
      <c r="H3" s="1670"/>
      <c r="I3" s="821" t="s">
        <v>1150</v>
      </c>
      <c r="J3" s="741"/>
      <c r="K3" s="1670"/>
      <c r="L3" s="384"/>
      <c r="M3" s="2045"/>
      <c r="N3" s="504"/>
      <c r="O3" s="1794"/>
      <c r="P3" s="1794"/>
      <c r="AH3" s="1801">
        <v>0</v>
      </c>
    </row>
    <row r="4" s="9138" customFormat="1" ht="14.25" hidden="1" customHeight="1">
      <c r="A4" s="1949"/>
      <c r="B4" s="1949"/>
      <c r="C4" s="539"/>
      <c r="D4" s="514"/>
      <c r="N4" s="1806">
        <f>_xlfn.IFERROR(MATCH("метод экономически обоснованных расходов (затрат)",OFFER_METHOD,0),0)</f>
        <v>0</v>
      </c>
      <c r="O4" s="1794"/>
      <c r="P4" s="1794"/>
      <c r="T4" s="1001"/>
      <c r="AG4" s="425"/>
      <c r="AH4" s="1801">
        <v>0</v>
      </c>
    </row>
    <row r="5" s="9138" customFormat="1" ht="18.75" hidden="1" customHeight="1">
      <c r="A5" s="1950" t="s">
        <v>158</v>
      </c>
      <c r="B5" s="1950" t="s">
        <v>159</v>
      </c>
      <c r="C5" s="539"/>
      <c r="D5" s="514"/>
      <c r="E5" s="1201"/>
      <c r="F5" s="1201"/>
      <c r="G5" s="2597" t="str">
        <f>INDEX(PT_DIFFERENTIATION_NTAR,MATCH(B5,PT_DIFFERENTIATION_NTAR_ID,0))</f>
        <v xml:space="preserve">Тариф на тепловую энергию</v>
      </c>
      <c r="H5" s="2034"/>
      <c r="I5" s="1909"/>
      <c r="J5" s="1943"/>
      <c r="K5" s="1948"/>
      <c r="L5" s="2034" t="s">
        <v>313</v>
      </c>
      <c r="M5" s="2045"/>
      <c r="N5" s="504"/>
      <c r="O5" s="1794"/>
      <c r="P5" s="1794"/>
      <c r="AH5" s="1801">
        <v>0</v>
      </c>
    </row>
    <row r="6" s="9138" customFormat="1" ht="18.75" hidden="1" customHeight="1">
      <c r="A6" s="1950"/>
      <c r="B6" s="1950"/>
      <c r="C6" s="539" t="s">
        <v>1151</v>
      </c>
      <c r="D6" s="514"/>
      <c r="E6" s="1201"/>
      <c r="F6" s="1201"/>
      <c r="G6" s="2597"/>
      <c r="H6" s="1670"/>
      <c r="I6" s="821" t="s">
        <v>1150</v>
      </c>
      <c r="J6" s="741"/>
      <c r="K6" s="1670"/>
      <c r="L6" s="384"/>
      <c r="M6" s="2045"/>
      <c r="N6" s="504"/>
      <c r="O6" s="1794"/>
      <c r="P6" s="1794"/>
      <c r="AH6" s="1801">
        <v>0</v>
      </c>
    </row>
    <row r="7" s="9138" customFormat="1" ht="14.25" hidden="1" customHeight="1">
      <c r="A7" s="1949"/>
      <c r="B7" s="1949"/>
      <c r="C7" s="539"/>
      <c r="D7" s="514"/>
      <c r="N7" s="1806">
        <f>_xlfn.IFERROR(MATCH("метод экономически обоснованных расходов (затрат)",OFFER_METHOD,0),0)</f>
        <v>0</v>
      </c>
      <c r="O7" s="1794"/>
      <c r="P7" s="1794"/>
      <c r="T7" s="1001"/>
      <c r="AG7" s="425"/>
      <c r="AH7" s="1801">
        <v>0</v>
      </c>
    </row>
    <row r="8" s="9138" customFormat="1" ht="56.25" hidden="1" customHeight="1">
      <c r="A8" s="1950"/>
      <c r="B8" s="1950"/>
      <c r="C8" s="539"/>
      <c r="D8" s="514"/>
      <c r="E8" s="1201"/>
      <c r="F8" s="1201"/>
      <c r="G8" s="1201"/>
      <c r="H8" s="1941"/>
      <c r="I8" s="1909"/>
      <c r="J8" s="1943"/>
      <c r="K8" s="2035"/>
      <c r="L8" s="1941" t="s">
        <v>313</v>
      </c>
      <c r="M8" s="2045"/>
      <c r="N8" s="504"/>
      <c r="O8" s="1794"/>
      <c r="P8" s="1794"/>
      <c r="AH8" s="1801">
        <v>0</v>
      </c>
    </row>
    <row r="9" ht="14.25" hidden="1" customHeight="1">
      <c r="T9" s="567"/>
      <c r="AG9" s="425"/>
      <c r="AH9" s="544">
        <v>0</v>
      </c>
    </row>
    <row r="10" s="9138" customFormat="1" ht="56.25" hidden="1" customHeight="1">
      <c r="A10" s="1950"/>
      <c r="B10" s="1950"/>
      <c r="C10" s="539"/>
      <c r="D10" s="514"/>
      <c r="E10" s="1201"/>
      <c r="F10" s="1201"/>
      <c r="G10" s="1201"/>
      <c r="H10" s="1940"/>
      <c r="I10" s="1909"/>
      <c r="J10" s="1943"/>
      <c r="K10" s="1948"/>
      <c r="L10" s="1941" t="s">
        <v>313</v>
      </c>
      <c r="M10" s="2045"/>
      <c r="N10" s="504"/>
      <c r="O10" s="1794"/>
      <c r="P10" s="1794"/>
      <c r="AH10" s="1801">
        <v>0</v>
      </c>
    </row>
    <row r="11" ht="14.25" hidden="1" customHeight="1">
      <c r="AH11" s="544">
        <v>0</v>
      </c>
    </row>
    <row r="12" ht="14.25" hidden="1" customHeight="1">
      <c r="AH12" s="544">
        <v>0</v>
      </c>
    </row>
    <row r="13" ht="6.2999999999999998" customHeight="1">
      <c r="D13" s="546"/>
      <c r="E13" s="533"/>
      <c r="F13" s="533"/>
      <c r="G13" s="533"/>
      <c r="H13" s="533"/>
      <c r="I13" s="533"/>
      <c r="J13" s="533"/>
      <c r="K13" s="533"/>
      <c r="L13" s="255"/>
      <c r="M13" s="255"/>
      <c r="AH13" s="544">
        <v>6</v>
      </c>
    </row>
    <row r="14" ht="14.65" customHeight="1">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 xml:space="preserve">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5"/>
      <c r="G14" s="2635"/>
      <c r="H14" s="2635"/>
      <c r="I14" s="2635"/>
      <c r="J14" s="2635"/>
      <c r="K14" s="2635"/>
      <c r="L14" s="2635"/>
      <c r="M14" s="390"/>
      <c r="AH14" s="544">
        <v>14</v>
      </c>
    </row>
    <row r="15" ht="6.2999999999999998" customHeight="1">
      <c r="D15" s="546"/>
      <c r="E15" s="533"/>
      <c r="F15" s="559"/>
      <c r="G15" s="559"/>
      <c r="H15" s="559"/>
      <c r="I15" s="559"/>
      <c r="J15" s="559"/>
      <c r="K15" s="559"/>
      <c r="L15" s="492"/>
      <c r="M15" s="363"/>
      <c r="AH15" s="544">
        <v>6</v>
      </c>
    </row>
    <row r="16" ht="24" customHeight="1">
      <c r="D16" s="546"/>
      <c r="E16" s="533"/>
      <c r="F16" s="475" t="str">
        <f>"Дата подачи заявления об "&amp;IF(TITLE_DATE_PR_CHANGE="","утверждении","изменении")&amp;" тарифов"</f>
        <v xml:space="preserve">Дата подачи заявления об изменении тарифов</v>
      </c>
      <c r="G16" s="2434" t="str">
        <f>IF(TITLE_DATE_PR_CHANGE="",IF(TITLE_DATE_PR="","",TITLE_DATE_PR),TITLE_DATE_PR_CHANGE)</f>
        <v>45646</v>
      </c>
      <c r="H16" s="2434"/>
      <c r="I16" s="2434"/>
      <c r="J16" s="2434"/>
      <c r="K16" s="2434"/>
      <c r="L16" s="2434"/>
      <c r="M16" s="568"/>
      <c r="N16" s="496"/>
      <c r="AH16" s="544">
        <v>23</v>
      </c>
    </row>
    <row r="17" ht="24" customHeight="1">
      <c r="D17" s="546"/>
      <c r="E17" s="533"/>
      <c r="F17" s="475" t="str">
        <f>"Номер подачи заявления об "&amp;IF(TITLE_DATE_PR_CHANGE="","утверждении","изменении")&amp;" тарифов"</f>
        <v xml:space="preserve">Номер подачи заявления об изменении тарифов</v>
      </c>
      <c r="G17" s="2421" t="str">
        <f>IF(TITLE_NUMBER_PR_CHANGE="",IF(TITLE_NUMBER_PR="","",TITLE_NUMBER_PR),TITLE_NUMBER_PR_CHANGE)</f>
        <v>ДГК-01.1/22560</v>
      </c>
      <c r="H17" s="2421"/>
      <c r="I17" s="2421"/>
      <c r="J17" s="2421"/>
      <c r="K17" s="2421"/>
      <c r="L17" s="2421"/>
      <c r="M17" s="568"/>
      <c r="N17" s="496"/>
      <c r="AH17" s="544">
        <v>23</v>
      </c>
    </row>
    <row r="18" ht="14.65" customHeight="1">
      <c r="D18" s="546"/>
      <c r="E18" s="533"/>
      <c r="F18" s="559"/>
      <c r="G18" s="559"/>
      <c r="H18" s="559"/>
      <c r="I18" s="559"/>
      <c r="J18" s="559"/>
      <c r="K18" s="559"/>
      <c r="L18" s="922"/>
      <c r="M18" s="363"/>
      <c r="AH18" s="544">
        <v>14</v>
      </c>
    </row>
    <row r="19" ht="22" customHeight="1">
      <c r="D19" s="546"/>
      <c r="E19" s="2379" t="s">
        <v>307</v>
      </c>
      <c r="F19" s="2379"/>
      <c r="G19" s="2379"/>
      <c r="H19" s="2379"/>
      <c r="I19" s="2379"/>
      <c r="J19" s="2379"/>
      <c r="K19" s="2379"/>
      <c r="L19" s="2379"/>
      <c r="M19" s="2559" t="s">
        <v>308</v>
      </c>
      <c r="AH19" s="544">
        <v>21</v>
      </c>
    </row>
    <row r="20" ht="22" customHeight="1">
      <c r="D20" s="546"/>
      <c r="E20" s="2447" t="s">
        <v>89</v>
      </c>
      <c r="F20" s="2394" t="s">
        <v>122</v>
      </c>
      <c r="G20" s="2394" t="s">
        <v>123</v>
      </c>
      <c r="H20" s="2556" t="s">
        <v>1152</v>
      </c>
      <c r="I20" s="2557"/>
      <c r="J20" s="2603"/>
      <c r="K20" s="2394" t="s">
        <v>310</v>
      </c>
      <c r="L20" s="2394" t="s">
        <v>397</v>
      </c>
      <c r="M20" s="2559"/>
      <c r="AH20" s="544">
        <v>21</v>
      </c>
    </row>
    <row r="21" ht="22" customHeight="1">
      <c r="D21" s="546"/>
      <c r="E21" s="2449"/>
      <c r="F21" s="2395"/>
      <c r="G21" s="2395"/>
      <c r="H21" s="2388" t="s">
        <v>1153</v>
      </c>
      <c r="I21" s="2390"/>
      <c r="J21" s="278" t="s">
        <v>1154</v>
      </c>
      <c r="K21" s="2395"/>
      <c r="L21" s="2395"/>
      <c r="M21" s="2559"/>
      <c r="AH21" s="544">
        <v>21</v>
      </c>
    </row>
    <row r="22" ht="12.75" customHeight="1">
      <c r="D22" s="546"/>
      <c r="E22" s="451"/>
      <c r="F22" s="451"/>
      <c r="G22" s="451"/>
      <c r="H22" s="2637"/>
      <c r="I22" s="2637"/>
      <c r="J22" s="451"/>
      <c r="K22" s="451"/>
      <c r="L22" s="451"/>
      <c r="M22" s="451"/>
      <c r="AH22" s="544">
        <v>12</v>
      </c>
    </row>
    <row r="23" ht="19.949999999999999" customHeight="1">
      <c r="A23" s="1950"/>
      <c r="B23" s="1950"/>
      <c r="D23" s="546"/>
      <c r="E23" s="2036" t="s">
        <v>110</v>
      </c>
      <c r="F23" s="2638" t="str">
        <f>"Предлагаемый метод регулирования"&amp;IF(TEMPLATE_SPHERE="HEAT"," в сфере "&amp;TEMPLATE_SPHERE_RUS,"")</f>
        <v xml:space="preserve">Предлагаемый метод регулирования в сфере теплоснабжения</v>
      </c>
      <c r="G23" s="2639"/>
      <c r="H23" s="2631"/>
      <c r="I23" s="2631"/>
      <c r="J23" s="2631"/>
      <c r="K23" s="2639" t="s">
        <v>313</v>
      </c>
      <c r="L23" s="2631"/>
      <c r="M23" s="1939"/>
      <c r="N23" s="504"/>
      <c r="AH23" s="544">
        <v>19</v>
      </c>
    </row>
    <row r="24" ht="60.75" customHeight="1">
      <c r="A24" s="1950" t="s">
        <v>158</v>
      </c>
      <c r="B24" s="1950" t="s">
        <v>159</v>
      </c>
      <c r="D24" s="2636"/>
      <c r="E24" s="2374"/>
      <c r="F24" s="2640" t="str">
        <f>INDEX(PT_DIFFERENTIATION_VTAR,MATCH(A24,PT_DIFFERENTIATION_VTAR_ID,0))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xml:space="preserve">Тариф на тепловую энергию</v>
      </c>
      <c r="H24" s="2032"/>
      <c r="I24" s="5168">
        <v>45292</v>
      </c>
      <c r="J24" s="5169">
        <v>47118</v>
      </c>
      <c r="K24" s="2035" t="s">
        <v>1155</v>
      </c>
      <c r="L24" s="1938" t="s">
        <v>313</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r="25" s="9138" customFormat="1" ht="18.75" customHeight="1">
      <c r="A25" s="1950"/>
      <c r="B25" s="1950"/>
      <c r="C25" s="539" t="s">
        <v>1149</v>
      </c>
      <c r="D25" s="2636"/>
      <c r="E25" s="2374"/>
      <c r="F25" s="2640"/>
      <c r="G25" s="2597"/>
      <c r="H25" s="1670"/>
      <c r="I25" s="821" t="s">
        <v>1150</v>
      </c>
      <c r="J25" s="741"/>
      <c r="K25" s="1670"/>
      <c r="L25" s="384"/>
      <c r="M25" s="2340"/>
      <c r="N25" s="504"/>
      <c r="O25" s="1794"/>
      <c r="P25" s="1794"/>
      <c r="AH25" s="1801">
        <v>0</v>
      </c>
    </row>
    <row r="26" ht="0.75" customHeight="1">
      <c r="A26" s="1950"/>
      <c r="B26" s="1950"/>
      <c r="C26" s="539" t="s">
        <v>1156</v>
      </c>
      <c r="D26" s="2636"/>
      <c r="E26" s="2374"/>
      <c r="F26" s="2553"/>
      <c r="G26" s="570"/>
      <c r="H26" s="1670"/>
      <c r="I26" s="565"/>
      <c r="J26" s="519"/>
      <c r="K26" s="1670"/>
      <c r="L26" s="371"/>
      <c r="M26" s="2340"/>
      <c r="N26" s="504"/>
      <c r="AH26" s="544">
        <v>0</v>
      </c>
    </row>
    <row r="27" s="9138" customFormat="1" ht="45" customHeight="1">
      <c r="A27" s="1950" t="s">
        <v>170</v>
      </c>
      <c r="B27" s="1950" t="s">
        <v>171</v>
      </c>
      <c r="C27" s="539"/>
      <c r="D27" s="2632"/>
      <c r="E27" s="2633"/>
      <c r="F27" s="2634" t="str">
        <f>INDEX(PT_DIFFERENTIATION_VTAR,MATCH(A27,PT_DIFFERENTIATION_VTAR_ID,0))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7" s="2597" t="str">
        <f>INDEX(PT_DIFFERENTIATION_NTAR,MATCH(B27,PT_DIFFERENTIATION_NTAR_ID,0))</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7" s="2032"/>
      <c r="I27" s="5168">
        <v>45292</v>
      </c>
      <c r="J27" s="5169">
        <v>45657</v>
      </c>
      <c r="K27" s="2035" t="s">
        <v>1155</v>
      </c>
      <c r="L27" s="2032" t="s">
        <v>313</v>
      </c>
      <c r="M27" s="2340"/>
      <c r="N27" s="504"/>
      <c r="O27" s="1794"/>
      <c r="P27" s="1794"/>
      <c r="AH27" s="1801">
        <v>0</v>
      </c>
    </row>
    <row r="28" s="9138" customFormat="1" ht="18.75" customHeight="1">
      <c r="A28" s="1950"/>
      <c r="B28" s="1950"/>
      <c r="C28" s="539" t="s">
        <v>1149</v>
      </c>
      <c r="D28" s="2632"/>
      <c r="E28" s="2633"/>
      <c r="F28" s="2634"/>
      <c r="G28" s="2597"/>
      <c r="H28" s="1670"/>
      <c r="I28" s="821" t="s">
        <v>1150</v>
      </c>
      <c r="J28" s="741"/>
      <c r="K28" s="1670"/>
      <c r="L28" s="384"/>
      <c r="M28" s="2340"/>
      <c r="N28" s="504"/>
      <c r="O28" s="1794"/>
      <c r="P28" s="1794"/>
      <c r="AH28" s="1801">
        <v>0</v>
      </c>
    </row>
    <row r="29" s="9138" customFormat="1" ht="0.75" customHeight="1">
      <c r="A29" s="1950"/>
      <c r="B29" s="1950"/>
      <c r="C29" s="539" t="s">
        <v>1156</v>
      </c>
      <c r="D29" s="2632"/>
      <c r="E29" s="2374"/>
      <c r="F29" s="2553"/>
      <c r="G29" s="570"/>
      <c r="H29" s="1670"/>
      <c r="I29" s="821"/>
      <c r="J29" s="741"/>
      <c r="K29" s="1670"/>
      <c r="L29" s="384"/>
      <c r="M29" s="2340"/>
      <c r="N29" s="504"/>
      <c r="O29" s="1794"/>
      <c r="P29" s="1794"/>
      <c r="AH29" s="1801">
        <v>0</v>
      </c>
    </row>
    <row r="30" s="9138" customFormat="1" ht="45" hidden="1" customHeight="1">
      <c r="A30" s="1950" t="s">
        <v>176</v>
      </c>
      <c r="B30" s="1950" t="s">
        <v>177</v>
      </c>
      <c r="C30" s="539"/>
      <c r="D30" s="2632"/>
      <c r="E30" s="2374"/>
      <c r="F30" s="2553" t="str">
        <f>INDEX(PT_DIFFERENTIATION_VTAR,MATCH(A30,PT_DIFFERENTIATION_VTAR_ID,0))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313</v>
      </c>
      <c r="M30" s="2340"/>
      <c r="N30" s="504"/>
      <c r="O30" s="1794"/>
      <c r="P30" s="1794"/>
      <c r="AH30" s="1801">
        <v>0</v>
      </c>
    </row>
    <row r="31" s="9138" customFormat="1" ht="18.75" hidden="1" customHeight="1">
      <c r="A31" s="1950"/>
      <c r="B31" s="1950"/>
      <c r="C31" s="539" t="s">
        <v>1149</v>
      </c>
      <c r="D31" s="2632"/>
      <c r="E31" s="2374"/>
      <c r="F31" s="2553"/>
      <c r="G31" s="2597"/>
      <c r="H31" s="1670"/>
      <c r="I31" s="821" t="s">
        <v>1150</v>
      </c>
      <c r="J31" s="741"/>
      <c r="K31" s="1670"/>
      <c r="L31" s="384"/>
      <c r="M31" s="2340"/>
      <c r="N31" s="504"/>
      <c r="O31" s="1794"/>
      <c r="P31" s="1794"/>
      <c r="AH31" s="1801">
        <v>0</v>
      </c>
    </row>
    <row r="32" s="9138" customFormat="1" ht="0.75" hidden="1" customHeight="1">
      <c r="A32" s="1950"/>
      <c r="B32" s="1950"/>
      <c r="C32" s="539" t="s">
        <v>1156</v>
      </c>
      <c r="D32" s="2632"/>
      <c r="E32" s="2374"/>
      <c r="F32" s="2553"/>
      <c r="G32" s="570"/>
      <c r="H32" s="1670"/>
      <c r="I32" s="821"/>
      <c r="J32" s="741"/>
      <c r="K32" s="1670"/>
      <c r="L32" s="384"/>
      <c r="M32" s="2340"/>
      <c r="N32" s="504"/>
      <c r="O32" s="1794"/>
      <c r="P32" s="1794"/>
      <c r="AH32" s="1801">
        <v>0</v>
      </c>
    </row>
    <row r="33" s="9138" customFormat="1" ht="45" hidden="1" customHeight="1">
      <c r="A33" s="1950" t="s">
        <v>182</v>
      </c>
      <c r="B33" s="1950" t="s">
        <v>183</v>
      </c>
      <c r="C33" s="539"/>
      <c r="D33" s="2632"/>
      <c r="E33" s="2374"/>
      <c r="F33" s="2553" t="str">
        <f>INDEX(PT_DIFFERENTIATION_VTAR,MATCH(A33,PT_DIFFERENTIATION_VTAR_ID,0))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313</v>
      </c>
      <c r="M33" s="2340"/>
      <c r="N33" s="504"/>
      <c r="O33" s="1794"/>
      <c r="P33" s="1794"/>
      <c r="AH33" s="1801">
        <v>0</v>
      </c>
    </row>
    <row r="34" s="9138" customFormat="1" ht="18.75" hidden="1" customHeight="1">
      <c r="A34" s="1950"/>
      <c r="B34" s="1950"/>
      <c r="C34" s="539" t="s">
        <v>1149</v>
      </c>
      <c r="D34" s="2632"/>
      <c r="E34" s="2374"/>
      <c r="F34" s="2553"/>
      <c r="G34" s="2597"/>
      <c r="H34" s="1670"/>
      <c r="I34" s="821" t="s">
        <v>1150</v>
      </c>
      <c r="J34" s="741"/>
      <c r="K34" s="1670"/>
      <c r="L34" s="384"/>
      <c r="M34" s="2340"/>
      <c r="N34" s="504"/>
      <c r="O34" s="1794"/>
      <c r="P34" s="1794"/>
      <c r="AH34" s="1801">
        <v>0</v>
      </c>
    </row>
    <row r="35" s="9138" customFormat="1" ht="0.75" hidden="1" customHeight="1">
      <c r="A35" s="1950"/>
      <c r="B35" s="1950"/>
      <c r="C35" s="539" t="s">
        <v>1156</v>
      </c>
      <c r="D35" s="2632"/>
      <c r="E35" s="2374"/>
      <c r="F35" s="2553"/>
      <c r="G35" s="570"/>
      <c r="H35" s="1670"/>
      <c r="I35" s="821"/>
      <c r="J35" s="741"/>
      <c r="K35" s="1670"/>
      <c r="L35" s="384"/>
      <c r="M35" s="2340"/>
      <c r="N35" s="504"/>
      <c r="O35" s="1794"/>
      <c r="P35" s="1794"/>
      <c r="AH35" s="1801">
        <v>0</v>
      </c>
    </row>
    <row r="36" s="9138" customFormat="1" ht="18.75" hidden="1" customHeight="1">
      <c r="A36" s="1950" t="s">
        <v>188</v>
      </c>
      <c r="B36" s="1950" t="s">
        <v>189</v>
      </c>
      <c r="C36" s="539"/>
      <c r="D36" s="2632"/>
      <c r="E36" s="2374"/>
      <c r="F36" s="2553" t="str">
        <f>INDEX(PT_DIFFERENTIATION_VTAR,MATCH(A36,PT_DIFFERENTIATION_VTAR_ID,0))</f>
        <v xml:space="preserve">Тарифы на услуги по передаче тепловой энергии</v>
      </c>
      <c r="G36" s="2597" t="str">
        <f>INDEX(PT_DIFFERENTIATION_NTAR,MATCH(B36,PT_DIFFERENTIATION_NTAR_ID,0))</f>
        <v/>
      </c>
      <c r="H36" s="2032"/>
      <c r="I36" s="1909"/>
      <c r="J36" s="1943"/>
      <c r="K36" s="2035"/>
      <c r="L36" s="2032" t="s">
        <v>313</v>
      </c>
      <c r="M36" s="2340"/>
      <c r="N36" s="504"/>
      <c r="O36" s="1794"/>
      <c r="P36" s="1794"/>
      <c r="AH36" s="1801">
        <v>0</v>
      </c>
    </row>
    <row r="37" s="9138" customFormat="1" ht="18.75" hidden="1" customHeight="1">
      <c r="A37" s="1950"/>
      <c r="B37" s="1950"/>
      <c r="C37" s="539" t="s">
        <v>1149</v>
      </c>
      <c r="D37" s="2632"/>
      <c r="E37" s="2374"/>
      <c r="F37" s="2553"/>
      <c r="G37" s="2597"/>
      <c r="H37" s="1670"/>
      <c r="I37" s="821" t="s">
        <v>1150</v>
      </c>
      <c r="J37" s="741"/>
      <c r="K37" s="1670"/>
      <c r="L37" s="384"/>
      <c r="M37" s="2340"/>
      <c r="N37" s="504"/>
      <c r="O37" s="1794"/>
      <c r="P37" s="1794"/>
      <c r="AH37" s="1801">
        <v>0</v>
      </c>
    </row>
    <row r="38" s="9138" customFormat="1" ht="0.75" hidden="1" customHeight="1">
      <c r="A38" s="1950"/>
      <c r="B38" s="1950"/>
      <c r="C38" s="539" t="s">
        <v>1156</v>
      </c>
      <c r="D38" s="2632"/>
      <c r="E38" s="2374"/>
      <c r="F38" s="2553"/>
      <c r="G38" s="570"/>
      <c r="H38" s="1670"/>
      <c r="I38" s="821"/>
      <c r="J38" s="741"/>
      <c r="K38" s="1670"/>
      <c r="L38" s="384"/>
      <c r="M38" s="2340"/>
      <c r="N38" s="504"/>
      <c r="O38" s="1794"/>
      <c r="P38" s="1794"/>
      <c r="AH38" s="1801">
        <v>0</v>
      </c>
    </row>
    <row r="39" s="9138" customFormat="1" ht="18.75" hidden="1" customHeight="1">
      <c r="A39" s="1950" t="s">
        <v>194</v>
      </c>
      <c r="B39" s="1950" t="s">
        <v>195</v>
      </c>
      <c r="C39" s="539"/>
      <c r="D39" s="2632"/>
      <c r="E39" s="2374"/>
      <c r="F39" s="2553" t="str">
        <f>INDEX(PT_DIFFERENTIATION_VTAR,MATCH(A39,PT_DIFFERENTIATION_VTAR_ID,0))</f>
        <v xml:space="preserve">Тарифы на услуги по передаче теплоносителя</v>
      </c>
      <c r="G39" s="2597" t="str">
        <f>INDEX(PT_DIFFERENTIATION_NTAR,MATCH(B39,PT_DIFFERENTIATION_NTAR_ID,0))</f>
        <v/>
      </c>
      <c r="H39" s="2032"/>
      <c r="I39" s="1909"/>
      <c r="J39" s="1943"/>
      <c r="K39" s="2035"/>
      <c r="L39" s="2032" t="s">
        <v>313</v>
      </c>
      <c r="M39" s="2340"/>
      <c r="N39" s="504"/>
      <c r="O39" s="1794"/>
      <c r="P39" s="1794"/>
      <c r="AH39" s="1801">
        <v>0</v>
      </c>
    </row>
    <row r="40" s="9138" customFormat="1" ht="18.75" hidden="1" customHeight="1">
      <c r="A40" s="1950"/>
      <c r="B40" s="1950"/>
      <c r="C40" s="539" t="s">
        <v>1149</v>
      </c>
      <c r="D40" s="2632"/>
      <c r="E40" s="2374"/>
      <c r="F40" s="2553"/>
      <c r="G40" s="2597"/>
      <c r="H40" s="1670"/>
      <c r="I40" s="821" t="s">
        <v>1150</v>
      </c>
      <c r="J40" s="741"/>
      <c r="K40" s="1670"/>
      <c r="L40" s="384"/>
      <c r="M40" s="2340"/>
      <c r="N40" s="504"/>
      <c r="O40" s="1794"/>
      <c r="P40" s="1794"/>
      <c r="AH40" s="1801">
        <v>0</v>
      </c>
    </row>
    <row r="41" s="9138" customFormat="1" ht="0.75" hidden="1" customHeight="1">
      <c r="A41" s="1950"/>
      <c r="B41" s="1950"/>
      <c r="C41" s="539" t="s">
        <v>1156</v>
      </c>
      <c r="D41" s="2632"/>
      <c r="E41" s="2374"/>
      <c r="F41" s="2553"/>
      <c r="G41" s="570"/>
      <c r="H41" s="1670"/>
      <c r="I41" s="821"/>
      <c r="J41" s="741"/>
      <c r="K41" s="1670"/>
      <c r="L41" s="384"/>
      <c r="M41" s="2340"/>
      <c r="N41" s="504"/>
      <c r="O41" s="1794"/>
      <c r="P41" s="1794"/>
      <c r="AH41" s="1801">
        <v>0</v>
      </c>
    </row>
    <row r="42" s="9138" customFormat="1" ht="18.75" hidden="1" customHeight="1">
      <c r="A42" s="1950" t="s">
        <v>200</v>
      </c>
      <c r="B42" s="1950" t="s">
        <v>201</v>
      </c>
      <c r="C42" s="539"/>
      <c r="D42" s="2632"/>
      <c r="E42" s="2374"/>
      <c r="F42" s="2553" t="str">
        <f>INDEX(PT_DIFFERENTIATION_VTAR,MATCH(A42,PT_DIFFERENTIATION_VTAR_ID,0))</f>
        <v xml:space="preserve">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313</v>
      </c>
      <c r="M42" s="2340"/>
      <c r="N42" s="504"/>
      <c r="O42" s="1794"/>
      <c r="P42" s="1794"/>
      <c r="AH42" s="1801">
        <v>0</v>
      </c>
    </row>
    <row r="43" s="9138" customFormat="1" ht="18.75" hidden="1" customHeight="1">
      <c r="A43" s="1950"/>
      <c r="B43" s="1950"/>
      <c r="C43" s="539" t="s">
        <v>1149</v>
      </c>
      <c r="D43" s="2632"/>
      <c r="E43" s="2374"/>
      <c r="F43" s="2553"/>
      <c r="G43" s="2597"/>
      <c r="H43" s="1670"/>
      <c r="I43" s="821" t="s">
        <v>1150</v>
      </c>
      <c r="J43" s="741"/>
      <c r="K43" s="1670"/>
      <c r="L43" s="384"/>
      <c r="M43" s="2340"/>
      <c r="N43" s="504"/>
      <c r="O43" s="1794"/>
      <c r="P43" s="1794"/>
      <c r="AH43" s="1801">
        <v>0</v>
      </c>
    </row>
    <row r="44" s="9138" customFormat="1" ht="0.75" hidden="1" customHeight="1">
      <c r="A44" s="1950"/>
      <c r="B44" s="1950"/>
      <c r="C44" s="539" t="s">
        <v>1156</v>
      </c>
      <c r="D44" s="2632"/>
      <c r="E44" s="2374"/>
      <c r="F44" s="2553"/>
      <c r="G44" s="570"/>
      <c r="H44" s="1670"/>
      <c r="I44" s="821"/>
      <c r="J44" s="741"/>
      <c r="K44" s="1670"/>
      <c r="L44" s="384"/>
      <c r="M44" s="2340"/>
      <c r="N44" s="504"/>
      <c r="O44" s="1794"/>
      <c r="P44" s="1794"/>
      <c r="AH44" s="1801">
        <v>0</v>
      </c>
    </row>
    <row r="45" s="9138" customFormat="1" ht="18.75" hidden="1" customHeight="1">
      <c r="A45" s="1950" t="s">
        <v>206</v>
      </c>
      <c r="B45" s="1950" t="s">
        <v>207</v>
      </c>
      <c r="C45" s="539"/>
      <c r="D45" s="2632"/>
      <c r="E45" s="2374"/>
      <c r="F45" s="2553" t="str">
        <f>INDEX(PT_DIFFERENTIATION_VTAR,MATCH(A45,PT_DIFFERENTIATION_VTAR_ID,0))</f>
        <v xml:space="preserve">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313</v>
      </c>
      <c r="M45" s="2340"/>
      <c r="N45" s="504"/>
      <c r="O45" s="1794"/>
      <c r="P45" s="1794"/>
      <c r="AH45" s="1801">
        <v>0</v>
      </c>
    </row>
    <row r="46" s="9138" customFormat="1" ht="18.75" hidden="1" customHeight="1">
      <c r="A46" s="1950"/>
      <c r="B46" s="1950"/>
      <c r="C46" s="539" t="s">
        <v>1149</v>
      </c>
      <c r="D46" s="2632"/>
      <c r="E46" s="2374"/>
      <c r="F46" s="2553"/>
      <c r="G46" s="2597"/>
      <c r="H46" s="1670"/>
      <c r="I46" s="821" t="s">
        <v>1150</v>
      </c>
      <c r="J46" s="741"/>
      <c r="K46" s="1670"/>
      <c r="L46" s="384"/>
      <c r="M46" s="2340"/>
      <c r="N46" s="504"/>
      <c r="O46" s="1794"/>
      <c r="P46" s="1794"/>
      <c r="AH46" s="1801">
        <v>0</v>
      </c>
    </row>
    <row r="47" s="9138" customFormat="1" ht="0.75" hidden="1" customHeight="1">
      <c r="A47" s="1950"/>
      <c r="B47" s="1950"/>
      <c r="C47" s="539" t="s">
        <v>1156</v>
      </c>
      <c r="D47" s="2632"/>
      <c r="E47" s="2374"/>
      <c r="F47" s="2553"/>
      <c r="G47" s="570"/>
      <c r="H47" s="1670"/>
      <c r="I47" s="821"/>
      <c r="J47" s="741"/>
      <c r="K47" s="1670"/>
      <c r="L47" s="384"/>
      <c r="M47" s="2340"/>
      <c r="N47" s="504"/>
      <c r="O47" s="1794"/>
      <c r="P47" s="1794"/>
      <c r="AH47" s="1801">
        <v>0</v>
      </c>
    </row>
    <row r="48" s="9138" customFormat="1" ht="18.75" hidden="1" customHeight="1">
      <c r="A48" s="1950" t="s">
        <v>212</v>
      </c>
      <c r="B48" s="1950" t="s">
        <v>213</v>
      </c>
      <c r="C48" s="539"/>
      <c r="D48" s="2632"/>
      <c r="E48" s="2374"/>
      <c r="F48" s="2553" t="str">
        <f>INDEX(PT_DIFFERENTIATION_VTAR,MATCH(A48,PT_DIFFERENTIATION_VTAR_ID,0))</f>
        <v xml:space="preserve">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313</v>
      </c>
      <c r="M48" s="2340"/>
      <c r="N48" s="504"/>
      <c r="O48" s="1794"/>
      <c r="P48" s="1794"/>
      <c r="AH48" s="1801">
        <v>0</v>
      </c>
    </row>
    <row r="49" s="9138" customFormat="1" ht="18.75" hidden="1" customHeight="1">
      <c r="A49" s="1950"/>
      <c r="B49" s="1950"/>
      <c r="C49" s="539" t="s">
        <v>1149</v>
      </c>
      <c r="D49" s="2632"/>
      <c r="E49" s="2374"/>
      <c r="F49" s="2553"/>
      <c r="G49" s="2597"/>
      <c r="H49" s="1670"/>
      <c r="I49" s="821" t="s">
        <v>1150</v>
      </c>
      <c r="J49" s="741"/>
      <c r="K49" s="1670"/>
      <c r="L49" s="384"/>
      <c r="M49" s="2340"/>
      <c r="N49" s="504"/>
      <c r="O49" s="1794"/>
      <c r="P49" s="1794"/>
      <c r="AH49" s="1801">
        <v>0</v>
      </c>
    </row>
    <row r="50" s="9138" customFormat="1" ht="0.75" hidden="1" customHeight="1">
      <c r="A50" s="1950"/>
      <c r="B50" s="1950"/>
      <c r="C50" s="539" t="s">
        <v>1156</v>
      </c>
      <c r="D50" s="2632"/>
      <c r="E50" s="2374"/>
      <c r="F50" s="2553"/>
      <c r="G50" s="570"/>
      <c r="H50" s="1670"/>
      <c r="I50" s="821"/>
      <c r="J50" s="741"/>
      <c r="K50" s="1670"/>
      <c r="L50" s="384"/>
      <c r="M50" s="2340"/>
      <c r="N50" s="504"/>
      <c r="O50" s="1794"/>
      <c r="P50" s="1794"/>
      <c r="AH50" s="1801">
        <v>0</v>
      </c>
    </row>
    <row r="51" s="9138" customFormat="1" ht="18.75" hidden="1" customHeight="1">
      <c r="A51" s="1950" t="s">
        <v>232</v>
      </c>
      <c r="B51" s="1950" t="s">
        <v>233</v>
      </c>
      <c r="C51" s="539"/>
      <c r="D51" s="2632"/>
      <c r="E51" s="2374"/>
      <c r="F51" s="2553" t="str">
        <f>INDEX(PT_DIFFERENTIATION_VTAR,MATCH(A51,PT_DIFFERENTIATION_VTAR_ID,0))</f>
        <v xml:space="preserve">Тариф на питьевую воду (питьевое водоснабжение)</v>
      </c>
      <c r="G51" s="2597" t="str">
        <f>INDEX(PT_DIFFERENTIATION_NTAR,MATCH(B51,PT_DIFFERENTIATION_NTAR_ID,0))</f>
        <v/>
      </c>
      <c r="H51" s="2032"/>
      <c r="I51" s="1909"/>
      <c r="J51" s="1943"/>
      <c r="K51" s="2035"/>
      <c r="L51" s="2032" t="s">
        <v>313</v>
      </c>
      <c r="M51" s="2340"/>
      <c r="N51" s="504"/>
      <c r="O51" s="1794"/>
      <c r="P51" s="1794"/>
      <c r="AH51" s="1801">
        <v>0</v>
      </c>
    </row>
    <row r="52" s="9138" customFormat="1" ht="18.75" hidden="1" customHeight="1">
      <c r="A52" s="1950"/>
      <c r="B52" s="1950"/>
      <c r="C52" s="539" t="s">
        <v>1149</v>
      </c>
      <c r="D52" s="2632"/>
      <c r="E52" s="2374"/>
      <c r="F52" s="2553"/>
      <c r="G52" s="2597"/>
      <c r="H52" s="1670"/>
      <c r="I52" s="821" t="s">
        <v>1150</v>
      </c>
      <c r="J52" s="741"/>
      <c r="K52" s="1670"/>
      <c r="L52" s="384"/>
      <c r="M52" s="2340"/>
      <c r="N52" s="504"/>
      <c r="O52" s="1794"/>
      <c r="P52" s="1794"/>
      <c r="AH52" s="1801">
        <v>0</v>
      </c>
    </row>
    <row r="53" s="9138" customFormat="1" ht="0.75" hidden="1" customHeight="1">
      <c r="A53" s="1950"/>
      <c r="B53" s="1950"/>
      <c r="C53" s="539" t="s">
        <v>1156</v>
      </c>
      <c r="D53" s="2632"/>
      <c r="E53" s="2374"/>
      <c r="F53" s="2553"/>
      <c r="G53" s="570"/>
      <c r="H53" s="1670"/>
      <c r="I53" s="821"/>
      <c r="J53" s="741"/>
      <c r="K53" s="1670"/>
      <c r="L53" s="384"/>
      <c r="M53" s="2340"/>
      <c r="N53" s="504"/>
      <c r="O53" s="1794"/>
      <c r="P53" s="1794"/>
      <c r="AH53" s="1801">
        <v>0</v>
      </c>
    </row>
    <row r="54" s="9138" customFormat="1" ht="18.75" hidden="1" customHeight="1">
      <c r="A54" s="1950" t="s">
        <v>237</v>
      </c>
      <c r="B54" s="1950" t="s">
        <v>238</v>
      </c>
      <c r="C54" s="539"/>
      <c r="D54" s="2632"/>
      <c r="E54" s="2374"/>
      <c r="F54" s="2553" t="str">
        <f>INDEX(PT_DIFFERENTIATION_VTAR,MATCH(A54,PT_DIFFERENTIATION_VTAR_ID,0))</f>
        <v xml:space="preserve">Тариф на техническую воду</v>
      </c>
      <c r="G54" s="2597" t="str">
        <f>INDEX(PT_DIFFERENTIATION_NTAR,MATCH(B54,PT_DIFFERENTIATION_NTAR_ID,0))</f>
        <v/>
      </c>
      <c r="H54" s="2032"/>
      <c r="I54" s="1909"/>
      <c r="J54" s="1943"/>
      <c r="K54" s="2035"/>
      <c r="L54" s="2032" t="s">
        <v>313</v>
      </c>
      <c r="M54" s="2340"/>
      <c r="N54" s="504"/>
      <c r="O54" s="1794"/>
      <c r="P54" s="1794"/>
      <c r="AH54" s="1801">
        <v>0</v>
      </c>
    </row>
    <row r="55" s="9138" customFormat="1" ht="18.75" hidden="1" customHeight="1">
      <c r="A55" s="1950"/>
      <c r="B55" s="1950"/>
      <c r="C55" s="539" t="s">
        <v>1149</v>
      </c>
      <c r="D55" s="2632"/>
      <c r="E55" s="2374"/>
      <c r="F55" s="2553"/>
      <c r="G55" s="2597"/>
      <c r="H55" s="1670"/>
      <c r="I55" s="821" t="s">
        <v>1150</v>
      </c>
      <c r="J55" s="741"/>
      <c r="K55" s="1670"/>
      <c r="L55" s="384"/>
      <c r="M55" s="2340"/>
      <c r="N55" s="504"/>
      <c r="O55" s="1794"/>
      <c r="P55" s="1794"/>
      <c r="AH55" s="1801">
        <v>0</v>
      </c>
    </row>
    <row r="56" s="9138" customFormat="1" ht="0.75" hidden="1" customHeight="1">
      <c r="A56" s="1950"/>
      <c r="B56" s="1950"/>
      <c r="C56" s="539" t="s">
        <v>1156</v>
      </c>
      <c r="D56" s="2632"/>
      <c r="E56" s="2374"/>
      <c r="F56" s="2553"/>
      <c r="G56" s="570"/>
      <c r="H56" s="1670"/>
      <c r="I56" s="821"/>
      <c r="J56" s="741"/>
      <c r="K56" s="1670"/>
      <c r="L56" s="384"/>
      <c r="M56" s="2340"/>
      <c r="N56" s="504"/>
      <c r="O56" s="1794"/>
      <c r="P56" s="1794"/>
      <c r="AH56" s="1801">
        <v>0</v>
      </c>
    </row>
    <row r="57" s="9138" customFormat="1" ht="18.75" hidden="1" customHeight="1">
      <c r="A57" s="1950" t="s">
        <v>242</v>
      </c>
      <c r="B57" s="1950" t="s">
        <v>243</v>
      </c>
      <c r="C57" s="539"/>
      <c r="D57" s="2632"/>
      <c r="E57" s="2374"/>
      <c r="F57" s="2553" t="str">
        <f>INDEX(PT_DIFFERENTIATION_VTAR,MATCH(A57,PT_DIFFERENTIATION_VTAR_ID,0))</f>
        <v xml:space="preserve">Тариф на транспортировку воды</v>
      </c>
      <c r="G57" s="2597" t="str">
        <f>INDEX(PT_DIFFERENTIATION_NTAR,MATCH(B57,PT_DIFFERENTIATION_NTAR_ID,0))</f>
        <v/>
      </c>
      <c r="H57" s="2032"/>
      <c r="I57" s="1909"/>
      <c r="J57" s="1943"/>
      <c r="K57" s="2035"/>
      <c r="L57" s="2032" t="s">
        <v>313</v>
      </c>
      <c r="M57" s="2340"/>
      <c r="N57" s="504"/>
      <c r="O57" s="1794"/>
      <c r="P57" s="1794"/>
      <c r="AH57" s="1801">
        <v>0</v>
      </c>
    </row>
    <row r="58" s="9138" customFormat="1" ht="18.75" hidden="1" customHeight="1">
      <c r="A58" s="1950"/>
      <c r="B58" s="1950"/>
      <c r="C58" s="539" t="s">
        <v>1149</v>
      </c>
      <c r="D58" s="2632"/>
      <c r="E58" s="2374"/>
      <c r="F58" s="2553"/>
      <c r="G58" s="2597"/>
      <c r="H58" s="1670"/>
      <c r="I58" s="821" t="s">
        <v>1150</v>
      </c>
      <c r="J58" s="741"/>
      <c r="K58" s="1670"/>
      <c r="L58" s="384"/>
      <c r="M58" s="2340"/>
      <c r="N58" s="504"/>
      <c r="O58" s="1794"/>
      <c r="P58" s="1794"/>
      <c r="AH58" s="1801">
        <v>0</v>
      </c>
    </row>
    <row r="59" s="9138" customFormat="1" ht="0.75" hidden="1" customHeight="1">
      <c r="A59" s="1950"/>
      <c r="B59" s="1950"/>
      <c r="C59" s="539" t="s">
        <v>1156</v>
      </c>
      <c r="D59" s="2632"/>
      <c r="E59" s="2374"/>
      <c r="F59" s="2553"/>
      <c r="G59" s="570"/>
      <c r="H59" s="1670"/>
      <c r="I59" s="821"/>
      <c r="J59" s="741"/>
      <c r="K59" s="1670"/>
      <c r="L59" s="384"/>
      <c r="M59" s="2340"/>
      <c r="N59" s="504"/>
      <c r="O59" s="1794"/>
      <c r="P59" s="1794"/>
      <c r="AH59" s="1801">
        <v>0</v>
      </c>
    </row>
    <row r="60" s="9138" customFormat="1" ht="18.75" hidden="1" customHeight="1">
      <c r="A60" s="1950" t="s">
        <v>247</v>
      </c>
      <c r="B60" s="1950" t="s">
        <v>248</v>
      </c>
      <c r="C60" s="539"/>
      <c r="D60" s="2632"/>
      <c r="E60" s="2374"/>
      <c r="F60" s="2553" t="str">
        <f>INDEX(PT_DIFFERENTIATION_VTAR,MATCH(A60,PT_DIFFERENTIATION_VTAR_ID,0))</f>
        <v xml:space="preserve">Тариф на подвоз воды</v>
      </c>
      <c r="G60" s="2597" t="str">
        <f>INDEX(PT_DIFFERENTIATION_NTAR,MATCH(B60,PT_DIFFERENTIATION_NTAR_ID,0))</f>
        <v/>
      </c>
      <c r="H60" s="2032"/>
      <c r="I60" s="1909"/>
      <c r="J60" s="1943"/>
      <c r="K60" s="2035"/>
      <c r="L60" s="2032" t="s">
        <v>313</v>
      </c>
      <c r="M60" s="2340"/>
      <c r="N60" s="504"/>
      <c r="O60" s="1794"/>
      <c r="P60" s="1794"/>
      <c r="AH60" s="1801">
        <v>0</v>
      </c>
    </row>
    <row r="61" s="9138" customFormat="1" ht="18.75" hidden="1" customHeight="1">
      <c r="A61" s="1950"/>
      <c r="B61" s="1950"/>
      <c r="C61" s="539" t="s">
        <v>1149</v>
      </c>
      <c r="D61" s="2632"/>
      <c r="E61" s="2374"/>
      <c r="F61" s="2553"/>
      <c r="G61" s="2597"/>
      <c r="H61" s="1670"/>
      <c r="I61" s="821" t="s">
        <v>1150</v>
      </c>
      <c r="J61" s="741"/>
      <c r="K61" s="1670"/>
      <c r="L61" s="384"/>
      <c r="M61" s="2340"/>
      <c r="N61" s="504"/>
      <c r="O61" s="1794"/>
      <c r="P61" s="1794"/>
      <c r="AH61" s="1801">
        <v>0</v>
      </c>
    </row>
    <row r="62" s="9138" customFormat="1" ht="0.75" hidden="1" customHeight="1">
      <c r="A62" s="1950"/>
      <c r="B62" s="1950"/>
      <c r="C62" s="539" t="s">
        <v>1156</v>
      </c>
      <c r="D62" s="2632"/>
      <c r="E62" s="2374"/>
      <c r="F62" s="2553"/>
      <c r="G62" s="570"/>
      <c r="H62" s="1670"/>
      <c r="I62" s="821"/>
      <c r="J62" s="741"/>
      <c r="K62" s="1670"/>
      <c r="L62" s="384"/>
      <c r="M62" s="2340"/>
      <c r="N62" s="504"/>
      <c r="O62" s="1794"/>
      <c r="P62" s="1794"/>
      <c r="AH62" s="1801">
        <v>0</v>
      </c>
    </row>
    <row r="63" s="9138" customFormat="1" ht="18.75" hidden="1" customHeight="1">
      <c r="A63" s="1950" t="s">
        <v>252</v>
      </c>
      <c r="B63" s="1950" t="s">
        <v>253</v>
      </c>
      <c r="C63" s="539"/>
      <c r="D63" s="2632"/>
      <c r="E63" s="2374"/>
      <c r="F63" s="2553" t="str">
        <f>INDEX(PT_DIFFERENTIATION_VTAR,MATCH(A63,PT_DIFFERENTIATION_VTAR_ID,0))</f>
        <v xml:space="preserve">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313</v>
      </c>
      <c r="M63" s="2340"/>
      <c r="N63" s="504"/>
      <c r="O63" s="1794"/>
      <c r="P63" s="1794"/>
      <c r="AH63" s="1801">
        <v>0</v>
      </c>
    </row>
    <row r="64" s="9138" customFormat="1" ht="18.75" hidden="1" customHeight="1">
      <c r="A64" s="1950"/>
      <c r="B64" s="1950"/>
      <c r="C64" s="539" t="s">
        <v>1149</v>
      </c>
      <c r="D64" s="2632"/>
      <c r="E64" s="2374"/>
      <c r="F64" s="2553"/>
      <c r="G64" s="2597"/>
      <c r="H64" s="1670"/>
      <c r="I64" s="821" t="s">
        <v>1150</v>
      </c>
      <c r="J64" s="741"/>
      <c r="K64" s="1670"/>
      <c r="L64" s="384"/>
      <c r="M64" s="2340"/>
      <c r="N64" s="504"/>
      <c r="O64" s="1794"/>
      <c r="P64" s="1794"/>
      <c r="AH64" s="1801">
        <v>0</v>
      </c>
    </row>
    <row r="65" s="9138" customFormat="1" ht="0.75" hidden="1" customHeight="1">
      <c r="A65" s="1950"/>
      <c r="B65" s="1950"/>
      <c r="C65" s="539" t="s">
        <v>1156</v>
      </c>
      <c r="D65" s="2632"/>
      <c r="E65" s="2374"/>
      <c r="F65" s="2553"/>
      <c r="G65" s="570"/>
      <c r="H65" s="1670"/>
      <c r="I65" s="821"/>
      <c r="J65" s="741"/>
      <c r="K65" s="1670"/>
      <c r="L65" s="384"/>
      <c r="M65" s="2340"/>
      <c r="N65" s="504"/>
      <c r="O65" s="1794"/>
      <c r="P65" s="1794"/>
      <c r="AH65" s="1801">
        <v>0</v>
      </c>
    </row>
    <row r="66" s="9138" customFormat="1" ht="18.75" hidden="1" customHeight="1">
      <c r="A66" s="1950" t="s">
        <v>257</v>
      </c>
      <c r="B66" s="1950" t="s">
        <v>258</v>
      </c>
      <c r="C66" s="539"/>
      <c r="D66" s="2632"/>
      <c r="E66" s="2374"/>
      <c r="F66" s="2553" t="str">
        <f>INDEX(PT_DIFFERENTIATION_VTAR,MATCH(A66,PT_DIFFERENTIATION_VTAR_ID,0))</f>
        <v xml:space="preserve">Тариф на горячую воду (горячее водоснабжение)</v>
      </c>
      <c r="G66" s="2597" t="str">
        <f>INDEX(PT_DIFFERENTIATION_NTAR,MATCH(B66,PT_DIFFERENTIATION_NTAR_ID,0))</f>
        <v/>
      </c>
      <c r="H66" s="2032"/>
      <c r="I66" s="1909"/>
      <c r="J66" s="1943"/>
      <c r="K66" s="2035"/>
      <c r="L66" s="2032" t="s">
        <v>313</v>
      </c>
      <c r="M66" s="2340"/>
      <c r="N66" s="504"/>
      <c r="O66" s="1794"/>
      <c r="P66" s="1794"/>
      <c r="AH66" s="1801">
        <v>0</v>
      </c>
    </row>
    <row r="67" s="9138" customFormat="1" ht="18.75" hidden="1" customHeight="1">
      <c r="A67" s="1950"/>
      <c r="B67" s="1950"/>
      <c r="C67" s="539" t="s">
        <v>1149</v>
      </c>
      <c r="D67" s="2632"/>
      <c r="E67" s="2374"/>
      <c r="F67" s="2553"/>
      <c r="G67" s="2597"/>
      <c r="H67" s="1670"/>
      <c r="I67" s="821" t="s">
        <v>1150</v>
      </c>
      <c r="J67" s="741"/>
      <c r="K67" s="1670"/>
      <c r="L67" s="384"/>
      <c r="M67" s="2340"/>
      <c r="N67" s="504"/>
      <c r="O67" s="1794"/>
      <c r="P67" s="1794"/>
      <c r="AH67" s="1801">
        <v>0</v>
      </c>
    </row>
    <row r="68" s="9138" customFormat="1" ht="0.75" hidden="1" customHeight="1">
      <c r="A68" s="1950"/>
      <c r="B68" s="1950"/>
      <c r="C68" s="539" t="s">
        <v>1156</v>
      </c>
      <c r="D68" s="2632"/>
      <c r="E68" s="2374"/>
      <c r="F68" s="2553"/>
      <c r="G68" s="570"/>
      <c r="H68" s="1670"/>
      <c r="I68" s="821"/>
      <c r="J68" s="741"/>
      <c r="K68" s="1670"/>
      <c r="L68" s="384"/>
      <c r="M68" s="2340"/>
      <c r="N68" s="504"/>
      <c r="O68" s="1794"/>
      <c r="P68" s="1794"/>
      <c r="AH68" s="1801">
        <v>0</v>
      </c>
    </row>
    <row r="69" s="9138" customFormat="1" ht="18.75" hidden="1" customHeight="1">
      <c r="A69" s="1950" t="s">
        <v>262</v>
      </c>
      <c r="B69" s="1950" t="s">
        <v>263</v>
      </c>
      <c r="C69" s="539"/>
      <c r="D69" s="2632"/>
      <c r="E69" s="2374"/>
      <c r="F69" s="2553" t="str">
        <f>INDEX(PT_DIFFERENTIATION_VTAR,MATCH(A69,PT_DIFFERENTIATION_VTAR_ID,0))</f>
        <v xml:space="preserve">Тариф на транспортировку горячей воды</v>
      </c>
      <c r="G69" s="2597" t="str">
        <f>INDEX(PT_DIFFERENTIATION_NTAR,MATCH(B69,PT_DIFFERENTIATION_NTAR_ID,0))</f>
        <v/>
      </c>
      <c r="H69" s="2032"/>
      <c r="I69" s="1909"/>
      <c r="J69" s="1943"/>
      <c r="K69" s="2035"/>
      <c r="L69" s="2032" t="s">
        <v>313</v>
      </c>
      <c r="M69" s="2340"/>
      <c r="N69" s="504"/>
      <c r="O69" s="1794"/>
      <c r="P69" s="1794"/>
      <c r="AH69" s="1801">
        <v>0</v>
      </c>
    </row>
    <row r="70" s="9138" customFormat="1" ht="18.75" hidden="1" customHeight="1">
      <c r="A70" s="1950"/>
      <c r="B70" s="1950"/>
      <c r="C70" s="539" t="s">
        <v>1149</v>
      </c>
      <c r="D70" s="2632"/>
      <c r="E70" s="2374"/>
      <c r="F70" s="2553"/>
      <c r="G70" s="2597"/>
      <c r="H70" s="1670"/>
      <c r="I70" s="821" t="s">
        <v>1150</v>
      </c>
      <c r="J70" s="741"/>
      <c r="K70" s="1670"/>
      <c r="L70" s="384"/>
      <c r="M70" s="2340"/>
      <c r="N70" s="504"/>
      <c r="O70" s="1794"/>
      <c r="P70" s="1794"/>
      <c r="AH70" s="1801">
        <v>0</v>
      </c>
    </row>
    <row r="71" s="9138" customFormat="1" ht="0.75" hidden="1" customHeight="1">
      <c r="A71" s="1950"/>
      <c r="B71" s="1950"/>
      <c r="C71" s="539" t="s">
        <v>1156</v>
      </c>
      <c r="D71" s="2632"/>
      <c r="E71" s="2374"/>
      <c r="F71" s="2553"/>
      <c r="G71" s="570"/>
      <c r="H71" s="1670"/>
      <c r="I71" s="821"/>
      <c r="J71" s="741"/>
      <c r="K71" s="1670"/>
      <c r="L71" s="384"/>
      <c r="M71" s="2340"/>
      <c r="N71" s="504"/>
      <c r="O71" s="1794"/>
      <c r="P71" s="1794"/>
      <c r="AH71" s="1801">
        <v>0</v>
      </c>
    </row>
    <row r="72" s="9138" customFormat="1" ht="18.75" hidden="1" customHeight="1">
      <c r="A72" s="1950" t="s">
        <v>267</v>
      </c>
      <c r="B72" s="1950" t="s">
        <v>268</v>
      </c>
      <c r="C72" s="539"/>
      <c r="D72" s="2632"/>
      <c r="E72" s="2374"/>
      <c r="F72" s="2553" t="str">
        <f>INDEX(PT_DIFFERENTIATION_VTAR,MATCH(A72,PT_DIFFERENTIATION_VTAR_ID,0))</f>
        <v xml:space="preserve">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313</v>
      </c>
      <c r="M72" s="2340"/>
      <c r="N72" s="504"/>
      <c r="O72" s="1794"/>
      <c r="P72" s="1794"/>
      <c r="AH72" s="1801">
        <v>0</v>
      </c>
    </row>
    <row r="73" s="9138" customFormat="1" ht="18.75" hidden="1" customHeight="1">
      <c r="A73" s="1950"/>
      <c r="B73" s="1950"/>
      <c r="C73" s="539" t="s">
        <v>1149</v>
      </c>
      <c r="D73" s="2632"/>
      <c r="E73" s="2374"/>
      <c r="F73" s="2553"/>
      <c r="G73" s="2597"/>
      <c r="H73" s="1670"/>
      <c r="I73" s="821" t="s">
        <v>1150</v>
      </c>
      <c r="J73" s="741"/>
      <c r="K73" s="1670"/>
      <c r="L73" s="384"/>
      <c r="M73" s="2340"/>
      <c r="N73" s="504"/>
      <c r="O73" s="1794"/>
      <c r="P73" s="1794"/>
      <c r="AH73" s="1801">
        <v>0</v>
      </c>
    </row>
    <row r="74" s="9138" customFormat="1" ht="0.75" hidden="1" customHeight="1">
      <c r="A74" s="1950"/>
      <c r="B74" s="1950"/>
      <c r="C74" s="539" t="s">
        <v>1156</v>
      </c>
      <c r="D74" s="2632"/>
      <c r="E74" s="2374"/>
      <c r="F74" s="2553"/>
      <c r="G74" s="570"/>
      <c r="H74" s="1670"/>
      <c r="I74" s="821"/>
      <c r="J74" s="741"/>
      <c r="K74" s="1670"/>
      <c r="L74" s="384"/>
      <c r="M74" s="2340"/>
      <c r="N74" s="504"/>
      <c r="O74" s="1794"/>
      <c r="P74" s="1794"/>
      <c r="AH74" s="1801">
        <v>0</v>
      </c>
    </row>
    <row r="75" s="9138" customFormat="1" ht="18.75" hidden="1" customHeight="1">
      <c r="A75" s="1950" t="s">
        <v>272</v>
      </c>
      <c r="B75" s="1950" t="s">
        <v>273</v>
      </c>
      <c r="C75" s="539"/>
      <c r="D75" s="2632"/>
      <c r="E75" s="2374"/>
      <c r="F75" s="2553" t="str">
        <f>INDEX(PT_DIFFERENTIATION_VTAR,MATCH(A75,PT_DIFFERENTIATION_VTAR_ID,0))</f>
        <v xml:space="preserve">Тариф на водоотведение</v>
      </c>
      <c r="G75" s="2597" t="str">
        <f>INDEX(PT_DIFFERENTIATION_NTAR,MATCH(B75,PT_DIFFERENTIATION_NTAR_ID,0))</f>
        <v/>
      </c>
      <c r="H75" s="2032"/>
      <c r="I75" s="1909"/>
      <c r="J75" s="1943"/>
      <c r="K75" s="2035"/>
      <c r="L75" s="2032" t="s">
        <v>313</v>
      </c>
      <c r="M75" s="2340"/>
      <c r="N75" s="504"/>
      <c r="O75" s="1794"/>
      <c r="P75" s="1794"/>
      <c r="AH75" s="1801">
        <v>0</v>
      </c>
    </row>
    <row r="76" s="9138" customFormat="1" ht="18.75" hidden="1" customHeight="1">
      <c r="A76" s="1950"/>
      <c r="B76" s="1950"/>
      <c r="C76" s="539" t="s">
        <v>1149</v>
      </c>
      <c r="D76" s="2632"/>
      <c r="E76" s="2374"/>
      <c r="F76" s="2553"/>
      <c r="G76" s="2597"/>
      <c r="H76" s="1670"/>
      <c r="I76" s="821" t="s">
        <v>1150</v>
      </c>
      <c r="J76" s="741"/>
      <c r="K76" s="1670"/>
      <c r="L76" s="384"/>
      <c r="M76" s="2340"/>
      <c r="N76" s="504"/>
      <c r="O76" s="1794"/>
      <c r="P76" s="1794"/>
      <c r="AH76" s="1801">
        <v>0</v>
      </c>
    </row>
    <row r="77" s="9138" customFormat="1" ht="0.75" hidden="1" customHeight="1">
      <c r="A77" s="1950"/>
      <c r="B77" s="1950"/>
      <c r="C77" s="539" t="s">
        <v>1156</v>
      </c>
      <c r="D77" s="2632"/>
      <c r="E77" s="2374"/>
      <c r="F77" s="2553"/>
      <c r="G77" s="570"/>
      <c r="H77" s="1670"/>
      <c r="I77" s="821"/>
      <c r="J77" s="741"/>
      <c r="K77" s="1670"/>
      <c r="L77" s="384"/>
      <c r="M77" s="2340"/>
      <c r="N77" s="504"/>
      <c r="O77" s="1794"/>
      <c r="P77" s="1794"/>
      <c r="AH77" s="1801">
        <v>0</v>
      </c>
    </row>
    <row r="78" s="9138" customFormat="1" ht="18.75" hidden="1" customHeight="1">
      <c r="A78" s="1950" t="s">
        <v>277</v>
      </c>
      <c r="B78" s="1950" t="s">
        <v>278</v>
      </c>
      <c r="C78" s="539"/>
      <c r="D78" s="2632"/>
      <c r="E78" s="2374"/>
      <c r="F78" s="2553" t="str">
        <f>INDEX(PT_DIFFERENTIATION_VTAR,MATCH(A78,PT_DIFFERENTIATION_VTAR_ID,0))</f>
        <v xml:space="preserve">Тариф на транспортировку сточных вод</v>
      </c>
      <c r="G78" s="2597" t="str">
        <f>INDEX(PT_DIFFERENTIATION_NTAR,MATCH(B78,PT_DIFFERENTIATION_NTAR_ID,0))</f>
        <v/>
      </c>
      <c r="H78" s="2032"/>
      <c r="I78" s="1909"/>
      <c r="J78" s="1943"/>
      <c r="K78" s="2035"/>
      <c r="L78" s="2032" t="s">
        <v>313</v>
      </c>
      <c r="M78" s="2340"/>
      <c r="N78" s="504"/>
      <c r="O78" s="1794"/>
      <c r="P78" s="1794"/>
      <c r="AH78" s="1801">
        <v>0</v>
      </c>
    </row>
    <row r="79" s="9138" customFormat="1" ht="18.75" hidden="1" customHeight="1">
      <c r="A79" s="1950"/>
      <c r="B79" s="1950"/>
      <c r="C79" s="539" t="s">
        <v>1149</v>
      </c>
      <c r="D79" s="2632"/>
      <c r="E79" s="2374"/>
      <c r="F79" s="2553"/>
      <c r="G79" s="2597"/>
      <c r="H79" s="1670"/>
      <c r="I79" s="821" t="s">
        <v>1150</v>
      </c>
      <c r="J79" s="741"/>
      <c r="K79" s="1670"/>
      <c r="L79" s="384"/>
      <c r="M79" s="2340"/>
      <c r="N79" s="504"/>
      <c r="O79" s="1794"/>
      <c r="P79" s="1794"/>
      <c r="AH79" s="1801">
        <v>0</v>
      </c>
    </row>
    <row r="80" s="9138" customFormat="1" ht="0.75" hidden="1" customHeight="1">
      <c r="A80" s="1950"/>
      <c r="B80" s="1950"/>
      <c r="C80" s="539" t="s">
        <v>1156</v>
      </c>
      <c r="D80" s="2632"/>
      <c r="E80" s="2374"/>
      <c r="F80" s="2553"/>
      <c r="G80" s="570"/>
      <c r="H80" s="1670"/>
      <c r="I80" s="821"/>
      <c r="J80" s="741"/>
      <c r="K80" s="1670"/>
      <c r="L80" s="384"/>
      <c r="M80" s="2340"/>
      <c r="N80" s="504"/>
      <c r="O80" s="1794"/>
      <c r="P80" s="1794"/>
      <c r="AH80" s="1801">
        <v>0</v>
      </c>
    </row>
    <row r="81" s="9138" customFormat="1" ht="18.75" hidden="1" customHeight="1">
      <c r="A81" s="1950" t="s">
        <v>282</v>
      </c>
      <c r="B81" s="1950" t="s">
        <v>283</v>
      </c>
      <c r="C81" s="539"/>
      <c r="D81" s="2632"/>
      <c r="E81" s="2374"/>
      <c r="F81" s="2553" t="str">
        <f>INDEX(PT_DIFFERENTIATION_VTAR,MATCH(A81,PT_DIFFERENTIATION_VTAR_ID,0))</f>
        <v xml:space="preserve">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313</v>
      </c>
      <c r="M81" s="2340"/>
      <c r="N81" s="504"/>
      <c r="O81" s="1794"/>
      <c r="P81" s="1794"/>
      <c r="AH81" s="1801">
        <v>0</v>
      </c>
    </row>
    <row r="82" s="9138" customFormat="1" ht="18.75" hidden="1" customHeight="1">
      <c r="A82" s="1950"/>
      <c r="B82" s="1950"/>
      <c r="C82" s="539" t="s">
        <v>1149</v>
      </c>
      <c r="D82" s="2632"/>
      <c r="E82" s="2374"/>
      <c r="F82" s="2553"/>
      <c r="G82" s="2597"/>
      <c r="H82" s="1670"/>
      <c r="I82" s="821" t="s">
        <v>1150</v>
      </c>
      <c r="J82" s="741"/>
      <c r="K82" s="1670"/>
      <c r="L82" s="384"/>
      <c r="M82" s="2340"/>
      <c r="N82" s="504"/>
      <c r="O82" s="1794"/>
      <c r="P82" s="1794"/>
      <c r="AH82" s="1801">
        <v>0</v>
      </c>
    </row>
    <row r="83" s="9138" customFormat="1" ht="1.05" customHeight="1">
      <c r="A83" s="1950"/>
      <c r="B83" s="1950"/>
      <c r="C83" s="539" t="s">
        <v>1156</v>
      </c>
      <c r="D83" s="2632"/>
      <c r="E83" s="2374"/>
      <c r="F83" s="2553"/>
      <c r="G83" s="570"/>
      <c r="H83" s="1670"/>
      <c r="I83" s="821"/>
      <c r="J83" s="741"/>
      <c r="K83" s="1670"/>
      <c r="L83" s="384"/>
      <c r="M83" s="2340"/>
      <c r="N83" s="504"/>
      <c r="O83" s="1794"/>
      <c r="P83" s="1794"/>
      <c r="AH83" s="1801">
        <v>1</v>
      </c>
    </row>
    <row r="84" ht="19.949999999999999" customHeight="1">
      <c r="A84" s="1950"/>
      <c r="B84" s="1950"/>
      <c r="D84" s="546"/>
      <c r="E84" s="317" t="s">
        <v>111</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 xml:space="preserve">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630"/>
      <c r="H84" s="2630"/>
      <c r="I84" s="2630"/>
      <c r="J84" s="2630"/>
      <c r="K84" s="2630"/>
      <c r="L84" s="2630"/>
      <c r="M84" s="467"/>
      <c r="N84" s="504"/>
      <c r="AH84" s="544">
        <v>19</v>
      </c>
    </row>
    <row r="85" ht="36" customHeight="1">
      <c r="A85" s="1950"/>
      <c r="B85" s="1950"/>
      <c r="D85" s="546"/>
      <c r="E85" s="569"/>
      <c r="F85" s="368" t="s">
        <v>313</v>
      </c>
      <c r="G85" s="368" t="s">
        <v>313</v>
      </c>
      <c r="H85" s="2388" t="s">
        <v>313</v>
      </c>
      <c r="I85" s="2390"/>
      <c r="J85" s="368" t="s">
        <v>313</v>
      </c>
      <c r="K85" s="368" t="s">
        <v>313</v>
      </c>
      <c r="L85" s="5178" t="s">
        <v>1157</v>
      </c>
      <c r="M85" s="515" t="s">
        <v>1158</v>
      </c>
      <c r="N85" s="504"/>
      <c r="AH85" s="544">
        <v>34</v>
      </c>
    </row>
    <row r="86" ht="19.949999999999999" customHeight="1">
      <c r="A86" s="1950"/>
      <c r="B86" s="1950"/>
      <c r="D86" s="546"/>
      <c r="E86" s="317" t="s">
        <v>91</v>
      </c>
      <c r="F86" s="2630" t="s">
        <v>1159</v>
      </c>
      <c r="G86" s="2630"/>
      <c r="H86" s="2630"/>
      <c r="I86" s="2630"/>
      <c r="J86" s="2630"/>
      <c r="K86" s="2630"/>
      <c r="L86" s="2630"/>
      <c r="M86" s="467"/>
      <c r="N86" s="504"/>
      <c r="AH86" s="544">
        <v>19</v>
      </c>
    </row>
    <row r="87" s="9138" customFormat="1" ht="60.75" customHeight="1">
      <c r="A87" s="1950" t="s">
        <v>158</v>
      </c>
      <c r="B87" s="1950" t="s">
        <v>159</v>
      </c>
      <c r="C87" s="539"/>
      <c r="D87" s="2632"/>
      <c r="E87" s="2374"/>
      <c r="F87" s="2553" t="str">
        <f>INDEX(PT_DIFFERENTIATION_VTAR,MATCH(A87,PT_DIFFERENTIATION_VTAR_ID,0))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xml:space="preserve">Тариф на тепловую энергию</v>
      </c>
      <c r="H87" s="2032"/>
      <c r="I87" s="5168">
        <v>45292</v>
      </c>
      <c r="J87" s="1943">
        <v>45657</v>
      </c>
      <c r="K87" s="1948">
        <v>3047436.3799999999</v>
      </c>
      <c r="L87" s="2032" t="s">
        <v>313</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r="88" s="11480" customFormat="1" ht="56.25" customHeight="1">
      <c r="A88" s="5179"/>
      <c r="B88" s="5179"/>
      <c r="C88" s="5180"/>
      <c r="D88" s="5181"/>
      <c r="E88" s="5182"/>
      <c r="F88" s="5182"/>
      <c r="G88" s="5182"/>
      <c r="H88" s="3907" t="s">
        <v>432</v>
      </c>
      <c r="I88" s="5168">
        <v>45658</v>
      </c>
      <c r="J88" s="5169">
        <v>46022</v>
      </c>
      <c r="K88" s="5183">
        <v>3748164.3300000001</v>
      </c>
      <c r="L88" s="3909" t="s">
        <v>313</v>
      </c>
      <c r="M88" s="5184"/>
      <c r="N88" s="5185"/>
      <c r="O88" s="5186"/>
      <c r="P88" s="5186"/>
      <c r="Q88" s="3649"/>
      <c r="R88" s="3649"/>
      <c r="S88" s="3649"/>
      <c r="T88" s="3649"/>
      <c r="U88" s="3649"/>
      <c r="V88" s="3649"/>
      <c r="W88" s="3649"/>
      <c r="X88" s="3649"/>
      <c r="Y88" s="3649"/>
      <c r="Z88" s="3649"/>
      <c r="AA88" s="3649"/>
      <c r="AB88" s="3649"/>
      <c r="AC88" s="3649"/>
      <c r="AD88" s="3649"/>
      <c r="AE88" s="3649"/>
      <c r="AF88" s="3649"/>
      <c r="AG88" s="3649"/>
      <c r="AH88" s="3649">
        <v>0</v>
      </c>
    </row>
    <row r="89" s="11480" customFormat="1" ht="56.25" customHeight="1">
      <c r="A89" s="5179"/>
      <c r="B89" s="5179"/>
      <c r="C89" s="5180"/>
      <c r="D89" s="5181"/>
      <c r="E89" s="5182"/>
      <c r="F89" s="5182"/>
      <c r="G89" s="5182"/>
      <c r="H89" s="3907" t="s">
        <v>432</v>
      </c>
      <c r="I89" s="5168">
        <v>46023</v>
      </c>
      <c r="J89" s="5169">
        <v>46387</v>
      </c>
      <c r="K89" s="5183">
        <v>2422710.8700000001</v>
      </c>
      <c r="L89" s="3909" t="s">
        <v>313</v>
      </c>
      <c r="M89" s="5184"/>
      <c r="N89" s="5185"/>
      <c r="O89" s="5186"/>
      <c r="P89" s="5186"/>
      <c r="Q89" s="3649"/>
      <c r="R89" s="3649"/>
      <c r="S89" s="3649"/>
      <c r="T89" s="3649"/>
      <c r="U89" s="3649"/>
      <c r="V89" s="3649"/>
      <c r="W89" s="3649"/>
      <c r="X89" s="3649"/>
      <c r="Y89" s="3649"/>
      <c r="Z89" s="3649"/>
      <c r="AA89" s="3649"/>
      <c r="AB89" s="3649"/>
      <c r="AC89" s="3649"/>
      <c r="AD89" s="3649"/>
      <c r="AE89" s="3649"/>
      <c r="AF89" s="3649"/>
      <c r="AG89" s="3649"/>
      <c r="AH89" s="3649">
        <v>0</v>
      </c>
    </row>
    <row r="90" s="11480" customFormat="1" ht="56.25" customHeight="1">
      <c r="A90" s="5179"/>
      <c r="B90" s="5179"/>
      <c r="C90" s="5180"/>
      <c r="D90" s="5181"/>
      <c r="E90" s="5182"/>
      <c r="F90" s="5182"/>
      <c r="G90" s="5182"/>
      <c r="H90" s="3907" t="s">
        <v>432</v>
      </c>
      <c r="I90" s="5168">
        <v>46388</v>
      </c>
      <c r="J90" s="5169">
        <v>46752</v>
      </c>
      <c r="K90" s="5183">
        <v>2500307.02</v>
      </c>
      <c r="L90" s="3909" t="s">
        <v>313</v>
      </c>
      <c r="M90" s="5184"/>
      <c r="N90" s="5185"/>
      <c r="O90" s="5186"/>
      <c r="P90" s="5186"/>
      <c r="Q90" s="3649"/>
      <c r="R90" s="3649"/>
      <c r="S90" s="3649"/>
      <c r="T90" s="3649"/>
      <c r="U90" s="3649"/>
      <c r="V90" s="3649"/>
      <c r="W90" s="3649"/>
      <c r="X90" s="3649"/>
      <c r="Y90" s="3649"/>
      <c r="Z90" s="3649"/>
      <c r="AA90" s="3649"/>
      <c r="AB90" s="3649"/>
      <c r="AC90" s="3649"/>
      <c r="AD90" s="3649"/>
      <c r="AE90" s="3649"/>
      <c r="AF90" s="3649"/>
      <c r="AG90" s="3649"/>
      <c r="AH90" s="3649">
        <v>0</v>
      </c>
    </row>
    <row r="91" s="11480" customFormat="1" ht="56.25" customHeight="1">
      <c r="A91" s="5179"/>
      <c r="B91" s="5179"/>
      <c r="C91" s="5180"/>
      <c r="D91" s="5181"/>
      <c r="E91" s="5182"/>
      <c r="F91" s="5182"/>
      <c r="G91" s="5182"/>
      <c r="H91" s="3907" t="s">
        <v>432</v>
      </c>
      <c r="I91" s="5168">
        <v>46753</v>
      </c>
      <c r="J91" s="5169">
        <v>47118</v>
      </c>
      <c r="K91" s="5183">
        <v>2580698.7000000002</v>
      </c>
      <c r="L91" s="3909" t="s">
        <v>313</v>
      </c>
      <c r="M91" s="5184"/>
      <c r="N91" s="5185"/>
      <c r="O91" s="5186"/>
      <c r="P91" s="5186"/>
      <c r="Q91" s="3649"/>
      <c r="R91" s="3649"/>
      <c r="S91" s="3649"/>
      <c r="T91" s="3649"/>
      <c r="U91" s="3649"/>
      <c r="V91" s="3649"/>
      <c r="W91" s="3649"/>
      <c r="X91" s="3649"/>
      <c r="Y91" s="3649"/>
      <c r="Z91" s="3649"/>
      <c r="AA91" s="3649"/>
      <c r="AB91" s="3649"/>
      <c r="AC91" s="3649"/>
      <c r="AD91" s="3649"/>
      <c r="AE91" s="3649"/>
      <c r="AF91" s="3649"/>
      <c r="AG91" s="3649"/>
      <c r="AH91" s="3649">
        <v>0</v>
      </c>
    </row>
    <row r="92" s="9138" customFormat="1" ht="18.75" customHeight="1">
      <c r="A92" s="1950"/>
      <c r="B92" s="1950"/>
      <c r="C92" s="539" t="s">
        <v>1151</v>
      </c>
      <c r="D92" s="2632"/>
      <c r="E92" s="2374"/>
      <c r="F92" s="2553"/>
      <c r="G92" s="2597"/>
      <c r="H92" s="1670"/>
      <c r="I92" s="821" t="s">
        <v>1150</v>
      </c>
      <c r="J92" s="741"/>
      <c r="K92" s="1670"/>
      <c r="L92" s="384"/>
      <c r="M92" s="2340"/>
      <c r="N92" s="504"/>
      <c r="O92" s="1794"/>
      <c r="P92" s="1794"/>
      <c r="AH92" s="1801">
        <v>0</v>
      </c>
    </row>
    <row r="93" s="9138" customFormat="1" ht="0.75" customHeight="1">
      <c r="A93" s="1950"/>
      <c r="B93" s="1950"/>
      <c r="C93" s="539" t="s">
        <v>1160</v>
      </c>
      <c r="D93" s="2632"/>
      <c r="E93" s="2374"/>
      <c r="F93" s="2553"/>
      <c r="G93" s="570"/>
      <c r="H93" s="1670"/>
      <c r="I93" s="821"/>
      <c r="J93" s="741"/>
      <c r="K93" s="1670"/>
      <c r="L93" s="384"/>
      <c r="M93" s="2340"/>
      <c r="N93" s="504"/>
      <c r="O93" s="1794"/>
      <c r="P93" s="1794"/>
      <c r="AH93" s="1801">
        <v>0</v>
      </c>
    </row>
    <row r="94" s="9138" customFormat="1" ht="45" customHeight="1">
      <c r="A94" s="1950" t="s">
        <v>170</v>
      </c>
      <c r="B94" s="1950" t="s">
        <v>171</v>
      </c>
      <c r="C94" s="539"/>
      <c r="D94" s="2632"/>
      <c r="E94" s="2374"/>
      <c r="F94" s="2553" t="str">
        <f>INDEX(PT_DIFFERENTIATION_VTAR,MATCH(A94,PT_DIFFERENTIATION_VTAR_ID,0))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94" s="2597" t="str">
        <f>INDEX(PT_DIFFERENTIATION_NTAR,MATCH(B94,PT_DIFFERENTIATION_NTAR_ID,0))</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94" s="2032"/>
      <c r="I94" s="5168">
        <v>45292</v>
      </c>
      <c r="J94" s="1943">
        <v>45657</v>
      </c>
      <c r="K94" s="1948">
        <v>254953.17000000001</v>
      </c>
      <c r="L94" s="2032" t="s">
        <v>313</v>
      </c>
      <c r="M94" s="2341"/>
      <c r="N94" s="504"/>
      <c r="O94" s="1794"/>
      <c r="P94" s="1794"/>
      <c r="AH94" s="1801">
        <v>0</v>
      </c>
    </row>
    <row r="95" s="11480" customFormat="1" ht="56.25" customHeight="1">
      <c r="A95" s="5179"/>
      <c r="B95" s="5179"/>
      <c r="C95" s="5180"/>
      <c r="D95" s="5181"/>
      <c r="E95" s="5182"/>
      <c r="F95" s="5182"/>
      <c r="G95" s="5182"/>
      <c r="H95" s="3907" t="s">
        <v>432</v>
      </c>
      <c r="I95" s="5168">
        <v>45658</v>
      </c>
      <c r="J95" s="5169">
        <v>46022</v>
      </c>
      <c r="K95" s="5183">
        <v>281036.99530000001</v>
      </c>
      <c r="L95" s="3909" t="s">
        <v>313</v>
      </c>
      <c r="M95" s="5184"/>
      <c r="N95" s="5185"/>
      <c r="O95" s="5186"/>
      <c r="P95" s="5186"/>
      <c r="Q95" s="3649"/>
      <c r="R95" s="3649"/>
      <c r="S95" s="3649"/>
      <c r="T95" s="3649"/>
      <c r="U95" s="3649"/>
      <c r="V95" s="3649"/>
      <c r="W95" s="3649"/>
      <c r="X95" s="3649"/>
      <c r="Y95" s="3649"/>
      <c r="Z95" s="3649"/>
      <c r="AA95" s="3649"/>
      <c r="AB95" s="3649"/>
      <c r="AC95" s="3649"/>
      <c r="AD95" s="3649"/>
      <c r="AE95" s="3649"/>
      <c r="AF95" s="3649"/>
      <c r="AG95" s="3649"/>
      <c r="AH95" s="3649">
        <v>0</v>
      </c>
    </row>
    <row r="96" s="11480" customFormat="1" ht="56.25" customHeight="1">
      <c r="A96" s="5179"/>
      <c r="B96" s="5179"/>
      <c r="C96" s="5180"/>
      <c r="D96" s="5181"/>
      <c r="E96" s="5182"/>
      <c r="F96" s="5182"/>
      <c r="G96" s="5182"/>
      <c r="H96" s="3907" t="s">
        <v>432</v>
      </c>
      <c r="I96" s="5168">
        <v>46023</v>
      </c>
      <c r="J96" s="5169">
        <v>46387</v>
      </c>
      <c r="K96" s="5183">
        <v>194193.48999999999</v>
      </c>
      <c r="L96" s="3909" t="s">
        <v>313</v>
      </c>
      <c r="M96" s="5184"/>
      <c r="N96" s="5185"/>
      <c r="O96" s="5186"/>
      <c r="P96" s="5186"/>
      <c r="Q96" s="3649"/>
      <c r="R96" s="3649"/>
      <c r="S96" s="3649"/>
      <c r="T96" s="3649"/>
      <c r="U96" s="3649"/>
      <c r="V96" s="3649"/>
      <c r="W96" s="3649"/>
      <c r="X96" s="3649"/>
      <c r="Y96" s="3649"/>
      <c r="Z96" s="3649"/>
      <c r="AA96" s="3649"/>
      <c r="AB96" s="3649"/>
      <c r="AC96" s="3649"/>
      <c r="AD96" s="3649"/>
      <c r="AE96" s="3649"/>
      <c r="AF96" s="3649"/>
      <c r="AG96" s="3649"/>
      <c r="AH96" s="3649">
        <v>0</v>
      </c>
    </row>
    <row r="97" s="11480" customFormat="1" ht="56.25" customHeight="1">
      <c r="A97" s="5179"/>
      <c r="B97" s="5179"/>
      <c r="C97" s="5180"/>
      <c r="D97" s="5181"/>
      <c r="E97" s="5182"/>
      <c r="F97" s="5182"/>
      <c r="G97" s="5182"/>
      <c r="H97" s="3907" t="s">
        <v>432</v>
      </c>
      <c r="I97" s="5168">
        <v>46388</v>
      </c>
      <c r="J97" s="5169">
        <v>46752</v>
      </c>
      <c r="K97" s="5183">
        <v>200319.5</v>
      </c>
      <c r="L97" s="3909" t="s">
        <v>313</v>
      </c>
      <c r="M97" s="5184"/>
      <c r="N97" s="5185"/>
      <c r="O97" s="5186"/>
      <c r="P97" s="5186"/>
      <c r="Q97" s="3649"/>
      <c r="R97" s="3649"/>
      <c r="S97" s="3649"/>
      <c r="T97" s="3649"/>
      <c r="U97" s="3649"/>
      <c r="V97" s="3649"/>
      <c r="W97" s="3649"/>
      <c r="X97" s="3649"/>
      <c r="Y97" s="3649"/>
      <c r="Z97" s="3649"/>
      <c r="AA97" s="3649"/>
      <c r="AB97" s="3649"/>
      <c r="AC97" s="3649"/>
      <c r="AD97" s="3649"/>
      <c r="AE97" s="3649"/>
      <c r="AF97" s="3649"/>
      <c r="AG97" s="3649"/>
      <c r="AH97" s="3649">
        <v>0</v>
      </c>
    </row>
    <row r="98" s="11480" customFormat="1" ht="56.25" customHeight="1">
      <c r="A98" s="5179"/>
      <c r="B98" s="5179"/>
      <c r="C98" s="5180"/>
      <c r="D98" s="5181"/>
      <c r="E98" s="5182"/>
      <c r="F98" s="5182"/>
      <c r="G98" s="5182"/>
      <c r="H98" s="3907" t="s">
        <v>432</v>
      </c>
      <c r="I98" s="5168">
        <v>46753</v>
      </c>
      <c r="J98" s="5169">
        <v>47118</v>
      </c>
      <c r="K98" s="5183">
        <v>206665.13</v>
      </c>
      <c r="L98" s="3909" t="s">
        <v>313</v>
      </c>
      <c r="M98" s="5184"/>
      <c r="N98" s="5185"/>
      <c r="O98" s="5186"/>
      <c r="P98" s="5186"/>
      <c r="Q98" s="3649"/>
      <c r="R98" s="3649"/>
      <c r="S98" s="3649"/>
      <c r="T98" s="3649"/>
      <c r="U98" s="3649"/>
      <c r="V98" s="3649"/>
      <c r="W98" s="3649"/>
      <c r="X98" s="3649"/>
      <c r="Y98" s="3649"/>
      <c r="Z98" s="3649"/>
      <c r="AA98" s="3649"/>
      <c r="AB98" s="3649"/>
      <c r="AC98" s="3649"/>
      <c r="AD98" s="3649"/>
      <c r="AE98" s="3649"/>
      <c r="AF98" s="3649"/>
      <c r="AG98" s="3649"/>
      <c r="AH98" s="3649">
        <v>0</v>
      </c>
    </row>
    <row r="99" s="9138" customFormat="1" ht="18.75" customHeight="1">
      <c r="A99" s="1950"/>
      <c r="B99" s="1950"/>
      <c r="C99" s="539" t="s">
        <v>1151</v>
      </c>
      <c r="D99" s="2632"/>
      <c r="E99" s="2374"/>
      <c r="F99" s="2553"/>
      <c r="G99" s="2597"/>
      <c r="H99" s="1670"/>
      <c r="I99" s="821" t="s">
        <v>1150</v>
      </c>
      <c r="J99" s="741"/>
      <c r="K99" s="1670"/>
      <c r="L99" s="384"/>
      <c r="M99" s="2031"/>
      <c r="N99" s="504"/>
      <c r="O99" s="1794"/>
      <c r="P99" s="1794"/>
      <c r="AH99" s="1801">
        <v>0</v>
      </c>
    </row>
    <row r="100" s="9138" customFormat="1" ht="0.75" customHeight="1">
      <c r="A100" s="1950"/>
      <c r="B100" s="1950"/>
      <c r="C100" s="539" t="s">
        <v>1160</v>
      </c>
      <c r="D100" s="2632"/>
      <c r="E100" s="2374"/>
      <c r="F100" s="2553"/>
      <c r="G100" s="570"/>
      <c r="H100" s="1670"/>
      <c r="I100" s="821"/>
      <c r="J100" s="741"/>
      <c r="K100" s="1670"/>
      <c r="L100" s="384"/>
      <c r="M100" s="511"/>
      <c r="N100" s="504"/>
      <c r="O100" s="1794"/>
      <c r="P100" s="1794"/>
      <c r="AH100" s="1801">
        <v>0</v>
      </c>
    </row>
    <row r="101" s="9138" customFormat="1" ht="45" hidden="1" customHeight="1">
      <c r="A101" s="1950" t="s">
        <v>176</v>
      </c>
      <c r="B101" s="1950" t="s">
        <v>177</v>
      </c>
      <c r="C101" s="539"/>
      <c r="D101" s="2632"/>
      <c r="E101" s="2374"/>
      <c r="F101" s="2553" t="str">
        <f>INDEX(PT_DIFFERENTIATION_VTAR,MATCH(A101,PT_DIFFERENTIATION_VTAR_ID,0))</f>
        <v xml:space="preserve">Тарифы на теплоноситель, поставляемый теплоснабжающими организациями потребителям, другим теплоснабжающим организациям</v>
      </c>
      <c r="G101" s="2597" t="str">
        <f>INDEX(PT_DIFFERENTIATION_NTAR,MATCH(B101,PT_DIFFERENTIATION_NTAR_ID,0))</f>
        <v/>
      </c>
      <c r="H101" s="2032"/>
      <c r="I101" s="1909"/>
      <c r="J101" s="1943"/>
      <c r="K101" s="1948"/>
      <c r="L101" s="2032" t="s">
        <v>313</v>
      </c>
      <c r="M101" s="511"/>
      <c r="N101" s="504"/>
      <c r="O101" s="1794"/>
      <c r="P101" s="1794"/>
      <c r="AH101" s="1801">
        <v>0</v>
      </c>
    </row>
    <row r="102" s="9138" customFormat="1" ht="18.75" hidden="1" customHeight="1">
      <c r="A102" s="1950"/>
      <c r="B102" s="1950"/>
      <c r="C102" s="539" t="s">
        <v>1151</v>
      </c>
      <c r="D102" s="2632"/>
      <c r="E102" s="2374"/>
      <c r="F102" s="2553"/>
      <c r="G102" s="2597"/>
      <c r="H102" s="1670"/>
      <c r="I102" s="821" t="s">
        <v>1150</v>
      </c>
      <c r="J102" s="741"/>
      <c r="K102" s="1670"/>
      <c r="L102" s="384"/>
      <c r="M102" s="511"/>
      <c r="N102" s="504"/>
      <c r="O102" s="1794"/>
      <c r="P102" s="1794"/>
      <c r="AH102" s="1801">
        <v>0</v>
      </c>
    </row>
    <row r="103" s="9138" customFormat="1" ht="0.75" hidden="1" customHeight="1">
      <c r="A103" s="1950"/>
      <c r="B103" s="1950"/>
      <c r="C103" s="539" t="s">
        <v>1160</v>
      </c>
      <c r="D103" s="2632"/>
      <c r="E103" s="2374"/>
      <c r="F103" s="2553"/>
      <c r="G103" s="570"/>
      <c r="H103" s="1670"/>
      <c r="I103" s="821"/>
      <c r="J103" s="741"/>
      <c r="K103" s="1670"/>
      <c r="L103" s="384"/>
      <c r="M103" s="511"/>
      <c r="N103" s="504"/>
      <c r="O103" s="1794"/>
      <c r="P103" s="1794"/>
      <c r="AH103" s="1801">
        <v>0</v>
      </c>
    </row>
    <row r="104" s="9138" customFormat="1" ht="45" hidden="1" customHeight="1">
      <c r="A104" s="1950" t="s">
        <v>182</v>
      </c>
      <c r="B104" s="1950" t="s">
        <v>183</v>
      </c>
      <c r="C104" s="539"/>
      <c r="D104" s="2632"/>
      <c r="E104" s="2374"/>
      <c r="F104" s="2553" t="str">
        <f>INDEX(PT_DIFFERENTIATION_VTAR,MATCH(A104,PT_DIFFERENTIATION_VTAR_ID,0))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597" t="str">
        <f>INDEX(PT_DIFFERENTIATION_NTAR,MATCH(B104,PT_DIFFERENTIATION_NTAR_ID,0))</f>
        <v/>
      </c>
      <c r="H104" s="2032"/>
      <c r="I104" s="1909"/>
      <c r="J104" s="1943"/>
      <c r="K104" s="1948"/>
      <c r="L104" s="2032" t="s">
        <v>313</v>
      </c>
      <c r="M104" s="511"/>
      <c r="N104" s="504"/>
      <c r="O104" s="1794"/>
      <c r="P104" s="1794"/>
      <c r="AH104" s="1801">
        <v>0</v>
      </c>
    </row>
    <row r="105" s="9138" customFormat="1" ht="18.75" hidden="1" customHeight="1">
      <c r="A105" s="1950"/>
      <c r="B105" s="1950"/>
      <c r="C105" s="539" t="s">
        <v>1151</v>
      </c>
      <c r="D105" s="2632"/>
      <c r="E105" s="2374"/>
      <c r="F105" s="2553"/>
      <c r="G105" s="2597"/>
      <c r="H105" s="1670"/>
      <c r="I105" s="821" t="s">
        <v>1150</v>
      </c>
      <c r="J105" s="741"/>
      <c r="K105" s="1670"/>
      <c r="L105" s="384"/>
      <c r="M105" s="511"/>
      <c r="N105" s="504"/>
      <c r="O105" s="1794"/>
      <c r="P105" s="1794"/>
      <c r="AH105" s="1801">
        <v>0</v>
      </c>
    </row>
    <row r="106" s="9138" customFormat="1" ht="0.75" hidden="1" customHeight="1">
      <c r="A106" s="1950"/>
      <c r="B106" s="1950"/>
      <c r="C106" s="539" t="s">
        <v>1160</v>
      </c>
      <c r="D106" s="2632"/>
      <c r="E106" s="2374"/>
      <c r="F106" s="2553"/>
      <c r="G106" s="570"/>
      <c r="H106" s="1670"/>
      <c r="I106" s="821"/>
      <c r="J106" s="741"/>
      <c r="K106" s="1670"/>
      <c r="L106" s="384"/>
      <c r="M106" s="511"/>
      <c r="N106" s="504"/>
      <c r="O106" s="1794"/>
      <c r="P106" s="1794"/>
      <c r="AH106" s="1801">
        <v>0</v>
      </c>
    </row>
    <row r="107" s="9138" customFormat="1" ht="18.75" hidden="1" customHeight="1">
      <c r="A107" s="1950" t="s">
        <v>188</v>
      </c>
      <c r="B107" s="1950" t="s">
        <v>189</v>
      </c>
      <c r="C107" s="539"/>
      <c r="D107" s="2632"/>
      <c r="E107" s="2374"/>
      <c r="F107" s="2553" t="str">
        <f>INDEX(PT_DIFFERENTIATION_VTAR,MATCH(A107,PT_DIFFERENTIATION_VTAR_ID,0))</f>
        <v xml:space="preserve">Тарифы на услуги по передаче тепловой энергии</v>
      </c>
      <c r="G107" s="2597" t="str">
        <f>INDEX(PT_DIFFERENTIATION_NTAR,MATCH(B107,PT_DIFFERENTIATION_NTAR_ID,0))</f>
        <v/>
      </c>
      <c r="H107" s="2032"/>
      <c r="I107" s="1909"/>
      <c r="J107" s="1943"/>
      <c r="K107" s="1948"/>
      <c r="L107" s="2032" t="s">
        <v>313</v>
      </c>
      <c r="M107" s="511"/>
      <c r="N107" s="504"/>
      <c r="O107" s="1794"/>
      <c r="P107" s="1794"/>
      <c r="AH107" s="1801">
        <v>0</v>
      </c>
    </row>
    <row r="108" s="9138" customFormat="1" ht="18.75" hidden="1" customHeight="1">
      <c r="A108" s="1950"/>
      <c r="B108" s="1950"/>
      <c r="C108" s="539" t="s">
        <v>1151</v>
      </c>
      <c r="D108" s="2632"/>
      <c r="E108" s="2374"/>
      <c r="F108" s="2553"/>
      <c r="G108" s="2597"/>
      <c r="H108" s="1670"/>
      <c r="I108" s="821" t="s">
        <v>1150</v>
      </c>
      <c r="J108" s="741"/>
      <c r="K108" s="1670"/>
      <c r="L108" s="384"/>
      <c r="M108" s="511"/>
      <c r="N108" s="504"/>
      <c r="O108" s="1794"/>
      <c r="P108" s="1794"/>
      <c r="AH108" s="1801">
        <v>0</v>
      </c>
    </row>
    <row r="109" s="9138" customFormat="1" ht="0.75" hidden="1" customHeight="1">
      <c r="A109" s="1950"/>
      <c r="B109" s="1950"/>
      <c r="C109" s="539" t="s">
        <v>1160</v>
      </c>
      <c r="D109" s="2632"/>
      <c r="E109" s="2374"/>
      <c r="F109" s="2553"/>
      <c r="G109" s="570"/>
      <c r="H109" s="1670"/>
      <c r="I109" s="821"/>
      <c r="J109" s="741"/>
      <c r="K109" s="1670"/>
      <c r="L109" s="384"/>
      <c r="M109" s="511"/>
      <c r="N109" s="504"/>
      <c r="O109" s="1794"/>
      <c r="P109" s="1794"/>
      <c r="AH109" s="1801">
        <v>0</v>
      </c>
    </row>
    <row r="110" s="9138" customFormat="1" ht="18.75" hidden="1" customHeight="1">
      <c r="A110" s="1950" t="s">
        <v>194</v>
      </c>
      <c r="B110" s="1950" t="s">
        <v>195</v>
      </c>
      <c r="C110" s="539"/>
      <c r="D110" s="2632"/>
      <c r="E110" s="2374"/>
      <c r="F110" s="2553" t="str">
        <f>INDEX(PT_DIFFERENTIATION_VTAR,MATCH(A110,PT_DIFFERENTIATION_VTAR_ID,0))</f>
        <v xml:space="preserve">Тарифы на услуги по передаче теплоносителя</v>
      </c>
      <c r="G110" s="2597" t="str">
        <f>INDEX(PT_DIFFERENTIATION_NTAR,MATCH(B110,PT_DIFFERENTIATION_NTAR_ID,0))</f>
        <v/>
      </c>
      <c r="H110" s="2032"/>
      <c r="I110" s="1909"/>
      <c r="J110" s="1943"/>
      <c r="K110" s="1948"/>
      <c r="L110" s="2032" t="s">
        <v>313</v>
      </c>
      <c r="M110" s="511"/>
      <c r="N110" s="504"/>
      <c r="O110" s="1794"/>
      <c r="P110" s="1794"/>
      <c r="AH110" s="1801">
        <v>0</v>
      </c>
    </row>
    <row r="111" s="9138" customFormat="1" ht="18.75" hidden="1" customHeight="1">
      <c r="A111" s="1950"/>
      <c r="B111" s="1950"/>
      <c r="C111" s="539" t="s">
        <v>1151</v>
      </c>
      <c r="D111" s="2632"/>
      <c r="E111" s="2374"/>
      <c r="F111" s="2553"/>
      <c r="G111" s="2597"/>
      <c r="H111" s="1670"/>
      <c r="I111" s="821" t="s">
        <v>1150</v>
      </c>
      <c r="J111" s="741"/>
      <c r="K111" s="1670"/>
      <c r="L111" s="384"/>
      <c r="M111" s="511"/>
      <c r="N111" s="504"/>
      <c r="O111" s="1794"/>
      <c r="P111" s="1794"/>
      <c r="AH111" s="1801">
        <v>0</v>
      </c>
    </row>
    <row r="112" s="9138" customFormat="1" ht="0.75" hidden="1" customHeight="1">
      <c r="A112" s="1950"/>
      <c r="B112" s="1950"/>
      <c r="C112" s="539" t="s">
        <v>1160</v>
      </c>
      <c r="D112" s="2632"/>
      <c r="E112" s="2374"/>
      <c r="F112" s="2553"/>
      <c r="G112" s="570"/>
      <c r="H112" s="1670"/>
      <c r="I112" s="821"/>
      <c r="J112" s="741"/>
      <c r="K112" s="1670"/>
      <c r="L112" s="384"/>
      <c r="M112" s="511"/>
      <c r="N112" s="504"/>
      <c r="O112" s="1794"/>
      <c r="P112" s="1794"/>
      <c r="AH112" s="1801">
        <v>0</v>
      </c>
    </row>
    <row r="113" s="9138" customFormat="1" ht="18.75" hidden="1" customHeight="1">
      <c r="A113" s="1950" t="s">
        <v>200</v>
      </c>
      <c r="B113" s="1950" t="s">
        <v>201</v>
      </c>
      <c r="C113" s="539"/>
      <c r="D113" s="2632"/>
      <c r="E113" s="2374"/>
      <c r="F113" s="2553" t="str">
        <f>INDEX(PT_DIFFERENTIATION_VTAR,MATCH(A113,PT_DIFFERENTIATION_VTAR_ID,0))</f>
        <v xml:space="preserve">Плата за услуги по поддержанию резервной тепловой мощности при отсутствии потребления тепловой энергии</v>
      </c>
      <c r="G113" s="2597" t="str">
        <f>INDEX(PT_DIFFERENTIATION_NTAR,MATCH(B113,PT_DIFFERENTIATION_NTAR_ID,0))</f>
        <v/>
      </c>
      <c r="H113" s="2032"/>
      <c r="I113" s="1909"/>
      <c r="J113" s="1943"/>
      <c r="K113" s="1948"/>
      <c r="L113" s="2032" t="s">
        <v>313</v>
      </c>
      <c r="M113" s="511"/>
      <c r="N113" s="504"/>
      <c r="O113" s="1794"/>
      <c r="P113" s="1794"/>
      <c r="AH113" s="1801">
        <v>0</v>
      </c>
    </row>
    <row r="114" s="9138" customFormat="1" ht="18.75" hidden="1" customHeight="1">
      <c r="A114" s="1950"/>
      <c r="B114" s="1950"/>
      <c r="C114" s="539" t="s">
        <v>1151</v>
      </c>
      <c r="D114" s="2632"/>
      <c r="E114" s="2374"/>
      <c r="F114" s="2553"/>
      <c r="G114" s="2597"/>
      <c r="H114" s="1670"/>
      <c r="I114" s="821" t="s">
        <v>1150</v>
      </c>
      <c r="J114" s="741"/>
      <c r="K114" s="1670"/>
      <c r="L114" s="384"/>
      <c r="M114" s="511"/>
      <c r="N114" s="504"/>
      <c r="O114" s="1794"/>
      <c r="P114" s="1794"/>
      <c r="AH114" s="1801">
        <v>0</v>
      </c>
    </row>
    <row r="115" s="9138" customFormat="1" ht="0.75" hidden="1" customHeight="1">
      <c r="A115" s="1950"/>
      <c r="B115" s="1950"/>
      <c r="C115" s="539" t="s">
        <v>1160</v>
      </c>
      <c r="D115" s="2632"/>
      <c r="E115" s="2374"/>
      <c r="F115" s="2553"/>
      <c r="G115" s="570"/>
      <c r="H115" s="1670"/>
      <c r="I115" s="821"/>
      <c r="J115" s="741"/>
      <c r="K115" s="1670"/>
      <c r="L115" s="384"/>
      <c r="M115" s="511"/>
      <c r="N115" s="504"/>
      <c r="O115" s="1794"/>
      <c r="P115" s="1794"/>
      <c r="AH115" s="1801">
        <v>0</v>
      </c>
    </row>
    <row r="116" s="9138" customFormat="1" ht="18.75" hidden="1" customHeight="1">
      <c r="A116" s="1950" t="s">
        <v>206</v>
      </c>
      <c r="B116" s="1950" t="s">
        <v>207</v>
      </c>
      <c r="C116" s="539"/>
      <c r="D116" s="2632"/>
      <c r="E116" s="2374"/>
      <c r="F116" s="2553" t="str">
        <f>INDEX(PT_DIFFERENTIATION_VTAR,MATCH(A116,PT_DIFFERENTIATION_VTAR_ID,0))</f>
        <v xml:space="preserve">Плата за подключение (технологическое присоединение) к системе теплоснабжения</v>
      </c>
      <c r="G116" s="2597" t="str">
        <f>INDEX(PT_DIFFERENTIATION_NTAR,MATCH(B116,PT_DIFFERENTIATION_NTAR_ID,0))</f>
        <v/>
      </c>
      <c r="H116" s="2032"/>
      <c r="I116" s="1909"/>
      <c r="J116" s="1943"/>
      <c r="K116" s="1948"/>
      <c r="L116" s="2032" t="s">
        <v>313</v>
      </c>
      <c r="M116" s="511"/>
      <c r="N116" s="504"/>
      <c r="O116" s="1794"/>
      <c r="P116" s="1794"/>
      <c r="AH116" s="1801">
        <v>0</v>
      </c>
    </row>
    <row r="117" s="9138" customFormat="1" ht="18.75" hidden="1" customHeight="1">
      <c r="A117" s="1950"/>
      <c r="B117" s="1950"/>
      <c r="C117" s="539" t="s">
        <v>1151</v>
      </c>
      <c r="D117" s="2632"/>
      <c r="E117" s="2374"/>
      <c r="F117" s="2553"/>
      <c r="G117" s="2597"/>
      <c r="H117" s="1670"/>
      <c r="I117" s="821" t="s">
        <v>1150</v>
      </c>
      <c r="J117" s="741"/>
      <c r="K117" s="1670"/>
      <c r="L117" s="384"/>
      <c r="M117" s="511"/>
      <c r="N117" s="504"/>
      <c r="O117" s="1794"/>
      <c r="P117" s="1794"/>
      <c r="AH117" s="1801">
        <v>0</v>
      </c>
    </row>
    <row r="118" s="9138" customFormat="1" ht="0.75" hidden="1" customHeight="1">
      <c r="A118" s="1950"/>
      <c r="B118" s="1950"/>
      <c r="C118" s="539" t="s">
        <v>1160</v>
      </c>
      <c r="D118" s="2632"/>
      <c r="E118" s="2374"/>
      <c r="F118" s="2553"/>
      <c r="G118" s="570"/>
      <c r="H118" s="1670"/>
      <c r="I118" s="821"/>
      <c r="J118" s="741"/>
      <c r="K118" s="1670"/>
      <c r="L118" s="384"/>
      <c r="M118" s="511"/>
      <c r="N118" s="504"/>
      <c r="O118" s="1794"/>
      <c r="P118" s="1794"/>
      <c r="AH118" s="1801">
        <v>0</v>
      </c>
    </row>
    <row r="119" s="9138" customFormat="1" ht="18.75" hidden="1" customHeight="1">
      <c r="A119" s="1950" t="s">
        <v>212</v>
      </c>
      <c r="B119" s="1950" t="s">
        <v>213</v>
      </c>
      <c r="C119" s="539"/>
      <c r="D119" s="2632"/>
      <c r="E119" s="2374"/>
      <c r="F119" s="2553" t="str">
        <f>INDEX(PT_DIFFERENTIATION_VTAR,MATCH(A119,PT_DIFFERENTIATION_VTAR_ID,0))</f>
        <v xml:space="preserve">Плата за подключение (технологическое присоединение) к системе теплоснабжения (индивидуальная)</v>
      </c>
      <c r="G119" s="2597" t="str">
        <f>INDEX(PT_DIFFERENTIATION_NTAR,MATCH(B119,PT_DIFFERENTIATION_NTAR_ID,0))</f>
        <v/>
      </c>
      <c r="H119" s="2159"/>
      <c r="I119" s="1909"/>
      <c r="J119" s="1943"/>
      <c r="K119" s="1948"/>
      <c r="L119" s="2159" t="s">
        <v>313</v>
      </c>
      <c r="M119" s="511"/>
      <c r="N119" s="504"/>
      <c r="O119" s="1794"/>
      <c r="P119" s="1794"/>
      <c r="AH119" s="1801">
        <v>0</v>
      </c>
    </row>
    <row r="120" s="9138" customFormat="1" ht="18.75" hidden="1" customHeight="1">
      <c r="A120" s="1950"/>
      <c r="B120" s="1950"/>
      <c r="C120" s="539" t="s">
        <v>1151</v>
      </c>
      <c r="D120" s="2632"/>
      <c r="E120" s="2374"/>
      <c r="F120" s="2553"/>
      <c r="G120" s="2597"/>
      <c r="H120" s="1670"/>
      <c r="I120" s="821" t="s">
        <v>1150</v>
      </c>
      <c r="J120" s="741"/>
      <c r="K120" s="1670"/>
      <c r="L120" s="384"/>
      <c r="M120" s="511"/>
      <c r="N120" s="504"/>
      <c r="O120" s="1794"/>
      <c r="P120" s="1794"/>
      <c r="AH120" s="1801">
        <v>0</v>
      </c>
    </row>
    <row r="121" s="9138" customFormat="1" ht="0.75" hidden="1" customHeight="1">
      <c r="A121" s="1950"/>
      <c r="B121" s="1950"/>
      <c r="C121" s="539" t="s">
        <v>1160</v>
      </c>
      <c r="D121" s="2632"/>
      <c r="E121" s="2374"/>
      <c r="F121" s="2553"/>
      <c r="G121" s="570"/>
      <c r="H121" s="1670"/>
      <c r="I121" s="821"/>
      <c r="J121" s="741"/>
      <c r="K121" s="1670"/>
      <c r="L121" s="384"/>
      <c r="M121" s="511"/>
      <c r="N121" s="504"/>
      <c r="O121" s="1794"/>
      <c r="P121" s="1794"/>
      <c r="AH121" s="1801">
        <v>0</v>
      </c>
    </row>
    <row r="122" s="9138" customFormat="1" ht="18.75" hidden="1" customHeight="1">
      <c r="A122" s="1950" t="s">
        <v>232</v>
      </c>
      <c r="B122" s="1950" t="s">
        <v>233</v>
      </c>
      <c r="C122" s="539"/>
      <c r="D122" s="2632"/>
      <c r="E122" s="2374"/>
      <c r="F122" s="2553" t="str">
        <f>INDEX(PT_DIFFERENTIATION_VTAR,MATCH(A122,PT_DIFFERENTIATION_VTAR_ID,0))</f>
        <v xml:space="preserve">Тариф на питьевую воду (питьевое водоснабжение)</v>
      </c>
      <c r="G122" s="2597" t="str">
        <f>INDEX(PT_DIFFERENTIATION_NTAR,MATCH(B122,PT_DIFFERENTIATION_NTAR_ID,0))</f>
        <v/>
      </c>
      <c r="H122" s="2032"/>
      <c r="I122" s="1909"/>
      <c r="J122" s="1943"/>
      <c r="K122" s="1948"/>
      <c r="L122" s="2032" t="s">
        <v>313</v>
      </c>
      <c r="M122" s="511"/>
      <c r="N122" s="504"/>
      <c r="O122" s="1794"/>
      <c r="P122" s="1794"/>
      <c r="AH122" s="1801">
        <v>0</v>
      </c>
    </row>
    <row r="123" s="9138" customFormat="1" ht="18.75" hidden="1" customHeight="1">
      <c r="A123" s="1950"/>
      <c r="B123" s="1950"/>
      <c r="C123" s="539" t="s">
        <v>1151</v>
      </c>
      <c r="D123" s="2632"/>
      <c r="E123" s="2374"/>
      <c r="F123" s="2553"/>
      <c r="G123" s="2597"/>
      <c r="H123" s="1670"/>
      <c r="I123" s="821" t="s">
        <v>1150</v>
      </c>
      <c r="J123" s="741"/>
      <c r="K123" s="1670"/>
      <c r="L123" s="384"/>
      <c r="M123" s="511"/>
      <c r="N123" s="504"/>
      <c r="O123" s="1794"/>
      <c r="P123" s="1794"/>
      <c r="AH123" s="1801">
        <v>0</v>
      </c>
    </row>
    <row r="124" s="9138" customFormat="1" ht="0.75" hidden="1" customHeight="1">
      <c r="A124" s="1950"/>
      <c r="B124" s="1950"/>
      <c r="C124" s="539" t="s">
        <v>1160</v>
      </c>
      <c r="D124" s="2632"/>
      <c r="E124" s="2374"/>
      <c r="F124" s="2553"/>
      <c r="G124" s="570"/>
      <c r="H124" s="1670"/>
      <c r="I124" s="821"/>
      <c r="J124" s="741"/>
      <c r="K124" s="1670"/>
      <c r="L124" s="384"/>
      <c r="M124" s="511"/>
      <c r="N124" s="504"/>
      <c r="O124" s="1794"/>
      <c r="P124" s="1794"/>
      <c r="AH124" s="1801">
        <v>0</v>
      </c>
    </row>
    <row r="125" s="9138" customFormat="1" ht="18.75" hidden="1" customHeight="1">
      <c r="A125" s="1950" t="s">
        <v>237</v>
      </c>
      <c r="B125" s="1950" t="s">
        <v>238</v>
      </c>
      <c r="C125" s="539"/>
      <c r="D125" s="2632"/>
      <c r="E125" s="2374"/>
      <c r="F125" s="2553" t="str">
        <f>INDEX(PT_DIFFERENTIATION_VTAR,MATCH(A125,PT_DIFFERENTIATION_VTAR_ID,0))</f>
        <v xml:space="preserve">Тариф на техническую воду</v>
      </c>
      <c r="G125" s="2597" t="str">
        <f>INDEX(PT_DIFFERENTIATION_NTAR,MATCH(B125,PT_DIFFERENTIATION_NTAR_ID,0))</f>
        <v/>
      </c>
      <c r="H125" s="2032"/>
      <c r="I125" s="1909"/>
      <c r="J125" s="1943"/>
      <c r="K125" s="1948"/>
      <c r="L125" s="2032" t="s">
        <v>313</v>
      </c>
      <c r="M125" s="511"/>
      <c r="N125" s="504"/>
      <c r="O125" s="1794"/>
      <c r="P125" s="1794"/>
      <c r="AH125" s="1801">
        <v>0</v>
      </c>
    </row>
    <row r="126" s="9138" customFormat="1" ht="18.75" hidden="1" customHeight="1">
      <c r="A126" s="1950"/>
      <c r="B126" s="1950"/>
      <c r="C126" s="539" t="s">
        <v>1151</v>
      </c>
      <c r="D126" s="2632"/>
      <c r="E126" s="2374"/>
      <c r="F126" s="2553"/>
      <c r="G126" s="2597"/>
      <c r="H126" s="1670"/>
      <c r="I126" s="821" t="s">
        <v>1150</v>
      </c>
      <c r="J126" s="741"/>
      <c r="K126" s="1670"/>
      <c r="L126" s="384"/>
      <c r="M126" s="511"/>
      <c r="N126" s="504"/>
      <c r="O126" s="1794"/>
      <c r="P126" s="1794"/>
      <c r="AH126" s="1801">
        <v>0</v>
      </c>
    </row>
    <row r="127" s="9138" customFormat="1" ht="0.75" hidden="1" customHeight="1">
      <c r="A127" s="1950"/>
      <c r="B127" s="1950"/>
      <c r="C127" s="539" t="s">
        <v>1160</v>
      </c>
      <c r="D127" s="2632"/>
      <c r="E127" s="2374"/>
      <c r="F127" s="2553"/>
      <c r="G127" s="570"/>
      <c r="H127" s="1670"/>
      <c r="I127" s="821"/>
      <c r="J127" s="741"/>
      <c r="K127" s="1670"/>
      <c r="L127" s="384"/>
      <c r="M127" s="511"/>
      <c r="N127" s="504"/>
      <c r="O127" s="1794"/>
      <c r="P127" s="1794"/>
      <c r="AH127" s="1801">
        <v>0</v>
      </c>
    </row>
    <row r="128" s="9138" customFormat="1" ht="18.75" hidden="1" customHeight="1">
      <c r="A128" s="1950" t="s">
        <v>242</v>
      </c>
      <c r="B128" s="1950" t="s">
        <v>243</v>
      </c>
      <c r="C128" s="539"/>
      <c r="D128" s="2632"/>
      <c r="E128" s="2374"/>
      <c r="F128" s="2553" t="str">
        <f>INDEX(PT_DIFFERENTIATION_VTAR,MATCH(A128,PT_DIFFERENTIATION_VTAR_ID,0))</f>
        <v xml:space="preserve">Тариф на транспортировку воды</v>
      </c>
      <c r="G128" s="2597" t="str">
        <f>INDEX(PT_DIFFERENTIATION_NTAR,MATCH(B128,PT_DIFFERENTIATION_NTAR_ID,0))</f>
        <v/>
      </c>
      <c r="H128" s="2032"/>
      <c r="I128" s="1909"/>
      <c r="J128" s="1943"/>
      <c r="K128" s="1948"/>
      <c r="L128" s="2032" t="s">
        <v>313</v>
      </c>
      <c r="M128" s="511"/>
      <c r="N128" s="504"/>
      <c r="O128" s="1794"/>
      <c r="P128" s="1794"/>
      <c r="AH128" s="1801">
        <v>0</v>
      </c>
    </row>
    <row r="129" s="9138" customFormat="1" ht="18.75" hidden="1" customHeight="1">
      <c r="A129" s="1950"/>
      <c r="B129" s="1950"/>
      <c r="C129" s="539" t="s">
        <v>1151</v>
      </c>
      <c r="D129" s="2632"/>
      <c r="E129" s="2374"/>
      <c r="F129" s="2553"/>
      <c r="G129" s="2597"/>
      <c r="H129" s="1670"/>
      <c r="I129" s="821" t="s">
        <v>1150</v>
      </c>
      <c r="J129" s="741"/>
      <c r="K129" s="1670"/>
      <c r="L129" s="384"/>
      <c r="M129" s="511"/>
      <c r="N129" s="504"/>
      <c r="O129" s="1794"/>
      <c r="P129" s="1794"/>
      <c r="AH129" s="1801">
        <v>0</v>
      </c>
    </row>
    <row r="130" s="9138" customFormat="1" ht="0.75" hidden="1" customHeight="1">
      <c r="A130" s="1950"/>
      <c r="B130" s="1950"/>
      <c r="C130" s="539" t="s">
        <v>1160</v>
      </c>
      <c r="D130" s="2632"/>
      <c r="E130" s="2374"/>
      <c r="F130" s="2553"/>
      <c r="G130" s="570"/>
      <c r="H130" s="1670"/>
      <c r="I130" s="821"/>
      <c r="J130" s="741"/>
      <c r="K130" s="1670"/>
      <c r="L130" s="384"/>
      <c r="M130" s="511"/>
      <c r="N130" s="504"/>
      <c r="O130" s="1794"/>
      <c r="P130" s="1794"/>
      <c r="AH130" s="1801">
        <v>0</v>
      </c>
    </row>
    <row r="131" s="9138" customFormat="1" ht="18.75" hidden="1" customHeight="1">
      <c r="A131" s="1950" t="s">
        <v>247</v>
      </c>
      <c r="B131" s="1950" t="s">
        <v>248</v>
      </c>
      <c r="C131" s="539"/>
      <c r="D131" s="2632"/>
      <c r="E131" s="2374"/>
      <c r="F131" s="2553" t="str">
        <f>INDEX(PT_DIFFERENTIATION_VTAR,MATCH(A131,PT_DIFFERENTIATION_VTAR_ID,0))</f>
        <v xml:space="preserve">Тариф на подвоз воды</v>
      </c>
      <c r="G131" s="2597" t="str">
        <f>INDEX(PT_DIFFERENTIATION_NTAR,MATCH(B131,PT_DIFFERENTIATION_NTAR_ID,0))</f>
        <v/>
      </c>
      <c r="H131" s="2032"/>
      <c r="I131" s="1909"/>
      <c r="J131" s="1943"/>
      <c r="K131" s="1948"/>
      <c r="L131" s="2032" t="s">
        <v>313</v>
      </c>
      <c r="M131" s="511"/>
      <c r="N131" s="504"/>
      <c r="O131" s="1794"/>
      <c r="P131" s="1794"/>
      <c r="AH131" s="1801">
        <v>0</v>
      </c>
    </row>
    <row r="132" s="9138" customFormat="1" ht="18.75" hidden="1" customHeight="1">
      <c r="A132" s="1950"/>
      <c r="B132" s="1950"/>
      <c r="C132" s="539" t="s">
        <v>1151</v>
      </c>
      <c r="D132" s="2632"/>
      <c r="E132" s="2374"/>
      <c r="F132" s="2553"/>
      <c r="G132" s="2597"/>
      <c r="H132" s="1670"/>
      <c r="I132" s="821" t="s">
        <v>1150</v>
      </c>
      <c r="J132" s="741"/>
      <c r="K132" s="1670"/>
      <c r="L132" s="384"/>
      <c r="M132" s="511"/>
      <c r="N132" s="504"/>
      <c r="O132" s="1794"/>
      <c r="P132" s="1794"/>
      <c r="AH132" s="1801">
        <v>0</v>
      </c>
    </row>
    <row r="133" s="9138" customFormat="1" ht="0.75" hidden="1" customHeight="1">
      <c r="A133" s="1950"/>
      <c r="B133" s="1950"/>
      <c r="C133" s="539" t="s">
        <v>1160</v>
      </c>
      <c r="D133" s="2632"/>
      <c r="E133" s="2374"/>
      <c r="F133" s="2553"/>
      <c r="G133" s="570"/>
      <c r="H133" s="1670"/>
      <c r="I133" s="821"/>
      <c r="J133" s="741"/>
      <c r="K133" s="1670"/>
      <c r="L133" s="384"/>
      <c r="M133" s="511"/>
      <c r="N133" s="504"/>
      <c r="O133" s="1794"/>
      <c r="P133" s="1794"/>
      <c r="AH133" s="1801">
        <v>0</v>
      </c>
    </row>
    <row r="134" s="9138" customFormat="1" ht="18.75" hidden="1" customHeight="1">
      <c r="A134" s="1950" t="s">
        <v>252</v>
      </c>
      <c r="B134" s="1950" t="s">
        <v>253</v>
      </c>
      <c r="C134" s="539"/>
      <c r="D134" s="2632"/>
      <c r="E134" s="2374"/>
      <c r="F134" s="2553" t="str">
        <f>INDEX(PT_DIFFERENTIATION_VTAR,MATCH(A134,PT_DIFFERENTIATION_VTAR_ID,0))</f>
        <v xml:space="preserve">Тариф на подключение (технологическое присоединение) к централизованной системе холодного водоснабжения</v>
      </c>
      <c r="G134" s="2597" t="str">
        <f>INDEX(PT_DIFFERENTIATION_NTAR,MATCH(B134,PT_DIFFERENTIATION_NTAR_ID,0))</f>
        <v/>
      </c>
      <c r="H134" s="2032"/>
      <c r="I134" s="1909"/>
      <c r="J134" s="1943"/>
      <c r="K134" s="1948"/>
      <c r="L134" s="2032" t="s">
        <v>313</v>
      </c>
      <c r="M134" s="511"/>
      <c r="N134" s="504"/>
      <c r="O134" s="1794"/>
      <c r="P134" s="1794"/>
      <c r="AH134" s="1801">
        <v>0</v>
      </c>
    </row>
    <row r="135" s="9138" customFormat="1" ht="18.75" hidden="1" customHeight="1">
      <c r="A135" s="1950"/>
      <c r="B135" s="1950"/>
      <c r="C135" s="539" t="s">
        <v>1151</v>
      </c>
      <c r="D135" s="2632"/>
      <c r="E135" s="2374"/>
      <c r="F135" s="2553"/>
      <c r="G135" s="2597"/>
      <c r="H135" s="1670"/>
      <c r="I135" s="821" t="s">
        <v>1150</v>
      </c>
      <c r="J135" s="741"/>
      <c r="K135" s="1670"/>
      <c r="L135" s="384"/>
      <c r="M135" s="511"/>
      <c r="N135" s="504"/>
      <c r="O135" s="1794"/>
      <c r="P135" s="1794"/>
      <c r="AH135" s="1801">
        <v>0</v>
      </c>
    </row>
    <row r="136" s="9138" customFormat="1" ht="0.75" hidden="1" customHeight="1">
      <c r="A136" s="1950"/>
      <c r="B136" s="1950"/>
      <c r="C136" s="539" t="s">
        <v>1160</v>
      </c>
      <c r="D136" s="2632"/>
      <c r="E136" s="2374"/>
      <c r="F136" s="2553"/>
      <c r="G136" s="570"/>
      <c r="H136" s="1670"/>
      <c r="I136" s="821"/>
      <c r="J136" s="741"/>
      <c r="K136" s="1670"/>
      <c r="L136" s="384"/>
      <c r="M136" s="511"/>
      <c r="N136" s="504"/>
      <c r="O136" s="1794"/>
      <c r="P136" s="1794"/>
      <c r="AH136" s="1801">
        <v>0</v>
      </c>
    </row>
    <row r="137" s="9138" customFormat="1" ht="18.75" hidden="1" customHeight="1">
      <c r="A137" s="1950" t="s">
        <v>257</v>
      </c>
      <c r="B137" s="1950" t="s">
        <v>258</v>
      </c>
      <c r="C137" s="539"/>
      <c r="D137" s="2632"/>
      <c r="E137" s="2374"/>
      <c r="F137" s="2553" t="str">
        <f>INDEX(PT_DIFFERENTIATION_VTAR,MATCH(A137,PT_DIFFERENTIATION_VTAR_ID,0))</f>
        <v xml:space="preserve">Тариф на горячую воду (горячее водоснабжение)</v>
      </c>
      <c r="G137" s="2597" t="str">
        <f>INDEX(PT_DIFFERENTIATION_NTAR,MATCH(B137,PT_DIFFERENTIATION_NTAR_ID,0))</f>
        <v/>
      </c>
      <c r="H137" s="2032"/>
      <c r="I137" s="1909"/>
      <c r="J137" s="1943"/>
      <c r="K137" s="1948"/>
      <c r="L137" s="2032" t="s">
        <v>313</v>
      </c>
      <c r="M137" s="511"/>
      <c r="N137" s="504"/>
      <c r="O137" s="1794"/>
      <c r="P137" s="1794"/>
      <c r="AH137" s="1801">
        <v>0</v>
      </c>
    </row>
    <row r="138" s="9138" customFormat="1" ht="18.75" hidden="1" customHeight="1">
      <c r="A138" s="1950"/>
      <c r="B138" s="1950"/>
      <c r="C138" s="539" t="s">
        <v>1151</v>
      </c>
      <c r="D138" s="2632"/>
      <c r="E138" s="2374"/>
      <c r="F138" s="2553"/>
      <c r="G138" s="2597"/>
      <c r="H138" s="1670"/>
      <c r="I138" s="821" t="s">
        <v>1150</v>
      </c>
      <c r="J138" s="741"/>
      <c r="K138" s="1670"/>
      <c r="L138" s="384"/>
      <c r="M138" s="511"/>
      <c r="N138" s="504"/>
      <c r="O138" s="1794"/>
      <c r="P138" s="1794"/>
      <c r="AH138" s="1801">
        <v>0</v>
      </c>
    </row>
    <row r="139" s="9138" customFormat="1" ht="0.75" hidden="1" customHeight="1">
      <c r="A139" s="1950"/>
      <c r="B139" s="1950"/>
      <c r="C139" s="539" t="s">
        <v>1160</v>
      </c>
      <c r="D139" s="2632"/>
      <c r="E139" s="2374"/>
      <c r="F139" s="2553"/>
      <c r="G139" s="570"/>
      <c r="H139" s="1670"/>
      <c r="I139" s="821"/>
      <c r="J139" s="741"/>
      <c r="K139" s="1670"/>
      <c r="L139" s="384"/>
      <c r="M139" s="511"/>
      <c r="N139" s="504"/>
      <c r="O139" s="1794"/>
      <c r="P139" s="1794"/>
      <c r="AH139" s="1801">
        <v>0</v>
      </c>
    </row>
    <row r="140" s="9138" customFormat="1" ht="18.75" hidden="1" customHeight="1">
      <c r="A140" s="1950" t="s">
        <v>262</v>
      </c>
      <c r="B140" s="1950" t="s">
        <v>263</v>
      </c>
      <c r="C140" s="539"/>
      <c r="D140" s="2632"/>
      <c r="E140" s="2374"/>
      <c r="F140" s="2553" t="str">
        <f>INDEX(PT_DIFFERENTIATION_VTAR,MATCH(A140,PT_DIFFERENTIATION_VTAR_ID,0))</f>
        <v xml:space="preserve">Тариф на транспортировку горячей воды</v>
      </c>
      <c r="G140" s="2597" t="str">
        <f>INDEX(PT_DIFFERENTIATION_NTAR,MATCH(B140,PT_DIFFERENTIATION_NTAR_ID,0))</f>
        <v/>
      </c>
      <c r="H140" s="2032"/>
      <c r="I140" s="1909"/>
      <c r="J140" s="1943"/>
      <c r="K140" s="1948"/>
      <c r="L140" s="2032" t="s">
        <v>313</v>
      </c>
      <c r="M140" s="511"/>
      <c r="N140" s="504"/>
      <c r="O140" s="1794"/>
      <c r="P140" s="1794"/>
      <c r="AH140" s="1801">
        <v>0</v>
      </c>
    </row>
    <row r="141" s="9138" customFormat="1" ht="18.75" hidden="1" customHeight="1">
      <c r="A141" s="1950"/>
      <c r="B141" s="1950"/>
      <c r="C141" s="539" t="s">
        <v>1151</v>
      </c>
      <c r="D141" s="2632"/>
      <c r="E141" s="2374"/>
      <c r="F141" s="2553"/>
      <c r="G141" s="2597"/>
      <c r="H141" s="1670"/>
      <c r="I141" s="821" t="s">
        <v>1150</v>
      </c>
      <c r="J141" s="741"/>
      <c r="K141" s="1670"/>
      <c r="L141" s="384"/>
      <c r="M141" s="511"/>
      <c r="N141" s="504"/>
      <c r="O141" s="1794"/>
      <c r="P141" s="1794"/>
      <c r="AH141" s="1801">
        <v>0</v>
      </c>
    </row>
    <row r="142" s="9138" customFormat="1" ht="0.75" hidden="1" customHeight="1">
      <c r="A142" s="1950"/>
      <c r="B142" s="1950"/>
      <c r="C142" s="539" t="s">
        <v>1160</v>
      </c>
      <c r="D142" s="2632"/>
      <c r="E142" s="2374"/>
      <c r="F142" s="2553"/>
      <c r="G142" s="570"/>
      <c r="H142" s="1670"/>
      <c r="I142" s="821"/>
      <c r="J142" s="741"/>
      <c r="K142" s="1670"/>
      <c r="L142" s="384"/>
      <c r="M142" s="511"/>
      <c r="N142" s="504"/>
      <c r="O142" s="1794"/>
      <c r="P142" s="1794"/>
      <c r="AH142" s="1801">
        <v>0</v>
      </c>
    </row>
    <row r="143" s="9138" customFormat="1" ht="18.75" hidden="1" customHeight="1">
      <c r="A143" s="1950" t="s">
        <v>267</v>
      </c>
      <c r="B143" s="1950" t="s">
        <v>268</v>
      </c>
      <c r="C143" s="539"/>
      <c r="D143" s="2632"/>
      <c r="E143" s="2374"/>
      <c r="F143" s="2553" t="str">
        <f>INDEX(PT_DIFFERENTIATION_VTAR,MATCH(A143,PT_DIFFERENTIATION_VTAR_ID,0))</f>
        <v xml:space="preserve">Тариф на подключение (технологическое присоединение) к централизованной системе горячего водоснабжения</v>
      </c>
      <c r="G143" s="2597" t="str">
        <f>INDEX(PT_DIFFERENTIATION_NTAR,MATCH(B143,PT_DIFFERENTIATION_NTAR_ID,0))</f>
        <v/>
      </c>
      <c r="H143" s="2032"/>
      <c r="I143" s="1909"/>
      <c r="J143" s="1943"/>
      <c r="K143" s="1948"/>
      <c r="L143" s="2032" t="s">
        <v>313</v>
      </c>
      <c r="M143" s="511"/>
      <c r="N143" s="504"/>
      <c r="O143" s="1794"/>
      <c r="P143" s="1794"/>
      <c r="AH143" s="1801">
        <v>0</v>
      </c>
    </row>
    <row r="144" s="9138" customFormat="1" ht="18.75" hidden="1" customHeight="1">
      <c r="A144" s="1950"/>
      <c r="B144" s="1950"/>
      <c r="C144" s="539" t="s">
        <v>1151</v>
      </c>
      <c r="D144" s="2632"/>
      <c r="E144" s="2374"/>
      <c r="F144" s="2553"/>
      <c r="G144" s="2597"/>
      <c r="H144" s="1670"/>
      <c r="I144" s="821" t="s">
        <v>1150</v>
      </c>
      <c r="J144" s="741"/>
      <c r="K144" s="1670"/>
      <c r="L144" s="384"/>
      <c r="M144" s="511"/>
      <c r="N144" s="504"/>
      <c r="O144" s="1794"/>
      <c r="P144" s="1794"/>
      <c r="AH144" s="1801">
        <v>0</v>
      </c>
    </row>
    <row r="145" s="9138" customFormat="1" ht="0.75" hidden="1" customHeight="1">
      <c r="A145" s="1950"/>
      <c r="B145" s="1950"/>
      <c r="C145" s="539" t="s">
        <v>1160</v>
      </c>
      <c r="D145" s="2632"/>
      <c r="E145" s="2374"/>
      <c r="F145" s="2553"/>
      <c r="G145" s="570"/>
      <c r="H145" s="1670"/>
      <c r="I145" s="821"/>
      <c r="J145" s="741"/>
      <c r="K145" s="1670"/>
      <c r="L145" s="384"/>
      <c r="M145" s="511"/>
      <c r="N145" s="504"/>
      <c r="O145" s="1794"/>
      <c r="P145" s="1794"/>
      <c r="AH145" s="1801">
        <v>0</v>
      </c>
    </row>
    <row r="146" s="9138" customFormat="1" ht="18.75" hidden="1" customHeight="1">
      <c r="A146" s="1950" t="s">
        <v>272</v>
      </c>
      <c r="B146" s="1950" t="s">
        <v>273</v>
      </c>
      <c r="C146" s="539"/>
      <c r="D146" s="2632"/>
      <c r="E146" s="2374"/>
      <c r="F146" s="2553" t="str">
        <f>INDEX(PT_DIFFERENTIATION_VTAR,MATCH(A146,PT_DIFFERENTIATION_VTAR_ID,0))</f>
        <v xml:space="preserve">Тариф на водоотведение</v>
      </c>
      <c r="G146" s="2597" t="str">
        <f>INDEX(PT_DIFFERENTIATION_NTAR,MATCH(B146,PT_DIFFERENTIATION_NTAR_ID,0))</f>
        <v/>
      </c>
      <c r="H146" s="2032"/>
      <c r="I146" s="1909"/>
      <c r="J146" s="1943"/>
      <c r="K146" s="1948"/>
      <c r="L146" s="2032" t="s">
        <v>313</v>
      </c>
      <c r="M146" s="511"/>
      <c r="N146" s="504"/>
      <c r="O146" s="1794"/>
      <c r="P146" s="1794"/>
      <c r="AH146" s="1801">
        <v>0</v>
      </c>
    </row>
    <row r="147" s="9138" customFormat="1" ht="18.75" hidden="1" customHeight="1">
      <c r="A147" s="1950"/>
      <c r="B147" s="1950"/>
      <c r="C147" s="539" t="s">
        <v>1151</v>
      </c>
      <c r="D147" s="2632"/>
      <c r="E147" s="2374"/>
      <c r="F147" s="2553"/>
      <c r="G147" s="2597"/>
      <c r="H147" s="1670"/>
      <c r="I147" s="821" t="s">
        <v>1150</v>
      </c>
      <c r="J147" s="741"/>
      <c r="K147" s="1670"/>
      <c r="L147" s="384"/>
      <c r="M147" s="511"/>
      <c r="N147" s="504"/>
      <c r="O147" s="1794"/>
      <c r="P147" s="1794"/>
      <c r="AH147" s="1801">
        <v>0</v>
      </c>
    </row>
    <row r="148" s="9138" customFormat="1" ht="0.75" hidden="1" customHeight="1">
      <c r="A148" s="1950"/>
      <c r="B148" s="1950"/>
      <c r="C148" s="539" t="s">
        <v>1160</v>
      </c>
      <c r="D148" s="2632"/>
      <c r="E148" s="2374"/>
      <c r="F148" s="2553"/>
      <c r="G148" s="570"/>
      <c r="H148" s="1670"/>
      <c r="I148" s="821"/>
      <c r="J148" s="741"/>
      <c r="K148" s="1670"/>
      <c r="L148" s="384"/>
      <c r="M148" s="511"/>
      <c r="N148" s="504"/>
      <c r="O148" s="1794"/>
      <c r="P148" s="1794"/>
      <c r="AH148" s="1801">
        <v>0</v>
      </c>
    </row>
    <row r="149" s="9138" customFormat="1" ht="18.75" hidden="1" customHeight="1">
      <c r="A149" s="1950" t="s">
        <v>277</v>
      </c>
      <c r="B149" s="1950" t="s">
        <v>278</v>
      </c>
      <c r="C149" s="539"/>
      <c r="D149" s="2632"/>
      <c r="E149" s="2374"/>
      <c r="F149" s="2553" t="str">
        <f>INDEX(PT_DIFFERENTIATION_VTAR,MATCH(A149,PT_DIFFERENTIATION_VTAR_ID,0))</f>
        <v xml:space="preserve">Тариф на транспортировку сточных вод</v>
      </c>
      <c r="G149" s="2597" t="str">
        <f>INDEX(PT_DIFFERENTIATION_NTAR,MATCH(B149,PT_DIFFERENTIATION_NTAR_ID,0))</f>
        <v/>
      </c>
      <c r="H149" s="2032"/>
      <c r="I149" s="1909"/>
      <c r="J149" s="1943"/>
      <c r="K149" s="1948"/>
      <c r="L149" s="2032" t="s">
        <v>313</v>
      </c>
      <c r="M149" s="511"/>
      <c r="N149" s="504"/>
      <c r="O149" s="1794"/>
      <c r="P149" s="1794"/>
      <c r="AH149" s="1801">
        <v>0</v>
      </c>
    </row>
    <row r="150" s="9138" customFormat="1" ht="18.75" hidden="1" customHeight="1">
      <c r="A150" s="1950"/>
      <c r="B150" s="1950"/>
      <c r="C150" s="539" t="s">
        <v>1151</v>
      </c>
      <c r="D150" s="2632"/>
      <c r="E150" s="2374"/>
      <c r="F150" s="2553"/>
      <c r="G150" s="2597"/>
      <c r="H150" s="1670"/>
      <c r="I150" s="821" t="s">
        <v>1150</v>
      </c>
      <c r="J150" s="741"/>
      <c r="K150" s="1670"/>
      <c r="L150" s="384"/>
      <c r="M150" s="511"/>
      <c r="N150" s="504"/>
      <c r="O150" s="1794"/>
      <c r="P150" s="1794"/>
      <c r="AH150" s="1801">
        <v>0</v>
      </c>
    </row>
    <row r="151" s="9138" customFormat="1" ht="0.75" hidden="1" customHeight="1">
      <c r="A151" s="1950"/>
      <c r="B151" s="1950"/>
      <c r="C151" s="539" t="s">
        <v>1160</v>
      </c>
      <c r="D151" s="2632"/>
      <c r="E151" s="2374"/>
      <c r="F151" s="2553"/>
      <c r="G151" s="570"/>
      <c r="H151" s="1670"/>
      <c r="I151" s="821"/>
      <c r="J151" s="741"/>
      <c r="K151" s="1670"/>
      <c r="L151" s="384"/>
      <c r="M151" s="511"/>
      <c r="N151" s="504"/>
      <c r="O151" s="1794"/>
      <c r="P151" s="1794"/>
      <c r="AH151" s="1801">
        <v>0</v>
      </c>
    </row>
    <row r="152" s="9138" customFormat="1" ht="18.75" hidden="1" customHeight="1">
      <c r="A152" s="1950" t="s">
        <v>282</v>
      </c>
      <c r="B152" s="1950" t="s">
        <v>283</v>
      </c>
      <c r="C152" s="539"/>
      <c r="D152" s="2632"/>
      <c r="E152" s="2374"/>
      <c r="F152" s="2553" t="str">
        <f>INDEX(PT_DIFFERENTIATION_VTAR,MATCH(A152,PT_DIFFERENTIATION_VTAR_ID,0))</f>
        <v xml:space="preserve">Тариф на подключение (технологическое присоединение) к централизованной системе водоотведения</v>
      </c>
      <c r="G152" s="2597" t="str">
        <f>INDEX(PT_DIFFERENTIATION_NTAR,MATCH(B152,PT_DIFFERENTIATION_NTAR_ID,0))</f>
        <v/>
      </c>
      <c r="H152" s="2032"/>
      <c r="I152" s="1909"/>
      <c r="J152" s="1943"/>
      <c r="K152" s="1948"/>
      <c r="L152" s="2032" t="s">
        <v>313</v>
      </c>
      <c r="M152" s="511"/>
      <c r="N152" s="504"/>
      <c r="O152" s="1794"/>
      <c r="P152" s="1794"/>
      <c r="AH152" s="1801">
        <v>0</v>
      </c>
    </row>
    <row r="153" s="9138" customFormat="1" ht="18.75" hidden="1" customHeight="1">
      <c r="A153" s="1950"/>
      <c r="B153" s="1950"/>
      <c r="C153" s="539" t="s">
        <v>1151</v>
      </c>
      <c r="D153" s="2632"/>
      <c r="E153" s="2374"/>
      <c r="F153" s="2553"/>
      <c r="G153" s="2597"/>
      <c r="H153" s="1670"/>
      <c r="I153" s="821" t="s">
        <v>1150</v>
      </c>
      <c r="J153" s="741"/>
      <c r="K153" s="1670"/>
      <c r="L153" s="384"/>
      <c r="M153" s="511"/>
      <c r="N153" s="504"/>
      <c r="O153" s="1794"/>
      <c r="P153" s="1794"/>
      <c r="AH153" s="1801">
        <v>0</v>
      </c>
    </row>
    <row r="154" s="9138" customFormat="1" ht="1.05" customHeight="1">
      <c r="A154" s="1950"/>
      <c r="B154" s="1950"/>
      <c r="C154" s="539" t="s">
        <v>1160</v>
      </c>
      <c r="D154" s="2632"/>
      <c r="E154" s="2374"/>
      <c r="F154" s="2553"/>
      <c r="G154" s="570"/>
      <c r="H154" s="1670"/>
      <c r="I154" s="821"/>
      <c r="J154" s="741"/>
      <c r="K154" s="1670"/>
      <c r="L154" s="384"/>
      <c r="M154" s="511"/>
      <c r="N154" s="504"/>
      <c r="O154" s="1794"/>
      <c r="P154" s="1794"/>
      <c r="AH154" s="1801">
        <v>1</v>
      </c>
    </row>
    <row r="155" ht="19.949999999999999" customHeight="1">
      <c r="A155" s="1950"/>
      <c r="B155" s="1950"/>
      <c r="D155" s="546"/>
      <c r="E155" s="317" t="s">
        <v>92</v>
      </c>
      <c r="F155"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 xml:space="preserve">Годовой объем полезного отпуска тепловой энергии (теплоносителя)</v>
      </c>
      <c r="G155" s="2630"/>
      <c r="H155" s="2630"/>
      <c r="I155" s="2630"/>
      <c r="J155" s="2630"/>
      <c r="K155" s="2630"/>
      <c r="L155" s="2630"/>
      <c r="M155" s="467"/>
      <c r="N155" s="504"/>
      <c r="AH155" s="544">
        <v>19</v>
      </c>
    </row>
    <row r="156" s="9138" customFormat="1" ht="60.75" customHeight="1">
      <c r="A156" s="1950" t="s">
        <v>158</v>
      </c>
      <c r="B156" s="1950" t="s">
        <v>159</v>
      </c>
      <c r="C156" s="539"/>
      <c r="D156" s="2632"/>
      <c r="E156" s="2374"/>
      <c r="F156" s="2553" t="str">
        <f>INDEX(PT_DIFFERENTIATION_VTAR,MATCH(A156,PT_DIFFERENTIATION_VTAR_ID,0))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597" t="str">
        <f>INDEX(PT_DIFFERENTIATION_NTAR,MATCH(B156,PT_DIFFERENTIATION_NTAR_ID,0))</f>
        <v xml:space="preserve">Тариф на тепловую энергию</v>
      </c>
      <c r="H156" s="2032"/>
      <c r="I156" s="5168">
        <v>45292</v>
      </c>
      <c r="J156" s="1943">
        <v>45657</v>
      </c>
      <c r="K156" s="1948">
        <v>508.43000000000001</v>
      </c>
      <c r="L156" s="2032" t="s">
        <v>313</v>
      </c>
      <c r="M156"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504"/>
      <c r="O156" s="1794"/>
      <c r="P156" s="1794"/>
      <c r="AH156" s="1801">
        <v>0</v>
      </c>
    </row>
    <row r="157" s="11480" customFormat="1" ht="56.25" customHeight="1">
      <c r="A157" s="5179"/>
      <c r="B157" s="5179"/>
      <c r="C157" s="5180"/>
      <c r="D157" s="5181"/>
      <c r="E157" s="5182"/>
      <c r="F157" s="5182"/>
      <c r="G157" s="5182"/>
      <c r="H157" s="3907" t="s">
        <v>432</v>
      </c>
      <c r="I157" s="5168">
        <v>45658</v>
      </c>
      <c r="J157" s="5169">
        <v>46022</v>
      </c>
      <c r="K157" s="5183">
        <v>518.29999999999995</v>
      </c>
      <c r="L157" s="3909" t="s">
        <v>313</v>
      </c>
      <c r="M157" s="5184"/>
      <c r="N157" s="5185"/>
      <c r="O157" s="5186"/>
      <c r="P157" s="5186"/>
      <c r="Q157" s="3649"/>
      <c r="R157" s="3649"/>
      <c r="S157" s="3649"/>
      <c r="T157" s="3649"/>
      <c r="U157" s="3649"/>
      <c r="V157" s="3649"/>
      <c r="W157" s="3649"/>
      <c r="X157" s="3649"/>
      <c r="Y157" s="3649"/>
      <c r="Z157" s="3649"/>
      <c r="AA157" s="3649"/>
      <c r="AB157" s="3649"/>
      <c r="AC157" s="3649"/>
      <c r="AD157" s="3649"/>
      <c r="AE157" s="3649"/>
      <c r="AF157" s="3649"/>
      <c r="AG157" s="3649"/>
      <c r="AH157" s="3649">
        <v>0</v>
      </c>
    </row>
    <row r="158" s="11480" customFormat="1" ht="56.25" customHeight="1">
      <c r="A158" s="5179"/>
      <c r="B158" s="5179"/>
      <c r="C158" s="5180"/>
      <c r="D158" s="5181"/>
      <c r="E158" s="5182"/>
      <c r="F158" s="5182"/>
      <c r="G158" s="5182"/>
      <c r="H158" s="3907" t="s">
        <v>432</v>
      </c>
      <c r="I158" s="5168">
        <v>46023</v>
      </c>
      <c r="J158" s="5169">
        <v>46387</v>
      </c>
      <c r="K158" s="5183">
        <v>508.43000000000001</v>
      </c>
      <c r="L158" s="3909" t="s">
        <v>313</v>
      </c>
      <c r="M158" s="5184"/>
      <c r="N158" s="5185"/>
      <c r="O158" s="5186"/>
      <c r="P158" s="5186"/>
      <c r="Q158" s="3649"/>
      <c r="R158" s="3649"/>
      <c r="S158" s="3649"/>
      <c r="T158" s="3649"/>
      <c r="U158" s="3649"/>
      <c r="V158" s="3649"/>
      <c r="W158" s="3649"/>
      <c r="X158" s="3649"/>
      <c r="Y158" s="3649"/>
      <c r="Z158" s="3649"/>
      <c r="AA158" s="3649"/>
      <c r="AB158" s="3649"/>
      <c r="AC158" s="3649"/>
      <c r="AD158" s="3649"/>
      <c r="AE158" s="3649"/>
      <c r="AF158" s="3649"/>
      <c r="AG158" s="3649"/>
      <c r="AH158" s="3649">
        <v>0</v>
      </c>
    </row>
    <row r="159" s="11480" customFormat="1" ht="56.25" customHeight="1">
      <c r="A159" s="5179"/>
      <c r="B159" s="5179"/>
      <c r="C159" s="5180"/>
      <c r="D159" s="5181"/>
      <c r="E159" s="5182"/>
      <c r="F159" s="5182"/>
      <c r="G159" s="5182"/>
      <c r="H159" s="3907" t="s">
        <v>432</v>
      </c>
      <c r="I159" s="5168">
        <v>46388</v>
      </c>
      <c r="J159" s="5169">
        <v>46752</v>
      </c>
      <c r="K159" s="5183">
        <v>508.43000000000001</v>
      </c>
      <c r="L159" s="3909" t="s">
        <v>313</v>
      </c>
      <c r="M159" s="5184"/>
      <c r="N159" s="5185"/>
      <c r="O159" s="5186"/>
      <c r="P159" s="5186"/>
      <c r="Q159" s="3649"/>
      <c r="R159" s="3649"/>
      <c r="S159" s="3649"/>
      <c r="T159" s="3649"/>
      <c r="U159" s="3649"/>
      <c r="V159" s="3649"/>
      <c r="W159" s="3649"/>
      <c r="X159" s="3649"/>
      <c r="Y159" s="3649"/>
      <c r="Z159" s="3649"/>
      <c r="AA159" s="3649"/>
      <c r="AB159" s="3649"/>
      <c r="AC159" s="3649"/>
      <c r="AD159" s="3649"/>
      <c r="AE159" s="3649"/>
      <c r="AF159" s="3649"/>
      <c r="AG159" s="3649"/>
      <c r="AH159" s="3649">
        <v>0</v>
      </c>
    </row>
    <row r="160" s="11480" customFormat="1" ht="56.25" customHeight="1">
      <c r="A160" s="5179"/>
      <c r="B160" s="5179"/>
      <c r="C160" s="5180"/>
      <c r="D160" s="5181"/>
      <c r="E160" s="5182"/>
      <c r="F160" s="5182"/>
      <c r="G160" s="5182"/>
      <c r="H160" s="3907" t="s">
        <v>432</v>
      </c>
      <c r="I160" s="5168">
        <v>46753</v>
      </c>
      <c r="J160" s="5169">
        <v>47118</v>
      </c>
      <c r="K160" s="5183">
        <v>508.43000000000001</v>
      </c>
      <c r="L160" s="3909" t="s">
        <v>313</v>
      </c>
      <c r="M160" s="5184"/>
      <c r="N160" s="5185"/>
      <c r="O160" s="5186"/>
      <c r="P160" s="5186"/>
      <c r="Q160" s="3649"/>
      <c r="R160" s="3649"/>
      <c r="S160" s="3649"/>
      <c r="T160" s="3649"/>
      <c r="U160" s="3649"/>
      <c r="V160" s="3649"/>
      <c r="W160" s="3649"/>
      <c r="X160" s="3649"/>
      <c r="Y160" s="3649"/>
      <c r="Z160" s="3649"/>
      <c r="AA160" s="3649"/>
      <c r="AB160" s="3649"/>
      <c r="AC160" s="3649"/>
      <c r="AD160" s="3649"/>
      <c r="AE160" s="3649"/>
      <c r="AF160" s="3649"/>
      <c r="AG160" s="3649"/>
      <c r="AH160" s="3649">
        <v>0</v>
      </c>
    </row>
    <row r="161" s="9138" customFormat="1" ht="18.75" customHeight="1">
      <c r="A161" s="1950"/>
      <c r="B161" s="1950"/>
      <c r="C161" s="539" t="s">
        <v>1151</v>
      </c>
      <c r="D161" s="2632"/>
      <c r="E161" s="2374"/>
      <c r="F161" s="2553"/>
      <c r="G161" s="2597"/>
      <c r="H161" s="1670"/>
      <c r="I161" s="821" t="s">
        <v>1150</v>
      </c>
      <c r="J161" s="741"/>
      <c r="K161" s="1670"/>
      <c r="L161" s="384"/>
      <c r="M161" s="2340"/>
      <c r="N161" s="504"/>
      <c r="O161" s="1794"/>
      <c r="P161" s="1794"/>
      <c r="AH161" s="1801">
        <v>0</v>
      </c>
    </row>
    <row r="162" s="9138" customFormat="1" ht="0.75" customHeight="1">
      <c r="A162" s="1950"/>
      <c r="B162" s="1950"/>
      <c r="C162" s="539" t="s">
        <v>1160</v>
      </c>
      <c r="D162" s="2632"/>
      <c r="E162" s="2374"/>
      <c r="F162" s="2553"/>
      <c r="G162" s="570"/>
      <c r="H162" s="1670"/>
      <c r="I162" s="821"/>
      <c r="J162" s="741"/>
      <c r="K162" s="1670"/>
      <c r="L162" s="384"/>
      <c r="M162" s="2340"/>
      <c r="N162" s="504"/>
      <c r="O162" s="1794"/>
      <c r="P162" s="1794"/>
      <c r="AH162" s="1801">
        <v>0</v>
      </c>
    </row>
    <row r="163" s="9138" customFormat="1" ht="45" customHeight="1">
      <c r="A163" s="1950" t="s">
        <v>170</v>
      </c>
      <c r="B163" s="1950" t="s">
        <v>171</v>
      </c>
      <c r="C163" s="539"/>
      <c r="D163" s="2632"/>
      <c r="E163" s="2374"/>
      <c r="F163" s="2553" t="str">
        <f>INDEX(PT_DIFFERENTIATION_VTAR,MATCH(A163,PT_DIFFERENTIATION_VTAR_ID,0))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163" s="2597" t="str">
        <f>INDEX(PT_DIFFERENTIATION_NTAR,MATCH(B163,PT_DIFFERENTIATION_NTAR_ID,0))</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163" s="2032"/>
      <c r="I163" s="5168">
        <v>45292</v>
      </c>
      <c r="J163" s="1943">
        <v>45657</v>
      </c>
      <c r="K163" s="1948">
        <v>63.899999999999999</v>
      </c>
      <c r="L163" s="2032" t="s">
        <v>313</v>
      </c>
      <c r="M163" s="2341"/>
      <c r="N163" s="504"/>
      <c r="O163" s="1794"/>
      <c r="P163" s="1794"/>
      <c r="AH163" s="1801">
        <v>0</v>
      </c>
    </row>
    <row r="164" s="11480" customFormat="1" ht="56.25" customHeight="1">
      <c r="A164" s="5179"/>
      <c r="B164" s="5179"/>
      <c r="C164" s="5180"/>
      <c r="D164" s="5181"/>
      <c r="E164" s="5182"/>
      <c r="F164" s="5182"/>
      <c r="G164" s="5182"/>
      <c r="H164" s="3907" t="s">
        <v>432</v>
      </c>
      <c r="I164" s="5168">
        <v>45658</v>
      </c>
      <c r="J164" s="5169">
        <v>46022</v>
      </c>
      <c r="K164" s="5183">
        <v>63.899999999999999</v>
      </c>
      <c r="L164" s="3909" t="s">
        <v>313</v>
      </c>
      <c r="M164" s="5184"/>
      <c r="N164" s="5185"/>
      <c r="O164" s="5186"/>
      <c r="P164" s="5186"/>
      <c r="Q164" s="3649"/>
      <c r="R164" s="3649"/>
      <c r="S164" s="3649"/>
      <c r="T164" s="3649"/>
      <c r="U164" s="3649"/>
      <c r="V164" s="3649"/>
      <c r="W164" s="3649"/>
      <c r="X164" s="3649"/>
      <c r="Y164" s="3649"/>
      <c r="Z164" s="3649"/>
      <c r="AA164" s="3649"/>
      <c r="AB164" s="3649"/>
      <c r="AC164" s="3649"/>
      <c r="AD164" s="3649"/>
      <c r="AE164" s="3649"/>
      <c r="AF164" s="3649"/>
      <c r="AG164" s="3649"/>
      <c r="AH164" s="3649">
        <v>0</v>
      </c>
    </row>
    <row r="165" s="11480" customFormat="1" ht="56.25" customHeight="1">
      <c r="A165" s="5179"/>
      <c r="B165" s="5179"/>
      <c r="C165" s="5180"/>
      <c r="D165" s="5181"/>
      <c r="E165" s="5182"/>
      <c r="F165" s="5182"/>
      <c r="G165" s="5182"/>
      <c r="H165" s="3907" t="s">
        <v>432</v>
      </c>
      <c r="I165" s="5168">
        <v>46023</v>
      </c>
      <c r="J165" s="5169">
        <v>46387</v>
      </c>
      <c r="K165" s="5183">
        <v>63.899999999999999</v>
      </c>
      <c r="L165" s="3909" t="s">
        <v>313</v>
      </c>
      <c r="M165" s="5184"/>
      <c r="N165" s="5185"/>
      <c r="O165" s="5186"/>
      <c r="P165" s="5186"/>
      <c r="Q165" s="3649"/>
      <c r="R165" s="3649"/>
      <c r="S165" s="3649"/>
      <c r="T165" s="3649"/>
      <c r="U165" s="3649"/>
      <c r="V165" s="3649"/>
      <c r="W165" s="3649"/>
      <c r="X165" s="3649"/>
      <c r="Y165" s="3649"/>
      <c r="Z165" s="3649"/>
      <c r="AA165" s="3649"/>
      <c r="AB165" s="3649"/>
      <c r="AC165" s="3649"/>
      <c r="AD165" s="3649"/>
      <c r="AE165" s="3649"/>
      <c r="AF165" s="3649"/>
      <c r="AG165" s="3649"/>
      <c r="AH165" s="3649">
        <v>0</v>
      </c>
    </row>
    <row r="166" s="11480" customFormat="1" ht="56.25" customHeight="1">
      <c r="A166" s="5179"/>
      <c r="B166" s="5179"/>
      <c r="C166" s="5180"/>
      <c r="D166" s="5181"/>
      <c r="E166" s="5182"/>
      <c r="F166" s="5182"/>
      <c r="G166" s="5182"/>
      <c r="H166" s="3907" t="s">
        <v>432</v>
      </c>
      <c r="I166" s="5168">
        <v>46388</v>
      </c>
      <c r="J166" s="5169">
        <v>46752</v>
      </c>
      <c r="K166" s="5183">
        <v>63.899999999999999</v>
      </c>
      <c r="L166" s="3909" t="s">
        <v>313</v>
      </c>
      <c r="M166" s="5184"/>
      <c r="N166" s="5185"/>
      <c r="O166" s="5186"/>
      <c r="P166" s="5186"/>
      <c r="Q166" s="3649"/>
      <c r="R166" s="3649"/>
      <c r="S166" s="3649"/>
      <c r="T166" s="3649"/>
      <c r="U166" s="3649"/>
      <c r="V166" s="3649"/>
      <c r="W166" s="3649"/>
      <c r="X166" s="3649"/>
      <c r="Y166" s="3649"/>
      <c r="Z166" s="3649"/>
      <c r="AA166" s="3649"/>
      <c r="AB166" s="3649"/>
      <c r="AC166" s="3649"/>
      <c r="AD166" s="3649"/>
      <c r="AE166" s="3649"/>
      <c r="AF166" s="3649"/>
      <c r="AG166" s="3649"/>
      <c r="AH166" s="3649">
        <v>0</v>
      </c>
    </row>
    <row r="167" s="11480" customFormat="1" ht="56.25" customHeight="1">
      <c r="A167" s="5179"/>
      <c r="B167" s="5179"/>
      <c r="C167" s="5180"/>
      <c r="D167" s="5181"/>
      <c r="E167" s="5182"/>
      <c r="F167" s="5182"/>
      <c r="G167" s="5182"/>
      <c r="H167" s="3907" t="s">
        <v>432</v>
      </c>
      <c r="I167" s="5168">
        <v>46753</v>
      </c>
      <c r="J167" s="5169">
        <v>47118</v>
      </c>
      <c r="K167" s="5183">
        <v>63.899999999999999</v>
      </c>
      <c r="L167" s="3909" t="s">
        <v>313</v>
      </c>
      <c r="M167" s="5184"/>
      <c r="N167" s="5185"/>
      <c r="O167" s="5186"/>
      <c r="P167" s="5186"/>
      <c r="Q167" s="3649"/>
      <c r="R167" s="3649"/>
      <c r="S167" s="3649"/>
      <c r="T167" s="3649"/>
      <c r="U167" s="3649"/>
      <c r="V167" s="3649"/>
      <c r="W167" s="3649"/>
      <c r="X167" s="3649"/>
      <c r="Y167" s="3649"/>
      <c r="Z167" s="3649"/>
      <c r="AA167" s="3649"/>
      <c r="AB167" s="3649"/>
      <c r="AC167" s="3649"/>
      <c r="AD167" s="3649"/>
      <c r="AE167" s="3649"/>
      <c r="AF167" s="3649"/>
      <c r="AG167" s="3649"/>
      <c r="AH167" s="3649">
        <v>0</v>
      </c>
    </row>
    <row r="168" s="9138" customFormat="1" ht="18.75" customHeight="1">
      <c r="A168" s="1950"/>
      <c r="B168" s="1950"/>
      <c r="C168" s="539" t="s">
        <v>1151</v>
      </c>
      <c r="D168" s="2632"/>
      <c r="E168" s="2374"/>
      <c r="F168" s="2553"/>
      <c r="G168" s="2597"/>
      <c r="H168" s="1670"/>
      <c r="I168" s="821" t="s">
        <v>1150</v>
      </c>
      <c r="J168" s="741"/>
      <c r="K168" s="1670"/>
      <c r="L168" s="384"/>
      <c r="M168" s="2031"/>
      <c r="N168" s="504"/>
      <c r="O168" s="1794"/>
      <c r="P168" s="1794"/>
      <c r="AH168" s="1801">
        <v>0</v>
      </c>
    </row>
    <row r="169" s="9138" customFormat="1" ht="0.75" customHeight="1">
      <c r="A169" s="1950"/>
      <c r="B169" s="1950"/>
      <c r="C169" s="539" t="s">
        <v>1160</v>
      </c>
      <c r="D169" s="2632"/>
      <c r="E169" s="2374"/>
      <c r="F169" s="2553"/>
      <c r="G169" s="570"/>
      <c r="H169" s="1670"/>
      <c r="I169" s="821"/>
      <c r="J169" s="741"/>
      <c r="K169" s="1670"/>
      <c r="L169" s="384"/>
      <c r="M169" s="511"/>
      <c r="N169" s="504"/>
      <c r="O169" s="1794"/>
      <c r="P169" s="1794"/>
      <c r="AH169" s="1801">
        <v>0</v>
      </c>
    </row>
    <row r="170" s="9138" customFormat="1" ht="45" hidden="1" customHeight="1">
      <c r="A170" s="1950" t="s">
        <v>176</v>
      </c>
      <c r="B170" s="1950" t="s">
        <v>177</v>
      </c>
      <c r="C170" s="539"/>
      <c r="D170" s="2632"/>
      <c r="E170" s="2374"/>
      <c r="F170" s="2553" t="str">
        <f>INDEX(PT_DIFFERENTIATION_VTAR,MATCH(A170,PT_DIFFERENTIATION_VTAR_ID,0))</f>
        <v xml:space="preserve">Тарифы на теплоноситель, поставляемый теплоснабжающими организациями потребителям, другим теплоснабжающим организациям</v>
      </c>
      <c r="G170" s="2597" t="str">
        <f>INDEX(PT_DIFFERENTIATION_NTAR,MATCH(B170,PT_DIFFERENTIATION_NTAR_ID,0))</f>
        <v/>
      </c>
      <c r="H170" s="2032"/>
      <c r="I170" s="1909"/>
      <c r="J170" s="1943"/>
      <c r="K170" s="1948"/>
      <c r="L170" s="2032" t="s">
        <v>313</v>
      </c>
      <c r="M170" s="511"/>
      <c r="N170" s="504"/>
      <c r="O170" s="1794"/>
      <c r="P170" s="1794"/>
      <c r="AH170" s="1801">
        <v>0</v>
      </c>
    </row>
    <row r="171" s="9138" customFormat="1" ht="18.75" hidden="1" customHeight="1">
      <c r="A171" s="1950"/>
      <c r="B171" s="1950"/>
      <c r="C171" s="539" t="s">
        <v>1151</v>
      </c>
      <c r="D171" s="2632"/>
      <c r="E171" s="2374"/>
      <c r="F171" s="2553"/>
      <c r="G171" s="2597"/>
      <c r="H171" s="1670"/>
      <c r="I171" s="821" t="s">
        <v>1150</v>
      </c>
      <c r="J171" s="741"/>
      <c r="K171" s="1670"/>
      <c r="L171" s="384"/>
      <c r="M171" s="511"/>
      <c r="N171" s="504"/>
      <c r="O171" s="1794"/>
      <c r="P171" s="1794"/>
      <c r="AH171" s="1801">
        <v>0</v>
      </c>
    </row>
    <row r="172" s="9138" customFormat="1" ht="0.75" hidden="1" customHeight="1">
      <c r="A172" s="1950"/>
      <c r="B172" s="1950"/>
      <c r="C172" s="539" t="s">
        <v>1160</v>
      </c>
      <c r="D172" s="2632"/>
      <c r="E172" s="2374"/>
      <c r="F172" s="2553"/>
      <c r="G172" s="570"/>
      <c r="H172" s="1670"/>
      <c r="I172" s="821"/>
      <c r="J172" s="741"/>
      <c r="K172" s="1670"/>
      <c r="L172" s="384"/>
      <c r="M172" s="511"/>
      <c r="N172" s="504"/>
      <c r="O172" s="1794"/>
      <c r="P172" s="1794"/>
      <c r="AH172" s="1801">
        <v>0</v>
      </c>
    </row>
    <row r="173" s="9138" customFormat="1" ht="45" hidden="1" customHeight="1">
      <c r="A173" s="1950" t="s">
        <v>182</v>
      </c>
      <c r="B173" s="1950" t="s">
        <v>183</v>
      </c>
      <c r="C173" s="539"/>
      <c r="D173" s="2632"/>
      <c r="E173" s="2374"/>
      <c r="F173" s="2553" t="str">
        <f>INDEX(PT_DIFFERENTIATION_VTAR,MATCH(A173,PT_DIFFERENTIATION_VTAR_ID,0))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3" s="2597" t="str">
        <f>INDEX(PT_DIFFERENTIATION_NTAR,MATCH(B173,PT_DIFFERENTIATION_NTAR_ID,0))</f>
        <v/>
      </c>
      <c r="H173" s="2032"/>
      <c r="I173" s="1909"/>
      <c r="J173" s="1943"/>
      <c r="K173" s="1948"/>
      <c r="L173" s="2032" t="s">
        <v>313</v>
      </c>
      <c r="M173" s="511"/>
      <c r="N173" s="504"/>
      <c r="O173" s="1794"/>
      <c r="P173" s="1794"/>
      <c r="AH173" s="1801">
        <v>0</v>
      </c>
    </row>
    <row r="174" s="9138" customFormat="1" ht="18.75" hidden="1" customHeight="1">
      <c r="A174" s="1950"/>
      <c r="B174" s="1950"/>
      <c r="C174" s="539" t="s">
        <v>1151</v>
      </c>
      <c r="D174" s="2632"/>
      <c r="E174" s="2374"/>
      <c r="F174" s="2553"/>
      <c r="G174" s="2597"/>
      <c r="H174" s="1670"/>
      <c r="I174" s="821" t="s">
        <v>1150</v>
      </c>
      <c r="J174" s="741"/>
      <c r="K174" s="1670"/>
      <c r="L174" s="384"/>
      <c r="M174" s="511"/>
      <c r="N174" s="504"/>
      <c r="O174" s="1794"/>
      <c r="P174" s="1794"/>
      <c r="AH174" s="1801">
        <v>0</v>
      </c>
    </row>
    <row r="175" s="9138" customFormat="1" ht="0.75" hidden="1" customHeight="1">
      <c r="A175" s="1950"/>
      <c r="B175" s="1950"/>
      <c r="C175" s="539" t="s">
        <v>1160</v>
      </c>
      <c r="D175" s="2632"/>
      <c r="E175" s="2374"/>
      <c r="F175" s="2553"/>
      <c r="G175" s="570"/>
      <c r="H175" s="1670"/>
      <c r="I175" s="821"/>
      <c r="J175" s="741"/>
      <c r="K175" s="1670"/>
      <c r="L175" s="384"/>
      <c r="M175" s="511"/>
      <c r="N175" s="504"/>
      <c r="O175" s="1794"/>
      <c r="P175" s="1794"/>
      <c r="AH175" s="1801">
        <v>0</v>
      </c>
    </row>
    <row r="176" s="9138" customFormat="1" ht="18.75" hidden="1" customHeight="1">
      <c r="A176" s="1950" t="s">
        <v>188</v>
      </c>
      <c r="B176" s="1950" t="s">
        <v>189</v>
      </c>
      <c r="C176" s="539"/>
      <c r="D176" s="2632"/>
      <c r="E176" s="2374"/>
      <c r="F176" s="2553" t="str">
        <f>INDEX(PT_DIFFERENTIATION_VTAR,MATCH(A176,PT_DIFFERENTIATION_VTAR_ID,0))</f>
        <v xml:space="preserve">Тарифы на услуги по передаче тепловой энергии</v>
      </c>
      <c r="G176" s="2597" t="str">
        <f>INDEX(PT_DIFFERENTIATION_NTAR,MATCH(B176,PT_DIFFERENTIATION_NTAR_ID,0))</f>
        <v/>
      </c>
      <c r="H176" s="2032"/>
      <c r="I176" s="1909"/>
      <c r="J176" s="1943"/>
      <c r="K176" s="1948"/>
      <c r="L176" s="2032" t="s">
        <v>313</v>
      </c>
      <c r="M176" s="511"/>
      <c r="N176" s="504"/>
      <c r="O176" s="1794"/>
      <c r="P176" s="1794"/>
      <c r="AH176" s="1801">
        <v>0</v>
      </c>
    </row>
    <row r="177" s="9138" customFormat="1" ht="18.75" hidden="1" customHeight="1">
      <c r="A177" s="1950"/>
      <c r="B177" s="1950"/>
      <c r="C177" s="539" t="s">
        <v>1151</v>
      </c>
      <c r="D177" s="2632"/>
      <c r="E177" s="2374"/>
      <c r="F177" s="2553"/>
      <c r="G177" s="2597"/>
      <c r="H177" s="1670"/>
      <c r="I177" s="821" t="s">
        <v>1150</v>
      </c>
      <c r="J177" s="741"/>
      <c r="K177" s="1670"/>
      <c r="L177" s="384"/>
      <c r="M177" s="511"/>
      <c r="N177" s="504"/>
      <c r="O177" s="1794"/>
      <c r="P177" s="1794"/>
      <c r="AH177" s="1801">
        <v>0</v>
      </c>
    </row>
    <row r="178" s="9138" customFormat="1" ht="0.75" hidden="1" customHeight="1">
      <c r="A178" s="1950"/>
      <c r="B178" s="1950"/>
      <c r="C178" s="539" t="s">
        <v>1160</v>
      </c>
      <c r="D178" s="2632"/>
      <c r="E178" s="2374"/>
      <c r="F178" s="2553"/>
      <c r="G178" s="570"/>
      <c r="H178" s="1670"/>
      <c r="I178" s="821"/>
      <c r="J178" s="741"/>
      <c r="K178" s="1670"/>
      <c r="L178" s="384"/>
      <c r="M178" s="511"/>
      <c r="N178" s="504"/>
      <c r="O178" s="1794"/>
      <c r="P178" s="1794"/>
      <c r="AH178" s="1801">
        <v>0</v>
      </c>
    </row>
    <row r="179" s="9138" customFormat="1" ht="18.75" hidden="1" customHeight="1">
      <c r="A179" s="1950" t="s">
        <v>194</v>
      </c>
      <c r="B179" s="1950" t="s">
        <v>195</v>
      </c>
      <c r="C179" s="539"/>
      <c r="D179" s="2632"/>
      <c r="E179" s="2374"/>
      <c r="F179" s="2553" t="str">
        <f>INDEX(PT_DIFFERENTIATION_VTAR,MATCH(A179,PT_DIFFERENTIATION_VTAR_ID,0))</f>
        <v xml:space="preserve">Тарифы на услуги по передаче теплоносителя</v>
      </c>
      <c r="G179" s="2597" t="str">
        <f>INDEX(PT_DIFFERENTIATION_NTAR,MATCH(B179,PT_DIFFERENTIATION_NTAR_ID,0))</f>
        <v/>
      </c>
      <c r="H179" s="2032"/>
      <c r="I179" s="1909"/>
      <c r="J179" s="1943"/>
      <c r="K179" s="1948"/>
      <c r="L179" s="2032" t="s">
        <v>313</v>
      </c>
      <c r="M179" s="511"/>
      <c r="N179" s="504"/>
      <c r="O179" s="1794"/>
      <c r="P179" s="1794"/>
      <c r="AH179" s="1801">
        <v>0</v>
      </c>
    </row>
    <row r="180" s="9138" customFormat="1" ht="18.75" hidden="1" customHeight="1">
      <c r="A180" s="1950"/>
      <c r="B180" s="1950"/>
      <c r="C180" s="539" t="s">
        <v>1151</v>
      </c>
      <c r="D180" s="2632"/>
      <c r="E180" s="2374"/>
      <c r="F180" s="2553"/>
      <c r="G180" s="2597"/>
      <c r="H180" s="1670"/>
      <c r="I180" s="821" t="s">
        <v>1150</v>
      </c>
      <c r="J180" s="741"/>
      <c r="K180" s="1670"/>
      <c r="L180" s="384"/>
      <c r="M180" s="511"/>
      <c r="N180" s="504"/>
      <c r="O180" s="1794"/>
      <c r="P180" s="1794"/>
      <c r="AH180" s="1801">
        <v>0</v>
      </c>
    </row>
    <row r="181" s="9138" customFormat="1" ht="0.75" hidden="1" customHeight="1">
      <c r="A181" s="1950"/>
      <c r="B181" s="1950"/>
      <c r="C181" s="539" t="s">
        <v>1160</v>
      </c>
      <c r="D181" s="2632"/>
      <c r="E181" s="2374"/>
      <c r="F181" s="2553"/>
      <c r="G181" s="570"/>
      <c r="H181" s="1670"/>
      <c r="I181" s="821"/>
      <c r="J181" s="741"/>
      <c r="K181" s="1670"/>
      <c r="L181" s="384"/>
      <c r="M181" s="511"/>
      <c r="N181" s="504"/>
      <c r="O181" s="1794"/>
      <c r="P181" s="1794"/>
      <c r="AH181" s="1801">
        <v>0</v>
      </c>
    </row>
    <row r="182" s="9138" customFormat="1" ht="18.75" hidden="1" customHeight="1">
      <c r="A182" s="1950" t="s">
        <v>200</v>
      </c>
      <c r="B182" s="1950" t="s">
        <v>201</v>
      </c>
      <c r="C182" s="539"/>
      <c r="D182" s="2632"/>
      <c r="E182" s="2374"/>
      <c r="F182" s="2553" t="str">
        <f>INDEX(PT_DIFFERENTIATION_VTAR,MATCH(A182,PT_DIFFERENTIATION_VTAR_ID,0))</f>
        <v xml:space="preserve">Плата за услуги по поддержанию резервной тепловой мощности при отсутствии потребления тепловой энергии</v>
      </c>
      <c r="G182" s="2597" t="str">
        <f>INDEX(PT_DIFFERENTIATION_NTAR,MATCH(B182,PT_DIFFERENTIATION_NTAR_ID,0))</f>
        <v/>
      </c>
      <c r="H182" s="2032"/>
      <c r="I182" s="1909"/>
      <c r="J182" s="1943"/>
      <c r="K182" s="1948"/>
      <c r="L182" s="2032" t="s">
        <v>313</v>
      </c>
      <c r="M182" s="511"/>
      <c r="N182" s="504"/>
      <c r="O182" s="1794"/>
      <c r="P182" s="1794"/>
      <c r="AH182" s="1801">
        <v>0</v>
      </c>
    </row>
    <row r="183" s="9138" customFormat="1" ht="18.75" hidden="1" customHeight="1">
      <c r="A183" s="1950"/>
      <c r="B183" s="1950"/>
      <c r="C183" s="539" t="s">
        <v>1151</v>
      </c>
      <c r="D183" s="2632"/>
      <c r="E183" s="2374"/>
      <c r="F183" s="2553"/>
      <c r="G183" s="2597"/>
      <c r="H183" s="1670"/>
      <c r="I183" s="821" t="s">
        <v>1150</v>
      </c>
      <c r="J183" s="741"/>
      <c r="K183" s="1670"/>
      <c r="L183" s="384"/>
      <c r="M183" s="511"/>
      <c r="N183" s="504"/>
      <c r="O183" s="1794"/>
      <c r="P183" s="1794"/>
      <c r="AH183" s="1801">
        <v>0</v>
      </c>
    </row>
    <row r="184" s="9138" customFormat="1" ht="0.75" hidden="1" customHeight="1">
      <c r="A184" s="1950"/>
      <c r="B184" s="1950"/>
      <c r="C184" s="539" t="s">
        <v>1160</v>
      </c>
      <c r="D184" s="2632"/>
      <c r="E184" s="2374"/>
      <c r="F184" s="2553"/>
      <c r="G184" s="570"/>
      <c r="H184" s="1670"/>
      <c r="I184" s="821"/>
      <c r="J184" s="741"/>
      <c r="K184" s="1670"/>
      <c r="L184" s="384"/>
      <c r="M184" s="511"/>
      <c r="N184" s="504"/>
      <c r="O184" s="1794"/>
      <c r="P184" s="1794"/>
      <c r="AH184" s="1801">
        <v>0</v>
      </c>
    </row>
    <row r="185" s="9138" customFormat="1" ht="18.75" hidden="1" customHeight="1">
      <c r="A185" s="1950" t="s">
        <v>206</v>
      </c>
      <c r="B185" s="1950" t="s">
        <v>207</v>
      </c>
      <c r="C185" s="539"/>
      <c r="D185" s="2632"/>
      <c r="E185" s="2374"/>
      <c r="F185" s="2553" t="str">
        <f>INDEX(PT_DIFFERENTIATION_VTAR,MATCH(A185,PT_DIFFERENTIATION_VTAR_ID,0))</f>
        <v xml:space="preserve">Плата за подключение (технологическое присоединение) к системе теплоснабжения</v>
      </c>
      <c r="G185" s="2597" t="str">
        <f>INDEX(PT_DIFFERENTIATION_NTAR,MATCH(B185,PT_DIFFERENTIATION_NTAR_ID,0))</f>
        <v/>
      </c>
      <c r="H185" s="2032"/>
      <c r="I185" s="1909"/>
      <c r="J185" s="1943"/>
      <c r="K185" s="1948"/>
      <c r="L185" s="2032" t="s">
        <v>313</v>
      </c>
      <c r="M185" s="511"/>
      <c r="N185" s="504"/>
      <c r="O185" s="1794"/>
      <c r="P185" s="1794"/>
      <c r="AH185" s="1801">
        <v>0</v>
      </c>
    </row>
    <row r="186" s="9138" customFormat="1" ht="18.75" hidden="1" customHeight="1">
      <c r="A186" s="1950"/>
      <c r="B186" s="1950"/>
      <c r="C186" s="539" t="s">
        <v>1151</v>
      </c>
      <c r="D186" s="2632"/>
      <c r="E186" s="2374"/>
      <c r="F186" s="2553"/>
      <c r="G186" s="2597"/>
      <c r="H186" s="1670"/>
      <c r="I186" s="821" t="s">
        <v>1150</v>
      </c>
      <c r="J186" s="741"/>
      <c r="K186" s="1670"/>
      <c r="L186" s="384"/>
      <c r="M186" s="511"/>
      <c r="N186" s="504"/>
      <c r="O186" s="1794"/>
      <c r="P186" s="1794"/>
      <c r="AH186" s="1801">
        <v>0</v>
      </c>
    </row>
    <row r="187" s="9138" customFormat="1" ht="0.75" hidden="1" customHeight="1">
      <c r="A187" s="1950"/>
      <c r="B187" s="1950"/>
      <c r="C187" s="539" t="s">
        <v>1160</v>
      </c>
      <c r="D187" s="2632"/>
      <c r="E187" s="2374"/>
      <c r="F187" s="2553"/>
      <c r="G187" s="570"/>
      <c r="H187" s="1670"/>
      <c r="I187" s="821"/>
      <c r="J187" s="741"/>
      <c r="K187" s="1670"/>
      <c r="L187" s="384"/>
      <c r="M187" s="511"/>
      <c r="N187" s="504"/>
      <c r="O187" s="1794"/>
      <c r="P187" s="1794"/>
      <c r="AH187" s="1801">
        <v>0</v>
      </c>
    </row>
    <row r="188" s="9138" customFormat="1" ht="18.75" hidden="1" customHeight="1">
      <c r="A188" s="1950" t="s">
        <v>212</v>
      </c>
      <c r="B188" s="1950" t="s">
        <v>213</v>
      </c>
      <c r="C188" s="539"/>
      <c r="D188" s="2632"/>
      <c r="E188" s="2374"/>
      <c r="F188" s="2553" t="str">
        <f>INDEX(PT_DIFFERENTIATION_VTAR,MATCH(A188,PT_DIFFERENTIATION_VTAR_ID,0))</f>
        <v xml:space="preserve">Плата за подключение (технологическое присоединение) к системе теплоснабжения (индивидуальная)</v>
      </c>
      <c r="G188" s="2597" t="str">
        <f>INDEX(PT_DIFFERENTIATION_NTAR,MATCH(B188,PT_DIFFERENTIATION_NTAR_ID,0))</f>
        <v/>
      </c>
      <c r="H188" s="2159"/>
      <c r="I188" s="1909"/>
      <c r="J188" s="1943"/>
      <c r="K188" s="1948"/>
      <c r="L188" s="2159" t="s">
        <v>313</v>
      </c>
      <c r="M188" s="511"/>
      <c r="N188" s="504"/>
      <c r="O188" s="1794"/>
      <c r="P188" s="1794"/>
      <c r="AH188" s="1801">
        <v>0</v>
      </c>
    </row>
    <row r="189" s="9138" customFormat="1" ht="18.75" hidden="1" customHeight="1">
      <c r="A189" s="1950"/>
      <c r="B189" s="1950"/>
      <c r="C189" s="539" t="s">
        <v>1151</v>
      </c>
      <c r="D189" s="2632"/>
      <c r="E189" s="2374"/>
      <c r="F189" s="2553"/>
      <c r="G189" s="2597"/>
      <c r="H189" s="1670"/>
      <c r="I189" s="821" t="s">
        <v>1150</v>
      </c>
      <c r="J189" s="741"/>
      <c r="K189" s="1670"/>
      <c r="L189" s="384"/>
      <c r="M189" s="511"/>
      <c r="N189" s="504"/>
      <c r="O189" s="1794"/>
      <c r="P189" s="1794"/>
      <c r="AH189" s="1801">
        <v>0</v>
      </c>
    </row>
    <row r="190" s="9138" customFormat="1" ht="0.75" hidden="1" customHeight="1">
      <c r="A190" s="1950"/>
      <c r="B190" s="1950"/>
      <c r="C190" s="539" t="s">
        <v>1160</v>
      </c>
      <c r="D190" s="2632"/>
      <c r="E190" s="2374"/>
      <c r="F190" s="2553"/>
      <c r="G190" s="570"/>
      <c r="H190" s="1670"/>
      <c r="I190" s="821"/>
      <c r="J190" s="741"/>
      <c r="K190" s="1670"/>
      <c r="L190" s="384"/>
      <c r="M190" s="511"/>
      <c r="N190" s="504"/>
      <c r="O190" s="1794"/>
      <c r="P190" s="1794"/>
      <c r="AH190" s="1801">
        <v>0</v>
      </c>
    </row>
    <row r="191" s="9138" customFormat="1" ht="18.75" hidden="1" customHeight="1">
      <c r="A191" s="1950" t="s">
        <v>232</v>
      </c>
      <c r="B191" s="1950" t="s">
        <v>233</v>
      </c>
      <c r="C191" s="539"/>
      <c r="D191" s="2632"/>
      <c r="E191" s="2374"/>
      <c r="F191" s="2553" t="str">
        <f>INDEX(PT_DIFFERENTIATION_VTAR,MATCH(A191,PT_DIFFERENTIATION_VTAR_ID,0))</f>
        <v xml:space="preserve">Тариф на питьевую воду (питьевое водоснабжение)</v>
      </c>
      <c r="G191" s="2597" t="str">
        <f>INDEX(PT_DIFFERENTIATION_NTAR,MATCH(B191,PT_DIFFERENTIATION_NTAR_ID,0))</f>
        <v/>
      </c>
      <c r="H191" s="2032"/>
      <c r="I191" s="1909"/>
      <c r="J191" s="1943"/>
      <c r="K191" s="1948"/>
      <c r="L191" s="2032" t="s">
        <v>313</v>
      </c>
      <c r="M191" s="511"/>
      <c r="N191" s="504"/>
      <c r="O191" s="1794"/>
      <c r="P191" s="1794"/>
      <c r="AH191" s="1801">
        <v>0</v>
      </c>
    </row>
    <row r="192" s="9138" customFormat="1" ht="18.75" hidden="1" customHeight="1">
      <c r="A192" s="1950"/>
      <c r="B192" s="1950"/>
      <c r="C192" s="539" t="s">
        <v>1151</v>
      </c>
      <c r="D192" s="2632"/>
      <c r="E192" s="2374"/>
      <c r="F192" s="2553"/>
      <c r="G192" s="2597"/>
      <c r="H192" s="1670"/>
      <c r="I192" s="821" t="s">
        <v>1150</v>
      </c>
      <c r="J192" s="741"/>
      <c r="K192" s="1670"/>
      <c r="L192" s="384"/>
      <c r="M192" s="511"/>
      <c r="N192" s="504"/>
      <c r="O192" s="1794"/>
      <c r="P192" s="1794"/>
      <c r="AH192" s="1801">
        <v>0</v>
      </c>
    </row>
    <row r="193" s="9138" customFormat="1" ht="0.75" hidden="1" customHeight="1">
      <c r="A193" s="1950"/>
      <c r="B193" s="1950"/>
      <c r="C193" s="539" t="s">
        <v>1160</v>
      </c>
      <c r="D193" s="2632"/>
      <c r="E193" s="2374"/>
      <c r="F193" s="2553"/>
      <c r="G193" s="570"/>
      <c r="H193" s="1670"/>
      <c r="I193" s="821"/>
      <c r="J193" s="741"/>
      <c r="K193" s="1670"/>
      <c r="L193" s="384"/>
      <c r="M193" s="511"/>
      <c r="N193" s="504"/>
      <c r="O193" s="1794"/>
      <c r="P193" s="1794"/>
      <c r="AH193" s="1801">
        <v>0</v>
      </c>
    </row>
    <row r="194" s="9138" customFormat="1" ht="18.75" hidden="1" customHeight="1">
      <c r="A194" s="1950" t="s">
        <v>237</v>
      </c>
      <c r="B194" s="1950" t="s">
        <v>238</v>
      </c>
      <c r="C194" s="539"/>
      <c r="D194" s="2632"/>
      <c r="E194" s="2374"/>
      <c r="F194" s="2553" t="str">
        <f>INDEX(PT_DIFFERENTIATION_VTAR,MATCH(A194,PT_DIFFERENTIATION_VTAR_ID,0))</f>
        <v xml:space="preserve">Тариф на техническую воду</v>
      </c>
      <c r="G194" s="2597" t="str">
        <f>INDEX(PT_DIFFERENTIATION_NTAR,MATCH(B194,PT_DIFFERENTIATION_NTAR_ID,0))</f>
        <v/>
      </c>
      <c r="H194" s="2032"/>
      <c r="I194" s="1909"/>
      <c r="J194" s="1943"/>
      <c r="K194" s="1948"/>
      <c r="L194" s="2032" t="s">
        <v>313</v>
      </c>
      <c r="M194" s="511"/>
      <c r="N194" s="504"/>
      <c r="O194" s="1794"/>
      <c r="P194" s="1794"/>
      <c r="AH194" s="1801">
        <v>0</v>
      </c>
    </row>
    <row r="195" s="9138" customFormat="1" ht="18.75" hidden="1" customHeight="1">
      <c r="A195" s="1950"/>
      <c r="B195" s="1950"/>
      <c r="C195" s="539" t="s">
        <v>1151</v>
      </c>
      <c r="D195" s="2632"/>
      <c r="E195" s="2374"/>
      <c r="F195" s="2553"/>
      <c r="G195" s="2597"/>
      <c r="H195" s="1670"/>
      <c r="I195" s="821" t="s">
        <v>1150</v>
      </c>
      <c r="J195" s="741"/>
      <c r="K195" s="1670"/>
      <c r="L195" s="384"/>
      <c r="M195" s="511"/>
      <c r="N195" s="504"/>
      <c r="O195" s="1794"/>
      <c r="P195" s="1794"/>
      <c r="AH195" s="1801">
        <v>0</v>
      </c>
    </row>
    <row r="196" s="9138" customFormat="1" ht="0.75" hidden="1" customHeight="1">
      <c r="A196" s="1950"/>
      <c r="B196" s="1950"/>
      <c r="C196" s="539" t="s">
        <v>1160</v>
      </c>
      <c r="D196" s="2632"/>
      <c r="E196" s="2374"/>
      <c r="F196" s="2553"/>
      <c r="G196" s="570"/>
      <c r="H196" s="1670"/>
      <c r="I196" s="821"/>
      <c r="J196" s="741"/>
      <c r="K196" s="1670"/>
      <c r="L196" s="384"/>
      <c r="M196" s="511"/>
      <c r="N196" s="504"/>
      <c r="O196" s="1794"/>
      <c r="P196" s="1794"/>
      <c r="AH196" s="1801">
        <v>0</v>
      </c>
    </row>
    <row r="197" s="9138" customFormat="1" ht="18.75" hidden="1" customHeight="1">
      <c r="A197" s="1950" t="s">
        <v>242</v>
      </c>
      <c r="B197" s="1950" t="s">
        <v>243</v>
      </c>
      <c r="C197" s="539"/>
      <c r="D197" s="2632"/>
      <c r="E197" s="2374"/>
      <c r="F197" s="2553" t="str">
        <f>INDEX(PT_DIFFERENTIATION_VTAR,MATCH(A197,PT_DIFFERENTIATION_VTAR_ID,0))</f>
        <v xml:space="preserve">Тариф на транспортировку воды</v>
      </c>
      <c r="G197" s="2597" t="str">
        <f>INDEX(PT_DIFFERENTIATION_NTAR,MATCH(B197,PT_DIFFERENTIATION_NTAR_ID,0))</f>
        <v/>
      </c>
      <c r="H197" s="2032"/>
      <c r="I197" s="1909"/>
      <c r="J197" s="1943"/>
      <c r="K197" s="1948"/>
      <c r="L197" s="2032" t="s">
        <v>313</v>
      </c>
      <c r="M197" s="511"/>
      <c r="N197" s="504"/>
      <c r="O197" s="1794"/>
      <c r="P197" s="1794"/>
      <c r="AH197" s="1801">
        <v>0</v>
      </c>
    </row>
    <row r="198" s="9138" customFormat="1" ht="18.75" hidden="1" customHeight="1">
      <c r="A198" s="1950"/>
      <c r="B198" s="1950"/>
      <c r="C198" s="539" t="s">
        <v>1151</v>
      </c>
      <c r="D198" s="2632"/>
      <c r="E198" s="2374"/>
      <c r="F198" s="2553"/>
      <c r="G198" s="2597"/>
      <c r="H198" s="1670"/>
      <c r="I198" s="821" t="s">
        <v>1150</v>
      </c>
      <c r="J198" s="741"/>
      <c r="K198" s="1670"/>
      <c r="L198" s="384"/>
      <c r="M198" s="511"/>
      <c r="N198" s="504"/>
      <c r="O198" s="1794"/>
      <c r="P198" s="1794"/>
      <c r="AH198" s="1801">
        <v>0</v>
      </c>
    </row>
    <row r="199" s="9138" customFormat="1" ht="0.75" hidden="1" customHeight="1">
      <c r="A199" s="1950"/>
      <c r="B199" s="1950"/>
      <c r="C199" s="539" t="s">
        <v>1160</v>
      </c>
      <c r="D199" s="2632"/>
      <c r="E199" s="2374"/>
      <c r="F199" s="2553"/>
      <c r="G199" s="570"/>
      <c r="H199" s="1670"/>
      <c r="I199" s="821"/>
      <c r="J199" s="741"/>
      <c r="K199" s="1670"/>
      <c r="L199" s="384"/>
      <c r="M199" s="511"/>
      <c r="N199" s="504"/>
      <c r="O199" s="1794"/>
      <c r="P199" s="1794"/>
      <c r="AH199" s="1801">
        <v>0</v>
      </c>
    </row>
    <row r="200" s="9138" customFormat="1" ht="18.75" hidden="1" customHeight="1">
      <c r="A200" s="1950" t="s">
        <v>247</v>
      </c>
      <c r="B200" s="1950" t="s">
        <v>248</v>
      </c>
      <c r="C200" s="539"/>
      <c r="D200" s="2632"/>
      <c r="E200" s="2374"/>
      <c r="F200" s="2553" t="str">
        <f>INDEX(PT_DIFFERENTIATION_VTAR,MATCH(A200,PT_DIFFERENTIATION_VTAR_ID,0))</f>
        <v xml:space="preserve">Тариф на подвоз воды</v>
      </c>
      <c r="G200" s="2597" t="str">
        <f>INDEX(PT_DIFFERENTIATION_NTAR,MATCH(B200,PT_DIFFERENTIATION_NTAR_ID,0))</f>
        <v/>
      </c>
      <c r="H200" s="2032"/>
      <c r="I200" s="1909"/>
      <c r="J200" s="1943"/>
      <c r="K200" s="1948"/>
      <c r="L200" s="2032" t="s">
        <v>313</v>
      </c>
      <c r="M200" s="511"/>
      <c r="N200" s="504"/>
      <c r="O200" s="1794"/>
      <c r="P200" s="1794"/>
      <c r="AH200" s="1801">
        <v>0</v>
      </c>
    </row>
    <row r="201" s="9138" customFormat="1" ht="18.75" hidden="1" customHeight="1">
      <c r="A201" s="1950"/>
      <c r="B201" s="1950"/>
      <c r="C201" s="539" t="s">
        <v>1151</v>
      </c>
      <c r="D201" s="2632"/>
      <c r="E201" s="2374"/>
      <c r="F201" s="2553"/>
      <c r="G201" s="2597"/>
      <c r="H201" s="1670"/>
      <c r="I201" s="821" t="s">
        <v>1150</v>
      </c>
      <c r="J201" s="741"/>
      <c r="K201" s="1670"/>
      <c r="L201" s="384"/>
      <c r="M201" s="511"/>
      <c r="N201" s="504"/>
      <c r="O201" s="1794"/>
      <c r="P201" s="1794"/>
      <c r="AH201" s="1801">
        <v>0</v>
      </c>
    </row>
    <row r="202" s="9138" customFormat="1" ht="0.75" hidden="1" customHeight="1">
      <c r="A202" s="1950"/>
      <c r="B202" s="1950"/>
      <c r="C202" s="539" t="s">
        <v>1160</v>
      </c>
      <c r="D202" s="2632"/>
      <c r="E202" s="2374"/>
      <c r="F202" s="2553"/>
      <c r="G202" s="570"/>
      <c r="H202" s="1670"/>
      <c r="I202" s="821"/>
      <c r="J202" s="741"/>
      <c r="K202" s="1670"/>
      <c r="L202" s="384"/>
      <c r="M202" s="511"/>
      <c r="N202" s="504"/>
      <c r="O202" s="1794"/>
      <c r="P202" s="1794"/>
      <c r="AH202" s="1801">
        <v>0</v>
      </c>
    </row>
    <row r="203" s="9138" customFormat="1" ht="18.75" hidden="1" customHeight="1">
      <c r="A203" s="1950" t="s">
        <v>252</v>
      </c>
      <c r="B203" s="1950" t="s">
        <v>253</v>
      </c>
      <c r="C203" s="539"/>
      <c r="D203" s="2632"/>
      <c r="E203" s="2374"/>
      <c r="F203" s="2553" t="str">
        <f>INDEX(PT_DIFFERENTIATION_VTAR,MATCH(A203,PT_DIFFERENTIATION_VTAR_ID,0))</f>
        <v xml:space="preserve">Тариф на подключение (технологическое присоединение) к централизованной системе холодного водоснабжения</v>
      </c>
      <c r="G203" s="2597" t="str">
        <f>INDEX(PT_DIFFERENTIATION_NTAR,MATCH(B203,PT_DIFFERENTIATION_NTAR_ID,0))</f>
        <v/>
      </c>
      <c r="H203" s="2032"/>
      <c r="I203" s="1909"/>
      <c r="J203" s="1943"/>
      <c r="K203" s="1948"/>
      <c r="L203" s="2032" t="s">
        <v>313</v>
      </c>
      <c r="M203" s="511"/>
      <c r="N203" s="504"/>
      <c r="O203" s="1794"/>
      <c r="P203" s="1794"/>
      <c r="AH203" s="1801">
        <v>0</v>
      </c>
    </row>
    <row r="204" s="9138" customFormat="1" ht="18.75" hidden="1" customHeight="1">
      <c r="A204" s="1950"/>
      <c r="B204" s="1950"/>
      <c r="C204" s="539" t="s">
        <v>1151</v>
      </c>
      <c r="D204" s="2632"/>
      <c r="E204" s="2374"/>
      <c r="F204" s="2553"/>
      <c r="G204" s="2597"/>
      <c r="H204" s="1670"/>
      <c r="I204" s="821" t="s">
        <v>1150</v>
      </c>
      <c r="J204" s="741"/>
      <c r="K204" s="1670"/>
      <c r="L204" s="384"/>
      <c r="M204" s="511"/>
      <c r="N204" s="504"/>
      <c r="O204" s="1794"/>
      <c r="P204" s="1794"/>
      <c r="AH204" s="1801">
        <v>0</v>
      </c>
    </row>
    <row r="205" s="9138" customFormat="1" ht="0.75" hidden="1" customHeight="1">
      <c r="A205" s="1950"/>
      <c r="B205" s="1950"/>
      <c r="C205" s="539" t="s">
        <v>1160</v>
      </c>
      <c r="D205" s="2632"/>
      <c r="E205" s="2374"/>
      <c r="F205" s="2553"/>
      <c r="G205" s="570"/>
      <c r="H205" s="1670"/>
      <c r="I205" s="821"/>
      <c r="J205" s="741"/>
      <c r="K205" s="1670"/>
      <c r="L205" s="384"/>
      <c r="M205" s="511"/>
      <c r="N205" s="504"/>
      <c r="O205" s="1794"/>
      <c r="P205" s="1794"/>
      <c r="AH205" s="1801">
        <v>0</v>
      </c>
    </row>
    <row r="206" s="9138" customFormat="1" ht="18.75" hidden="1" customHeight="1">
      <c r="A206" s="1950" t="s">
        <v>257</v>
      </c>
      <c r="B206" s="1950" t="s">
        <v>258</v>
      </c>
      <c r="C206" s="539"/>
      <c r="D206" s="2632"/>
      <c r="E206" s="2374"/>
      <c r="F206" s="2553" t="str">
        <f>INDEX(PT_DIFFERENTIATION_VTAR,MATCH(A206,PT_DIFFERENTIATION_VTAR_ID,0))</f>
        <v xml:space="preserve">Тариф на горячую воду (горячее водоснабжение)</v>
      </c>
      <c r="G206" s="2597" t="str">
        <f>INDEX(PT_DIFFERENTIATION_NTAR,MATCH(B206,PT_DIFFERENTIATION_NTAR_ID,0))</f>
        <v/>
      </c>
      <c r="H206" s="2032"/>
      <c r="I206" s="1909"/>
      <c r="J206" s="1943"/>
      <c r="K206" s="1948"/>
      <c r="L206" s="2032" t="s">
        <v>313</v>
      </c>
      <c r="M206" s="511"/>
      <c r="N206" s="504"/>
      <c r="O206" s="1794"/>
      <c r="P206" s="1794"/>
      <c r="AH206" s="1801">
        <v>0</v>
      </c>
    </row>
    <row r="207" s="9138" customFormat="1" ht="18.75" hidden="1" customHeight="1">
      <c r="A207" s="1950"/>
      <c r="B207" s="1950"/>
      <c r="C207" s="539" t="s">
        <v>1151</v>
      </c>
      <c r="D207" s="2632"/>
      <c r="E207" s="2374"/>
      <c r="F207" s="2553"/>
      <c r="G207" s="2597"/>
      <c r="H207" s="1670"/>
      <c r="I207" s="821" t="s">
        <v>1150</v>
      </c>
      <c r="J207" s="741"/>
      <c r="K207" s="1670"/>
      <c r="L207" s="384"/>
      <c r="M207" s="511"/>
      <c r="N207" s="504"/>
      <c r="O207" s="1794"/>
      <c r="P207" s="1794"/>
      <c r="AH207" s="1801">
        <v>0</v>
      </c>
    </row>
    <row r="208" s="9138" customFormat="1" ht="0.75" hidden="1" customHeight="1">
      <c r="A208" s="1950"/>
      <c r="B208" s="1950"/>
      <c r="C208" s="539" t="s">
        <v>1160</v>
      </c>
      <c r="D208" s="2632"/>
      <c r="E208" s="2374"/>
      <c r="F208" s="2553"/>
      <c r="G208" s="570"/>
      <c r="H208" s="1670"/>
      <c r="I208" s="821"/>
      <c r="J208" s="741"/>
      <c r="K208" s="1670"/>
      <c r="L208" s="384"/>
      <c r="M208" s="511"/>
      <c r="N208" s="504"/>
      <c r="O208" s="1794"/>
      <c r="P208" s="1794"/>
      <c r="AH208" s="1801">
        <v>0</v>
      </c>
    </row>
    <row r="209" s="9138" customFormat="1" ht="18.75" hidden="1" customHeight="1">
      <c r="A209" s="1950" t="s">
        <v>262</v>
      </c>
      <c r="B209" s="1950" t="s">
        <v>263</v>
      </c>
      <c r="C209" s="539"/>
      <c r="D209" s="2632"/>
      <c r="E209" s="2374"/>
      <c r="F209" s="2553" t="str">
        <f>INDEX(PT_DIFFERENTIATION_VTAR,MATCH(A209,PT_DIFFERENTIATION_VTAR_ID,0))</f>
        <v xml:space="preserve">Тариф на транспортировку горячей воды</v>
      </c>
      <c r="G209" s="2597" t="str">
        <f>INDEX(PT_DIFFERENTIATION_NTAR,MATCH(B209,PT_DIFFERENTIATION_NTAR_ID,0))</f>
        <v/>
      </c>
      <c r="H209" s="2032"/>
      <c r="I209" s="1909"/>
      <c r="J209" s="1943"/>
      <c r="K209" s="1948"/>
      <c r="L209" s="2032" t="s">
        <v>313</v>
      </c>
      <c r="M209" s="511"/>
      <c r="N209" s="504"/>
      <c r="O209" s="1794"/>
      <c r="P209" s="1794"/>
      <c r="AH209" s="1801">
        <v>0</v>
      </c>
    </row>
    <row r="210" s="9138" customFormat="1" ht="18.75" hidden="1" customHeight="1">
      <c r="A210" s="1950"/>
      <c r="B210" s="1950"/>
      <c r="C210" s="539" t="s">
        <v>1151</v>
      </c>
      <c r="D210" s="2632"/>
      <c r="E210" s="2374"/>
      <c r="F210" s="2553"/>
      <c r="G210" s="2597"/>
      <c r="H210" s="1670"/>
      <c r="I210" s="821" t="s">
        <v>1150</v>
      </c>
      <c r="J210" s="741"/>
      <c r="K210" s="1670"/>
      <c r="L210" s="384"/>
      <c r="M210" s="511"/>
      <c r="N210" s="504"/>
      <c r="O210" s="1794"/>
      <c r="P210" s="1794"/>
      <c r="AH210" s="1801">
        <v>0</v>
      </c>
    </row>
    <row r="211" s="9138" customFormat="1" ht="0.75" hidden="1" customHeight="1">
      <c r="A211" s="1950"/>
      <c r="B211" s="1950"/>
      <c r="C211" s="539" t="s">
        <v>1160</v>
      </c>
      <c r="D211" s="2632"/>
      <c r="E211" s="2374"/>
      <c r="F211" s="2553"/>
      <c r="G211" s="570"/>
      <c r="H211" s="1670"/>
      <c r="I211" s="821"/>
      <c r="J211" s="741"/>
      <c r="K211" s="1670"/>
      <c r="L211" s="384"/>
      <c r="M211" s="511"/>
      <c r="N211" s="504"/>
      <c r="O211" s="1794"/>
      <c r="P211" s="1794"/>
      <c r="AH211" s="1801">
        <v>0</v>
      </c>
    </row>
    <row r="212" s="9138" customFormat="1" ht="18.75" hidden="1" customHeight="1">
      <c r="A212" s="1950" t="s">
        <v>267</v>
      </c>
      <c r="B212" s="1950" t="s">
        <v>268</v>
      </c>
      <c r="C212" s="539"/>
      <c r="D212" s="2632"/>
      <c r="E212" s="2374"/>
      <c r="F212" s="2553" t="str">
        <f>INDEX(PT_DIFFERENTIATION_VTAR,MATCH(A212,PT_DIFFERENTIATION_VTAR_ID,0))</f>
        <v xml:space="preserve">Тариф на подключение (технологическое присоединение) к централизованной системе горячего водоснабжения</v>
      </c>
      <c r="G212" s="2597" t="str">
        <f>INDEX(PT_DIFFERENTIATION_NTAR,MATCH(B212,PT_DIFFERENTIATION_NTAR_ID,0))</f>
        <v/>
      </c>
      <c r="H212" s="2032"/>
      <c r="I212" s="1909"/>
      <c r="J212" s="1943"/>
      <c r="K212" s="1948"/>
      <c r="L212" s="2032" t="s">
        <v>313</v>
      </c>
      <c r="M212" s="511"/>
      <c r="N212" s="504"/>
      <c r="O212" s="1794"/>
      <c r="P212" s="1794"/>
      <c r="AH212" s="1801">
        <v>0</v>
      </c>
    </row>
    <row r="213" s="9138" customFormat="1" ht="18.75" hidden="1" customHeight="1">
      <c r="A213" s="1950"/>
      <c r="B213" s="1950"/>
      <c r="C213" s="539" t="s">
        <v>1151</v>
      </c>
      <c r="D213" s="2632"/>
      <c r="E213" s="2374"/>
      <c r="F213" s="2553"/>
      <c r="G213" s="2597"/>
      <c r="H213" s="1670"/>
      <c r="I213" s="821" t="s">
        <v>1150</v>
      </c>
      <c r="J213" s="741"/>
      <c r="K213" s="1670"/>
      <c r="L213" s="384"/>
      <c r="M213" s="511"/>
      <c r="N213" s="504"/>
      <c r="O213" s="1794"/>
      <c r="P213" s="1794"/>
      <c r="AH213" s="1801">
        <v>0</v>
      </c>
    </row>
    <row r="214" s="9138" customFormat="1" ht="0.75" hidden="1" customHeight="1">
      <c r="A214" s="1950"/>
      <c r="B214" s="1950"/>
      <c r="C214" s="539" t="s">
        <v>1160</v>
      </c>
      <c r="D214" s="2632"/>
      <c r="E214" s="2374"/>
      <c r="F214" s="2553"/>
      <c r="G214" s="570"/>
      <c r="H214" s="1670"/>
      <c r="I214" s="821"/>
      <c r="J214" s="741"/>
      <c r="K214" s="1670"/>
      <c r="L214" s="384"/>
      <c r="M214" s="511"/>
      <c r="N214" s="504"/>
      <c r="O214" s="1794"/>
      <c r="P214" s="1794"/>
      <c r="AH214" s="1801">
        <v>0</v>
      </c>
    </row>
    <row r="215" s="9138" customFormat="1" ht="18.75" hidden="1" customHeight="1">
      <c r="A215" s="1950" t="s">
        <v>272</v>
      </c>
      <c r="B215" s="1950" t="s">
        <v>273</v>
      </c>
      <c r="C215" s="539"/>
      <c r="D215" s="2632"/>
      <c r="E215" s="2374"/>
      <c r="F215" s="2553" t="str">
        <f>INDEX(PT_DIFFERENTIATION_VTAR,MATCH(A215,PT_DIFFERENTIATION_VTAR_ID,0))</f>
        <v xml:space="preserve">Тариф на водоотведение</v>
      </c>
      <c r="G215" s="2597" t="str">
        <f>INDEX(PT_DIFFERENTIATION_NTAR,MATCH(B215,PT_DIFFERENTIATION_NTAR_ID,0))</f>
        <v/>
      </c>
      <c r="H215" s="2032"/>
      <c r="I215" s="1909"/>
      <c r="J215" s="1943"/>
      <c r="K215" s="1948"/>
      <c r="L215" s="2032" t="s">
        <v>313</v>
      </c>
      <c r="M215" s="511"/>
      <c r="N215" s="504"/>
      <c r="O215" s="1794"/>
      <c r="P215" s="1794"/>
      <c r="AH215" s="1801">
        <v>0</v>
      </c>
    </row>
    <row r="216" s="9138" customFormat="1" ht="18.75" hidden="1" customHeight="1">
      <c r="A216" s="1950"/>
      <c r="B216" s="1950"/>
      <c r="C216" s="539" t="s">
        <v>1151</v>
      </c>
      <c r="D216" s="2632"/>
      <c r="E216" s="2374"/>
      <c r="F216" s="2553"/>
      <c r="G216" s="2597"/>
      <c r="H216" s="1670"/>
      <c r="I216" s="821" t="s">
        <v>1150</v>
      </c>
      <c r="J216" s="741"/>
      <c r="K216" s="1670"/>
      <c r="L216" s="384"/>
      <c r="M216" s="511"/>
      <c r="N216" s="504"/>
      <c r="O216" s="1794"/>
      <c r="P216" s="1794"/>
      <c r="AH216" s="1801">
        <v>0</v>
      </c>
    </row>
    <row r="217" s="9138" customFormat="1" ht="0.75" hidden="1" customHeight="1">
      <c r="A217" s="1950"/>
      <c r="B217" s="1950"/>
      <c r="C217" s="539" t="s">
        <v>1160</v>
      </c>
      <c r="D217" s="2632"/>
      <c r="E217" s="2374"/>
      <c r="F217" s="2553"/>
      <c r="G217" s="570"/>
      <c r="H217" s="1670"/>
      <c r="I217" s="821"/>
      <c r="J217" s="741"/>
      <c r="K217" s="1670"/>
      <c r="L217" s="384"/>
      <c r="M217" s="511"/>
      <c r="N217" s="504"/>
      <c r="O217" s="1794"/>
      <c r="P217" s="1794"/>
      <c r="AH217" s="1801">
        <v>0</v>
      </c>
    </row>
    <row r="218" s="9138" customFormat="1" ht="18.75" hidden="1" customHeight="1">
      <c r="A218" s="1950" t="s">
        <v>277</v>
      </c>
      <c r="B218" s="1950" t="s">
        <v>278</v>
      </c>
      <c r="C218" s="539"/>
      <c r="D218" s="2632"/>
      <c r="E218" s="2374"/>
      <c r="F218" s="2553" t="str">
        <f>INDEX(PT_DIFFERENTIATION_VTAR,MATCH(A218,PT_DIFFERENTIATION_VTAR_ID,0))</f>
        <v xml:space="preserve">Тариф на транспортировку сточных вод</v>
      </c>
      <c r="G218" s="2597" t="str">
        <f>INDEX(PT_DIFFERENTIATION_NTAR,MATCH(B218,PT_DIFFERENTIATION_NTAR_ID,0))</f>
        <v/>
      </c>
      <c r="H218" s="2032"/>
      <c r="I218" s="1909"/>
      <c r="J218" s="1943"/>
      <c r="K218" s="1948"/>
      <c r="L218" s="2032" t="s">
        <v>313</v>
      </c>
      <c r="M218" s="511"/>
      <c r="N218" s="504"/>
      <c r="O218" s="1794"/>
      <c r="P218" s="1794"/>
      <c r="AH218" s="1801">
        <v>0</v>
      </c>
    </row>
    <row r="219" s="9138" customFormat="1" ht="18.75" hidden="1" customHeight="1">
      <c r="A219" s="1950"/>
      <c r="B219" s="1950"/>
      <c r="C219" s="539" t="s">
        <v>1151</v>
      </c>
      <c r="D219" s="2632"/>
      <c r="E219" s="2374"/>
      <c r="F219" s="2553"/>
      <c r="G219" s="2597"/>
      <c r="H219" s="1670"/>
      <c r="I219" s="821" t="s">
        <v>1150</v>
      </c>
      <c r="J219" s="741"/>
      <c r="K219" s="1670"/>
      <c r="L219" s="384"/>
      <c r="M219" s="511"/>
      <c r="N219" s="504"/>
      <c r="O219" s="1794"/>
      <c r="P219" s="1794"/>
      <c r="AH219" s="1801">
        <v>0</v>
      </c>
    </row>
    <row r="220" s="9138" customFormat="1" ht="0.75" hidden="1" customHeight="1">
      <c r="A220" s="1950"/>
      <c r="B220" s="1950"/>
      <c r="C220" s="539" t="s">
        <v>1160</v>
      </c>
      <c r="D220" s="2632"/>
      <c r="E220" s="2374"/>
      <c r="F220" s="2553"/>
      <c r="G220" s="570"/>
      <c r="H220" s="1670"/>
      <c r="I220" s="821"/>
      <c r="J220" s="741"/>
      <c r="K220" s="1670"/>
      <c r="L220" s="384"/>
      <c r="M220" s="511"/>
      <c r="N220" s="504"/>
      <c r="O220" s="1794"/>
      <c r="P220" s="1794"/>
      <c r="AH220" s="1801">
        <v>0</v>
      </c>
    </row>
    <row r="221" s="9138" customFormat="1" ht="18.75" hidden="1" customHeight="1">
      <c r="A221" s="1950" t="s">
        <v>282</v>
      </c>
      <c r="B221" s="1950" t="s">
        <v>283</v>
      </c>
      <c r="C221" s="539"/>
      <c r="D221" s="2632"/>
      <c r="E221" s="2374"/>
      <c r="F221" s="2553" t="str">
        <f>INDEX(PT_DIFFERENTIATION_VTAR,MATCH(A221,PT_DIFFERENTIATION_VTAR_ID,0))</f>
        <v xml:space="preserve">Тариф на подключение (технологическое присоединение) к централизованной системе водоотведения</v>
      </c>
      <c r="G221" s="2597" t="str">
        <f>INDEX(PT_DIFFERENTIATION_NTAR,MATCH(B221,PT_DIFFERENTIATION_NTAR_ID,0))</f>
        <v/>
      </c>
      <c r="H221" s="2032"/>
      <c r="I221" s="1909"/>
      <c r="J221" s="1943"/>
      <c r="K221" s="1948"/>
      <c r="L221" s="2032" t="s">
        <v>313</v>
      </c>
      <c r="M221" s="511"/>
      <c r="N221" s="504"/>
      <c r="O221" s="1794"/>
      <c r="P221" s="1794"/>
      <c r="AH221" s="1801">
        <v>0</v>
      </c>
    </row>
    <row r="222" s="9138" customFormat="1" ht="18.75" hidden="1" customHeight="1">
      <c r="A222" s="1950"/>
      <c r="B222" s="1950"/>
      <c r="C222" s="539" t="s">
        <v>1151</v>
      </c>
      <c r="D222" s="2632"/>
      <c r="E222" s="2374"/>
      <c r="F222" s="2553"/>
      <c r="G222" s="2597"/>
      <c r="H222" s="1670"/>
      <c r="I222" s="821" t="s">
        <v>1150</v>
      </c>
      <c r="J222" s="741"/>
      <c r="K222" s="1670"/>
      <c r="L222" s="384"/>
      <c r="M222" s="511"/>
      <c r="N222" s="504"/>
      <c r="O222" s="1794"/>
      <c r="P222" s="1794"/>
      <c r="AH222" s="1801">
        <v>0</v>
      </c>
    </row>
    <row r="223" s="9138" customFormat="1" ht="1.05" customHeight="1">
      <c r="A223" s="1950"/>
      <c r="B223" s="1950"/>
      <c r="C223" s="539" t="s">
        <v>1160</v>
      </c>
      <c r="D223" s="2632"/>
      <c r="E223" s="2374"/>
      <c r="F223" s="2553"/>
      <c r="G223" s="570"/>
      <c r="H223" s="1670"/>
      <c r="I223" s="821"/>
      <c r="J223" s="741"/>
      <c r="K223" s="1670"/>
      <c r="L223" s="384"/>
      <c r="M223" s="511"/>
      <c r="N223" s="504"/>
      <c r="O223" s="1794"/>
      <c r="P223" s="1794"/>
      <c r="AH223" s="1801">
        <v>1</v>
      </c>
    </row>
    <row r="224" ht="27.300000000000001" customHeight="1">
      <c r="A224" s="1950"/>
      <c r="B224" s="1950"/>
      <c r="D224" s="546"/>
      <c r="E224" s="317" t="s">
        <v>112</v>
      </c>
      <c r="F224"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24" s="2630"/>
      <c r="H224" s="2630"/>
      <c r="I224" s="2630"/>
      <c r="J224" s="2630"/>
      <c r="K224" s="2630"/>
      <c r="L224" s="2630"/>
      <c r="M224" s="467"/>
      <c r="N224" s="504"/>
      <c r="AH224" s="544">
        <v>26</v>
      </c>
    </row>
    <row r="225" s="9138" customFormat="1" ht="60.75" customHeight="1">
      <c r="A225" s="1950" t="s">
        <v>158</v>
      </c>
      <c r="B225" s="1950" t="s">
        <v>159</v>
      </c>
      <c r="C225" s="539"/>
      <c r="D225" s="2632"/>
      <c r="E225" s="2374"/>
      <c r="F225" s="2553" t="str">
        <f>INDEX(PT_DIFFERENTIATION_VTAR,MATCH(A225,PT_DIFFERENTIATION_VTAR_ID,0))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5" s="2597" t="str">
        <f>INDEX(PT_DIFFERENTIATION_NTAR,MATCH(B225,PT_DIFFERENTIATION_NTAR_ID,0))</f>
        <v xml:space="preserve">Тариф на тепловую энергию</v>
      </c>
      <c r="H225" s="2032"/>
      <c r="I225" s="5168">
        <v>45292</v>
      </c>
      <c r="J225" s="1943">
        <v>45657</v>
      </c>
      <c r="K225" s="1948">
        <v>583370.47999999998</v>
      </c>
      <c r="L225" s="2032" t="s">
        <v>313</v>
      </c>
      <c r="M225"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25" s="504"/>
      <c r="O225" s="1794"/>
      <c r="P225" s="1794"/>
      <c r="AH225" s="1801">
        <v>0</v>
      </c>
    </row>
    <row r="226" s="11480" customFormat="1" ht="56.25" customHeight="1">
      <c r="A226" s="5179"/>
      <c r="B226" s="5179"/>
      <c r="C226" s="5180"/>
      <c r="D226" s="5181"/>
      <c r="E226" s="5182"/>
      <c r="F226" s="5182"/>
      <c r="G226" s="5182"/>
      <c r="H226" s="3907" t="s">
        <v>432</v>
      </c>
      <c r="I226" s="5168">
        <v>45658</v>
      </c>
      <c r="J226" s="5169">
        <v>46022</v>
      </c>
      <c r="K226" s="5183">
        <v>426859.19</v>
      </c>
      <c r="L226" s="3909" t="s">
        <v>313</v>
      </c>
      <c r="M226" s="5184"/>
      <c r="N226" s="5185"/>
      <c r="O226" s="5186"/>
      <c r="P226" s="5186"/>
      <c r="Q226" s="3649"/>
      <c r="R226" s="3649"/>
      <c r="S226" s="3649"/>
      <c r="T226" s="3649"/>
      <c r="U226" s="3649"/>
      <c r="V226" s="3649"/>
      <c r="W226" s="3649"/>
      <c r="X226" s="3649"/>
      <c r="Y226" s="3649"/>
      <c r="Z226" s="3649"/>
      <c r="AA226" s="3649"/>
      <c r="AB226" s="3649"/>
      <c r="AC226" s="3649"/>
      <c r="AD226" s="3649"/>
      <c r="AE226" s="3649"/>
      <c r="AF226" s="3649"/>
      <c r="AG226" s="3649"/>
      <c r="AH226" s="3649">
        <v>0</v>
      </c>
    </row>
    <row r="227" s="11480" customFormat="1" ht="56.25" customHeight="1">
      <c r="A227" s="5179"/>
      <c r="B227" s="5179"/>
      <c r="C227" s="5180"/>
      <c r="D227" s="5181"/>
      <c r="E227" s="5182"/>
      <c r="F227" s="5182"/>
      <c r="G227" s="5182"/>
      <c r="H227" s="3907" t="s">
        <v>432</v>
      </c>
      <c r="I227" s="5168">
        <v>46023</v>
      </c>
      <c r="J227" s="5169">
        <v>46387</v>
      </c>
      <c r="K227" s="5183">
        <v>0</v>
      </c>
      <c r="L227" s="3909" t="s">
        <v>313</v>
      </c>
      <c r="M227" s="5184"/>
      <c r="N227" s="5185"/>
      <c r="O227" s="5186"/>
      <c r="P227" s="5186"/>
      <c r="Q227" s="3649"/>
      <c r="R227" s="3649"/>
      <c r="S227" s="3649"/>
      <c r="T227" s="3649"/>
      <c r="U227" s="3649"/>
      <c r="V227" s="3649"/>
      <c r="W227" s="3649"/>
      <c r="X227" s="3649"/>
      <c r="Y227" s="3649"/>
      <c r="Z227" s="3649"/>
      <c r="AA227" s="3649"/>
      <c r="AB227" s="3649"/>
      <c r="AC227" s="3649"/>
      <c r="AD227" s="3649"/>
      <c r="AE227" s="3649"/>
      <c r="AF227" s="3649"/>
      <c r="AG227" s="3649"/>
      <c r="AH227" s="3649">
        <v>0</v>
      </c>
    </row>
    <row r="228" s="11480" customFormat="1" ht="56.25" customHeight="1">
      <c r="A228" s="5179"/>
      <c r="B228" s="5179"/>
      <c r="C228" s="5180"/>
      <c r="D228" s="5181"/>
      <c r="E228" s="5182"/>
      <c r="F228" s="5182"/>
      <c r="G228" s="5182"/>
      <c r="H228" s="3907" t="s">
        <v>432</v>
      </c>
      <c r="I228" s="5168">
        <v>46388</v>
      </c>
      <c r="J228" s="5169">
        <v>46752</v>
      </c>
      <c r="K228" s="5183">
        <v>0</v>
      </c>
      <c r="L228" s="3909" t="s">
        <v>313</v>
      </c>
      <c r="M228" s="5184"/>
      <c r="N228" s="5185"/>
      <c r="O228" s="5186"/>
      <c r="P228" s="5186"/>
      <c r="Q228" s="3649"/>
      <c r="R228" s="3649"/>
      <c r="S228" s="3649"/>
      <c r="T228" s="3649"/>
      <c r="U228" s="3649"/>
      <c r="V228" s="3649"/>
      <c r="W228" s="3649"/>
      <c r="X228" s="3649"/>
      <c r="Y228" s="3649"/>
      <c r="Z228" s="3649"/>
      <c r="AA228" s="3649"/>
      <c r="AB228" s="3649"/>
      <c r="AC228" s="3649"/>
      <c r="AD228" s="3649"/>
      <c r="AE228" s="3649"/>
      <c r="AF228" s="3649"/>
      <c r="AG228" s="3649"/>
      <c r="AH228" s="3649">
        <v>0</v>
      </c>
    </row>
    <row r="229" s="11480" customFormat="1" ht="56.25" customHeight="1">
      <c r="A229" s="5179"/>
      <c r="B229" s="5179"/>
      <c r="C229" s="5180"/>
      <c r="D229" s="5181"/>
      <c r="E229" s="5182"/>
      <c r="F229" s="5182"/>
      <c r="G229" s="5182"/>
      <c r="H229" s="3907" t="s">
        <v>432</v>
      </c>
      <c r="I229" s="5168">
        <v>46753</v>
      </c>
      <c r="J229" s="5169">
        <v>47118</v>
      </c>
      <c r="K229" s="5183">
        <v>0</v>
      </c>
      <c r="L229" s="3909" t="s">
        <v>313</v>
      </c>
      <c r="M229" s="5184"/>
      <c r="N229" s="5185"/>
      <c r="O229" s="5186"/>
      <c r="P229" s="5186"/>
      <c r="Q229" s="3649"/>
      <c r="R229" s="3649"/>
      <c r="S229" s="3649"/>
      <c r="T229" s="3649"/>
      <c r="U229" s="3649"/>
      <c r="V229" s="3649"/>
      <c r="W229" s="3649"/>
      <c r="X229" s="3649"/>
      <c r="Y229" s="3649"/>
      <c r="Z229" s="3649"/>
      <c r="AA229" s="3649"/>
      <c r="AB229" s="3649"/>
      <c r="AC229" s="3649"/>
      <c r="AD229" s="3649"/>
      <c r="AE229" s="3649"/>
      <c r="AF229" s="3649"/>
      <c r="AG229" s="3649"/>
      <c r="AH229" s="3649">
        <v>0</v>
      </c>
    </row>
    <row r="230" s="9138" customFormat="1" ht="18.75" customHeight="1">
      <c r="A230" s="1950"/>
      <c r="B230" s="1950"/>
      <c r="C230" s="539" t="s">
        <v>1151</v>
      </c>
      <c r="D230" s="2632"/>
      <c r="E230" s="2374"/>
      <c r="F230" s="2553"/>
      <c r="G230" s="2597"/>
      <c r="H230" s="1670"/>
      <c r="I230" s="821" t="s">
        <v>1150</v>
      </c>
      <c r="J230" s="741"/>
      <c r="K230" s="1670"/>
      <c r="L230" s="384"/>
      <c r="M230" s="2340"/>
      <c r="N230" s="504"/>
      <c r="O230" s="1794"/>
      <c r="P230" s="1794"/>
      <c r="AH230" s="1801">
        <v>0</v>
      </c>
    </row>
    <row r="231" s="9138" customFormat="1" ht="0.75" customHeight="1">
      <c r="A231" s="1950"/>
      <c r="B231" s="1950"/>
      <c r="C231" s="539" t="s">
        <v>1160</v>
      </c>
      <c r="D231" s="2632"/>
      <c r="E231" s="2374"/>
      <c r="F231" s="2553"/>
      <c r="G231" s="570"/>
      <c r="H231" s="1670"/>
      <c r="I231" s="821"/>
      <c r="J231" s="741"/>
      <c r="K231" s="1670"/>
      <c r="L231" s="384"/>
      <c r="M231" s="2340"/>
      <c r="N231" s="504"/>
      <c r="O231" s="1794"/>
      <c r="P231" s="1794"/>
      <c r="AH231" s="1801">
        <v>0</v>
      </c>
    </row>
    <row r="232" s="9138" customFormat="1" ht="45" customHeight="1">
      <c r="A232" s="1950" t="s">
        <v>170</v>
      </c>
      <c r="B232" s="1950" t="s">
        <v>171</v>
      </c>
      <c r="C232" s="539"/>
      <c r="D232" s="2632"/>
      <c r="E232" s="2374"/>
      <c r="F232" s="2553" t="str">
        <f>INDEX(PT_DIFFERENTIATION_VTAR,MATCH(A232,PT_DIFFERENTIATION_VTAR_ID,0))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232" s="2597" t="str">
        <f>INDEX(PT_DIFFERENTIATION_NTAR,MATCH(B232,PT_DIFFERENTIATION_NTAR_ID,0))</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232" s="2032"/>
      <c r="I232" s="5168">
        <v>45292</v>
      </c>
      <c r="J232" s="1943">
        <v>45657</v>
      </c>
      <c r="K232" s="1948">
        <v>0</v>
      </c>
      <c r="L232" s="2032" t="s">
        <v>313</v>
      </c>
      <c r="M232" s="2341"/>
      <c r="N232" s="504"/>
      <c r="O232" s="1794"/>
      <c r="P232" s="1794"/>
      <c r="AH232" s="1801">
        <v>0</v>
      </c>
    </row>
    <row r="233" s="11480" customFormat="1" ht="56.25" customHeight="1">
      <c r="A233" s="5179"/>
      <c r="B233" s="5179"/>
      <c r="C233" s="5180"/>
      <c r="D233" s="5181"/>
      <c r="E233" s="5182"/>
      <c r="F233" s="5182"/>
      <c r="G233" s="5182"/>
      <c r="H233" s="3907" t="s">
        <v>432</v>
      </c>
      <c r="I233" s="5168">
        <v>45658</v>
      </c>
      <c r="J233" s="5169">
        <v>46022</v>
      </c>
      <c r="K233" s="5183">
        <v>0</v>
      </c>
      <c r="L233" s="3909" t="s">
        <v>313</v>
      </c>
      <c r="M233" s="5184"/>
      <c r="N233" s="5185"/>
      <c r="O233" s="5186"/>
      <c r="P233" s="5186"/>
      <c r="Q233" s="3649"/>
      <c r="R233" s="3649"/>
      <c r="S233" s="3649"/>
      <c r="T233" s="3649"/>
      <c r="U233" s="3649"/>
      <c r="V233" s="3649"/>
      <c r="W233" s="3649"/>
      <c r="X233" s="3649"/>
      <c r="Y233" s="3649"/>
      <c r="Z233" s="3649"/>
      <c r="AA233" s="3649"/>
      <c r="AB233" s="3649"/>
      <c r="AC233" s="3649"/>
      <c r="AD233" s="3649"/>
      <c r="AE233" s="3649"/>
      <c r="AF233" s="3649"/>
      <c r="AG233" s="3649"/>
      <c r="AH233" s="3649">
        <v>0</v>
      </c>
    </row>
    <row r="234" s="11480" customFormat="1" ht="56.25" customHeight="1">
      <c r="A234" s="5179"/>
      <c r="B234" s="5179"/>
      <c r="C234" s="5180"/>
      <c r="D234" s="5181"/>
      <c r="E234" s="5182"/>
      <c r="F234" s="5182"/>
      <c r="G234" s="5182"/>
      <c r="H234" s="3907" t="s">
        <v>432</v>
      </c>
      <c r="I234" s="5168">
        <v>46023</v>
      </c>
      <c r="J234" s="5169">
        <v>46387</v>
      </c>
      <c r="K234" s="5183">
        <v>0</v>
      </c>
      <c r="L234" s="3909" t="s">
        <v>313</v>
      </c>
      <c r="M234" s="5184"/>
      <c r="N234" s="5185"/>
      <c r="O234" s="5186"/>
      <c r="P234" s="5186"/>
      <c r="Q234" s="3649"/>
      <c r="R234" s="3649"/>
      <c r="S234" s="3649"/>
      <c r="T234" s="3649"/>
      <c r="U234" s="3649"/>
      <c r="V234" s="3649"/>
      <c r="W234" s="3649"/>
      <c r="X234" s="3649"/>
      <c r="Y234" s="3649"/>
      <c r="Z234" s="3649"/>
      <c r="AA234" s="3649"/>
      <c r="AB234" s="3649"/>
      <c r="AC234" s="3649"/>
      <c r="AD234" s="3649"/>
      <c r="AE234" s="3649"/>
      <c r="AF234" s="3649"/>
      <c r="AG234" s="3649"/>
      <c r="AH234" s="3649">
        <v>0</v>
      </c>
    </row>
    <row r="235" s="11480" customFormat="1" ht="56.25" customHeight="1">
      <c r="A235" s="5179"/>
      <c r="B235" s="5179"/>
      <c r="C235" s="5180"/>
      <c r="D235" s="5181"/>
      <c r="E235" s="5182"/>
      <c r="F235" s="5182"/>
      <c r="G235" s="5182"/>
      <c r="H235" s="3907" t="s">
        <v>432</v>
      </c>
      <c r="I235" s="5168">
        <v>46388</v>
      </c>
      <c r="J235" s="5169">
        <v>46752</v>
      </c>
      <c r="K235" s="5183">
        <v>0</v>
      </c>
      <c r="L235" s="3909" t="s">
        <v>313</v>
      </c>
      <c r="M235" s="5184"/>
      <c r="N235" s="5185"/>
      <c r="O235" s="5186"/>
      <c r="P235" s="5186"/>
      <c r="Q235" s="3649"/>
      <c r="R235" s="3649"/>
      <c r="S235" s="3649"/>
      <c r="T235" s="3649"/>
      <c r="U235" s="3649"/>
      <c r="V235" s="3649"/>
      <c r="W235" s="3649"/>
      <c r="X235" s="3649"/>
      <c r="Y235" s="3649"/>
      <c r="Z235" s="3649"/>
      <c r="AA235" s="3649"/>
      <c r="AB235" s="3649"/>
      <c r="AC235" s="3649"/>
      <c r="AD235" s="3649"/>
      <c r="AE235" s="3649"/>
      <c r="AF235" s="3649"/>
      <c r="AG235" s="3649"/>
      <c r="AH235" s="3649">
        <v>0</v>
      </c>
    </row>
    <row r="236" s="11480" customFormat="1" ht="56.25" customHeight="1">
      <c r="A236" s="5179"/>
      <c r="B236" s="5179"/>
      <c r="C236" s="5180"/>
      <c r="D236" s="5181"/>
      <c r="E236" s="5182"/>
      <c r="F236" s="5182"/>
      <c r="G236" s="5182"/>
      <c r="H236" s="3907" t="s">
        <v>432</v>
      </c>
      <c r="I236" s="5168">
        <v>46753</v>
      </c>
      <c r="J236" s="5169">
        <v>47118</v>
      </c>
      <c r="K236" s="5183">
        <v>0</v>
      </c>
      <c r="L236" s="3909" t="s">
        <v>313</v>
      </c>
      <c r="M236" s="5184"/>
      <c r="N236" s="5185"/>
      <c r="O236" s="5186"/>
      <c r="P236" s="5186"/>
      <c r="Q236" s="3649"/>
      <c r="R236" s="3649"/>
      <c r="S236" s="3649"/>
      <c r="T236" s="3649"/>
      <c r="U236" s="3649"/>
      <c r="V236" s="3649"/>
      <c r="W236" s="3649"/>
      <c r="X236" s="3649"/>
      <c r="Y236" s="3649"/>
      <c r="Z236" s="3649"/>
      <c r="AA236" s="3649"/>
      <c r="AB236" s="3649"/>
      <c r="AC236" s="3649"/>
      <c r="AD236" s="3649"/>
      <c r="AE236" s="3649"/>
      <c r="AF236" s="3649"/>
      <c r="AG236" s="3649"/>
      <c r="AH236" s="3649">
        <v>0</v>
      </c>
    </row>
    <row r="237" s="9138" customFormat="1" ht="18.75" customHeight="1">
      <c r="A237" s="1950"/>
      <c r="B237" s="1950"/>
      <c r="C237" s="539" t="s">
        <v>1151</v>
      </c>
      <c r="D237" s="2632"/>
      <c r="E237" s="2374"/>
      <c r="F237" s="2553"/>
      <c r="G237" s="2597"/>
      <c r="H237" s="1670"/>
      <c r="I237" s="821" t="s">
        <v>1150</v>
      </c>
      <c r="J237" s="741"/>
      <c r="K237" s="1670"/>
      <c r="L237" s="384"/>
      <c r="M237" s="2031"/>
      <c r="N237" s="504"/>
      <c r="O237" s="1794"/>
      <c r="P237" s="1794"/>
      <c r="AH237" s="1801">
        <v>0</v>
      </c>
    </row>
    <row r="238" s="9138" customFormat="1" ht="0.75" customHeight="1">
      <c r="A238" s="1950"/>
      <c r="B238" s="1950"/>
      <c r="C238" s="539" t="s">
        <v>1160</v>
      </c>
      <c r="D238" s="2632"/>
      <c r="E238" s="2374"/>
      <c r="F238" s="2553"/>
      <c r="G238" s="570"/>
      <c r="H238" s="1670"/>
      <c r="I238" s="821"/>
      <c r="J238" s="741"/>
      <c r="K238" s="1670"/>
      <c r="L238" s="384"/>
      <c r="M238" s="511"/>
      <c r="N238" s="504"/>
      <c r="O238" s="1794"/>
      <c r="P238" s="1794"/>
      <c r="AH238" s="1801">
        <v>0</v>
      </c>
    </row>
    <row r="239" s="9138" customFormat="1" ht="45" hidden="1" customHeight="1">
      <c r="A239" s="1950" t="s">
        <v>176</v>
      </c>
      <c r="B239" s="1950" t="s">
        <v>177</v>
      </c>
      <c r="C239" s="539"/>
      <c r="D239" s="2632"/>
      <c r="E239" s="2374"/>
      <c r="F239" s="2553" t="str">
        <f>INDEX(PT_DIFFERENTIATION_VTAR,MATCH(A239,PT_DIFFERENTIATION_VTAR_ID,0))</f>
        <v xml:space="preserve">Тарифы на теплоноситель, поставляемый теплоснабжающими организациями потребителям, другим теплоснабжающим организациям</v>
      </c>
      <c r="G239" s="2597" t="str">
        <f>INDEX(PT_DIFFERENTIATION_NTAR,MATCH(B239,PT_DIFFERENTIATION_NTAR_ID,0))</f>
        <v/>
      </c>
      <c r="H239" s="2032"/>
      <c r="I239" s="1909"/>
      <c r="J239" s="1943"/>
      <c r="K239" s="1948"/>
      <c r="L239" s="2032" t="s">
        <v>313</v>
      </c>
      <c r="M239" s="511"/>
      <c r="N239" s="504"/>
      <c r="O239" s="1794"/>
      <c r="P239" s="1794"/>
      <c r="AH239" s="1801">
        <v>0</v>
      </c>
    </row>
    <row r="240" s="9138" customFormat="1" ht="18.75" hidden="1" customHeight="1">
      <c r="A240" s="1950"/>
      <c r="B240" s="1950"/>
      <c r="C240" s="539" t="s">
        <v>1151</v>
      </c>
      <c r="D240" s="2632"/>
      <c r="E240" s="2374"/>
      <c r="F240" s="2553"/>
      <c r="G240" s="2597"/>
      <c r="H240" s="1670"/>
      <c r="I240" s="821" t="s">
        <v>1150</v>
      </c>
      <c r="J240" s="741"/>
      <c r="K240" s="1670"/>
      <c r="L240" s="384"/>
      <c r="M240" s="511"/>
      <c r="N240" s="504"/>
      <c r="O240" s="1794"/>
      <c r="P240" s="1794"/>
      <c r="AH240" s="1801">
        <v>0</v>
      </c>
    </row>
    <row r="241" s="9138" customFormat="1" ht="0.75" hidden="1" customHeight="1">
      <c r="A241" s="1950"/>
      <c r="B241" s="1950"/>
      <c r="C241" s="539" t="s">
        <v>1160</v>
      </c>
      <c r="D241" s="2632"/>
      <c r="E241" s="2374"/>
      <c r="F241" s="2553"/>
      <c r="G241" s="570"/>
      <c r="H241" s="1670"/>
      <c r="I241" s="821"/>
      <c r="J241" s="741"/>
      <c r="K241" s="1670"/>
      <c r="L241" s="384"/>
      <c r="M241" s="511"/>
      <c r="N241" s="504"/>
      <c r="O241" s="1794"/>
      <c r="P241" s="1794"/>
      <c r="AH241" s="1801">
        <v>0</v>
      </c>
    </row>
    <row r="242" s="9138" customFormat="1" ht="45" hidden="1" customHeight="1">
      <c r="A242" s="1950" t="s">
        <v>182</v>
      </c>
      <c r="B242" s="1950" t="s">
        <v>183</v>
      </c>
      <c r="C242" s="539"/>
      <c r="D242" s="2632"/>
      <c r="E242" s="2374"/>
      <c r="F242" s="2553" t="str">
        <f>INDEX(PT_DIFFERENTIATION_VTAR,MATCH(A242,PT_DIFFERENTIATION_VTAR_ID,0))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42" s="2597" t="str">
        <f>INDEX(PT_DIFFERENTIATION_NTAR,MATCH(B242,PT_DIFFERENTIATION_NTAR_ID,0))</f>
        <v/>
      </c>
      <c r="H242" s="2032"/>
      <c r="I242" s="1909"/>
      <c r="J242" s="1943"/>
      <c r="K242" s="1948"/>
      <c r="L242" s="2032" t="s">
        <v>313</v>
      </c>
      <c r="M242" s="511"/>
      <c r="N242" s="504"/>
      <c r="O242" s="1794"/>
      <c r="P242" s="1794"/>
      <c r="AH242" s="1801">
        <v>0</v>
      </c>
    </row>
    <row r="243" s="9138" customFormat="1" ht="18.75" hidden="1" customHeight="1">
      <c r="A243" s="1950"/>
      <c r="B243" s="1950"/>
      <c r="C243" s="539" t="s">
        <v>1151</v>
      </c>
      <c r="D243" s="2632"/>
      <c r="E243" s="2374"/>
      <c r="F243" s="2553"/>
      <c r="G243" s="2597"/>
      <c r="H243" s="1670"/>
      <c r="I243" s="821" t="s">
        <v>1150</v>
      </c>
      <c r="J243" s="741"/>
      <c r="K243" s="1670"/>
      <c r="L243" s="384"/>
      <c r="M243" s="511"/>
      <c r="N243" s="504"/>
      <c r="O243" s="1794"/>
      <c r="P243" s="1794"/>
      <c r="AH243" s="1801">
        <v>0</v>
      </c>
    </row>
    <row r="244" s="9138" customFormat="1" ht="0.75" hidden="1" customHeight="1">
      <c r="A244" s="1950"/>
      <c r="B244" s="1950"/>
      <c r="C244" s="539" t="s">
        <v>1160</v>
      </c>
      <c r="D244" s="2632"/>
      <c r="E244" s="2374"/>
      <c r="F244" s="2553"/>
      <c r="G244" s="570"/>
      <c r="H244" s="1670"/>
      <c r="I244" s="821"/>
      <c r="J244" s="741"/>
      <c r="K244" s="1670"/>
      <c r="L244" s="384"/>
      <c r="M244" s="511"/>
      <c r="N244" s="504"/>
      <c r="O244" s="1794"/>
      <c r="P244" s="1794"/>
      <c r="AH244" s="1801">
        <v>0</v>
      </c>
    </row>
    <row r="245" s="9138" customFormat="1" ht="18.75" hidden="1" customHeight="1">
      <c r="A245" s="1950" t="s">
        <v>188</v>
      </c>
      <c r="B245" s="1950" t="s">
        <v>189</v>
      </c>
      <c r="C245" s="539"/>
      <c r="D245" s="2632"/>
      <c r="E245" s="2374"/>
      <c r="F245" s="2553" t="str">
        <f>INDEX(PT_DIFFERENTIATION_VTAR,MATCH(A245,PT_DIFFERENTIATION_VTAR_ID,0))</f>
        <v xml:space="preserve">Тарифы на услуги по передаче тепловой энергии</v>
      </c>
      <c r="G245" s="2597" t="str">
        <f>INDEX(PT_DIFFERENTIATION_NTAR,MATCH(B245,PT_DIFFERENTIATION_NTAR_ID,0))</f>
        <v/>
      </c>
      <c r="H245" s="2032"/>
      <c r="I245" s="1909"/>
      <c r="J245" s="1943"/>
      <c r="K245" s="1948"/>
      <c r="L245" s="2032" t="s">
        <v>313</v>
      </c>
      <c r="M245" s="511"/>
      <c r="N245" s="504"/>
      <c r="O245" s="1794"/>
      <c r="P245" s="1794"/>
      <c r="AH245" s="1801">
        <v>0</v>
      </c>
    </row>
    <row r="246" s="9138" customFormat="1" ht="18.75" hidden="1" customHeight="1">
      <c r="A246" s="1950"/>
      <c r="B246" s="1950"/>
      <c r="C246" s="539" t="s">
        <v>1151</v>
      </c>
      <c r="D246" s="2632"/>
      <c r="E246" s="2374"/>
      <c r="F246" s="2553"/>
      <c r="G246" s="2597"/>
      <c r="H246" s="1670"/>
      <c r="I246" s="821" t="s">
        <v>1150</v>
      </c>
      <c r="J246" s="741"/>
      <c r="K246" s="1670"/>
      <c r="L246" s="384"/>
      <c r="M246" s="511"/>
      <c r="N246" s="504"/>
      <c r="O246" s="1794"/>
      <c r="P246" s="1794"/>
      <c r="AH246" s="1801">
        <v>0</v>
      </c>
    </row>
    <row r="247" s="9138" customFormat="1" ht="0.75" hidden="1" customHeight="1">
      <c r="A247" s="1950"/>
      <c r="B247" s="1950"/>
      <c r="C247" s="539" t="s">
        <v>1160</v>
      </c>
      <c r="D247" s="2632"/>
      <c r="E247" s="2374"/>
      <c r="F247" s="2553"/>
      <c r="G247" s="570"/>
      <c r="H247" s="1670"/>
      <c r="I247" s="821"/>
      <c r="J247" s="741"/>
      <c r="K247" s="1670"/>
      <c r="L247" s="384"/>
      <c r="M247" s="511"/>
      <c r="N247" s="504"/>
      <c r="O247" s="1794"/>
      <c r="P247" s="1794"/>
      <c r="AH247" s="1801">
        <v>0</v>
      </c>
    </row>
    <row r="248" s="9138" customFormat="1" ht="18.75" hidden="1" customHeight="1">
      <c r="A248" s="1950" t="s">
        <v>194</v>
      </c>
      <c r="B248" s="1950" t="s">
        <v>195</v>
      </c>
      <c r="C248" s="539"/>
      <c r="D248" s="2632"/>
      <c r="E248" s="2374"/>
      <c r="F248" s="2553" t="str">
        <f>INDEX(PT_DIFFERENTIATION_VTAR,MATCH(A248,PT_DIFFERENTIATION_VTAR_ID,0))</f>
        <v xml:space="preserve">Тарифы на услуги по передаче теплоносителя</v>
      </c>
      <c r="G248" s="2597" t="str">
        <f>INDEX(PT_DIFFERENTIATION_NTAR,MATCH(B248,PT_DIFFERENTIATION_NTAR_ID,0))</f>
        <v/>
      </c>
      <c r="H248" s="2032"/>
      <c r="I248" s="1909"/>
      <c r="J248" s="1943"/>
      <c r="K248" s="1948"/>
      <c r="L248" s="2032" t="s">
        <v>313</v>
      </c>
      <c r="M248" s="511"/>
      <c r="N248" s="504"/>
      <c r="O248" s="1794"/>
      <c r="P248" s="1794"/>
      <c r="AH248" s="1801">
        <v>0</v>
      </c>
    </row>
    <row r="249" s="9138" customFormat="1" ht="18.75" hidden="1" customHeight="1">
      <c r="A249" s="1950"/>
      <c r="B249" s="1950"/>
      <c r="C249" s="539" t="s">
        <v>1151</v>
      </c>
      <c r="D249" s="2632"/>
      <c r="E249" s="2374"/>
      <c r="F249" s="2553"/>
      <c r="G249" s="2597"/>
      <c r="H249" s="1670"/>
      <c r="I249" s="821" t="s">
        <v>1150</v>
      </c>
      <c r="J249" s="741"/>
      <c r="K249" s="1670"/>
      <c r="L249" s="384"/>
      <c r="M249" s="511"/>
      <c r="N249" s="504"/>
      <c r="O249" s="1794"/>
      <c r="P249" s="1794"/>
      <c r="AH249" s="1801">
        <v>0</v>
      </c>
    </row>
    <row r="250" s="9138" customFormat="1" ht="0.75" hidden="1" customHeight="1">
      <c r="A250" s="1950"/>
      <c r="B250" s="1950"/>
      <c r="C250" s="539" t="s">
        <v>1160</v>
      </c>
      <c r="D250" s="2632"/>
      <c r="E250" s="2374"/>
      <c r="F250" s="2553"/>
      <c r="G250" s="570"/>
      <c r="H250" s="1670"/>
      <c r="I250" s="821"/>
      <c r="J250" s="741"/>
      <c r="K250" s="1670"/>
      <c r="L250" s="384"/>
      <c r="M250" s="511"/>
      <c r="N250" s="504"/>
      <c r="O250" s="1794"/>
      <c r="P250" s="1794"/>
      <c r="AH250" s="1801">
        <v>0</v>
      </c>
    </row>
    <row r="251" s="9138" customFormat="1" ht="18.75" hidden="1" customHeight="1">
      <c r="A251" s="1950" t="s">
        <v>200</v>
      </c>
      <c r="B251" s="1950" t="s">
        <v>201</v>
      </c>
      <c r="C251" s="539"/>
      <c r="D251" s="2632"/>
      <c r="E251" s="2374"/>
      <c r="F251" s="2553" t="str">
        <f>INDEX(PT_DIFFERENTIATION_VTAR,MATCH(A251,PT_DIFFERENTIATION_VTAR_ID,0))</f>
        <v xml:space="preserve">Плата за услуги по поддержанию резервной тепловой мощности при отсутствии потребления тепловой энергии</v>
      </c>
      <c r="G251" s="2597" t="str">
        <f>INDEX(PT_DIFFERENTIATION_NTAR,MATCH(B251,PT_DIFFERENTIATION_NTAR_ID,0))</f>
        <v/>
      </c>
      <c r="H251" s="2032"/>
      <c r="I251" s="1909"/>
      <c r="J251" s="1943"/>
      <c r="K251" s="1948"/>
      <c r="L251" s="2032" t="s">
        <v>313</v>
      </c>
      <c r="M251" s="511"/>
      <c r="N251" s="504"/>
      <c r="O251" s="1794"/>
      <c r="P251" s="1794"/>
      <c r="AH251" s="1801">
        <v>0</v>
      </c>
    </row>
    <row r="252" s="9138" customFormat="1" ht="18.75" hidden="1" customHeight="1">
      <c r="A252" s="1950"/>
      <c r="B252" s="1950"/>
      <c r="C252" s="539" t="s">
        <v>1151</v>
      </c>
      <c r="D252" s="2632"/>
      <c r="E252" s="2374"/>
      <c r="F252" s="2553"/>
      <c r="G252" s="2597"/>
      <c r="H252" s="1670"/>
      <c r="I252" s="821" t="s">
        <v>1150</v>
      </c>
      <c r="J252" s="741"/>
      <c r="K252" s="1670"/>
      <c r="L252" s="384"/>
      <c r="M252" s="511"/>
      <c r="N252" s="504"/>
      <c r="O252" s="1794"/>
      <c r="P252" s="1794"/>
      <c r="AH252" s="1801">
        <v>0</v>
      </c>
    </row>
    <row r="253" s="9138" customFormat="1" ht="0.75" hidden="1" customHeight="1">
      <c r="A253" s="1950"/>
      <c r="B253" s="1950"/>
      <c r="C253" s="539" t="s">
        <v>1160</v>
      </c>
      <c r="D253" s="2632"/>
      <c r="E253" s="2374"/>
      <c r="F253" s="2553"/>
      <c r="G253" s="570"/>
      <c r="H253" s="1670"/>
      <c r="I253" s="821"/>
      <c r="J253" s="741"/>
      <c r="K253" s="1670"/>
      <c r="L253" s="384"/>
      <c r="M253" s="511"/>
      <c r="N253" s="504"/>
      <c r="O253" s="1794"/>
      <c r="P253" s="1794"/>
      <c r="AH253" s="1801">
        <v>0</v>
      </c>
    </row>
    <row r="254" s="9138" customFormat="1" ht="18.75" hidden="1" customHeight="1">
      <c r="A254" s="1950" t="s">
        <v>206</v>
      </c>
      <c r="B254" s="1950" t="s">
        <v>207</v>
      </c>
      <c r="C254" s="539"/>
      <c r="D254" s="2632"/>
      <c r="E254" s="2374"/>
      <c r="F254" s="2553" t="str">
        <f>INDEX(PT_DIFFERENTIATION_VTAR,MATCH(A254,PT_DIFFERENTIATION_VTAR_ID,0))</f>
        <v xml:space="preserve">Плата за подключение (технологическое присоединение) к системе теплоснабжения</v>
      </c>
      <c r="G254" s="2597" t="str">
        <f>INDEX(PT_DIFFERENTIATION_NTAR,MATCH(B254,PT_DIFFERENTIATION_NTAR_ID,0))</f>
        <v/>
      </c>
      <c r="H254" s="2032"/>
      <c r="I254" s="1909"/>
      <c r="J254" s="1943"/>
      <c r="K254" s="1948"/>
      <c r="L254" s="2032" t="s">
        <v>313</v>
      </c>
      <c r="M254" s="511"/>
      <c r="N254" s="504"/>
      <c r="O254" s="1794"/>
      <c r="P254" s="1794"/>
      <c r="AH254" s="1801">
        <v>0</v>
      </c>
    </row>
    <row r="255" s="9138" customFormat="1" ht="18.75" hidden="1" customHeight="1">
      <c r="A255" s="1950"/>
      <c r="B255" s="1950"/>
      <c r="C255" s="539" t="s">
        <v>1151</v>
      </c>
      <c r="D255" s="2632"/>
      <c r="E255" s="2374"/>
      <c r="F255" s="2553"/>
      <c r="G255" s="2597"/>
      <c r="H255" s="1670"/>
      <c r="I255" s="821" t="s">
        <v>1150</v>
      </c>
      <c r="J255" s="741"/>
      <c r="K255" s="1670"/>
      <c r="L255" s="384"/>
      <c r="M255" s="511"/>
      <c r="N255" s="504"/>
      <c r="O255" s="1794"/>
      <c r="P255" s="1794"/>
      <c r="AH255" s="1801">
        <v>0</v>
      </c>
    </row>
    <row r="256" s="9138" customFormat="1" ht="0.75" hidden="1" customHeight="1">
      <c r="A256" s="1950"/>
      <c r="B256" s="1950"/>
      <c r="C256" s="539" t="s">
        <v>1160</v>
      </c>
      <c r="D256" s="2632"/>
      <c r="E256" s="2374"/>
      <c r="F256" s="2553"/>
      <c r="G256" s="570"/>
      <c r="H256" s="1670"/>
      <c r="I256" s="821"/>
      <c r="J256" s="741"/>
      <c r="K256" s="1670"/>
      <c r="L256" s="384"/>
      <c r="M256" s="511"/>
      <c r="N256" s="504"/>
      <c r="O256" s="1794"/>
      <c r="P256" s="1794"/>
      <c r="AH256" s="1801">
        <v>0</v>
      </c>
    </row>
    <row r="257" s="9138" customFormat="1" ht="18.75" hidden="1" customHeight="1">
      <c r="A257" s="1950" t="s">
        <v>212</v>
      </c>
      <c r="B257" s="1950" t="s">
        <v>213</v>
      </c>
      <c r="C257" s="539"/>
      <c r="D257" s="2632"/>
      <c r="E257" s="2374"/>
      <c r="F257" s="2553" t="str">
        <f>INDEX(PT_DIFFERENTIATION_VTAR,MATCH(A257,PT_DIFFERENTIATION_VTAR_ID,0))</f>
        <v xml:space="preserve">Плата за подключение (технологическое присоединение) к системе теплоснабжения (индивидуальная)</v>
      </c>
      <c r="G257" s="2597" t="str">
        <f>INDEX(PT_DIFFERENTIATION_NTAR,MATCH(B257,PT_DIFFERENTIATION_NTAR_ID,0))</f>
        <v/>
      </c>
      <c r="H257" s="2159"/>
      <c r="I257" s="1909"/>
      <c r="J257" s="1943"/>
      <c r="K257" s="1948"/>
      <c r="L257" s="2159" t="s">
        <v>313</v>
      </c>
      <c r="M257" s="511"/>
      <c r="N257" s="504"/>
      <c r="O257" s="1794"/>
      <c r="P257" s="1794"/>
      <c r="AH257" s="1801">
        <v>0</v>
      </c>
    </row>
    <row r="258" s="9138" customFormat="1" ht="18.75" hidden="1" customHeight="1">
      <c r="A258" s="1950"/>
      <c r="B258" s="1950"/>
      <c r="C258" s="539" t="s">
        <v>1151</v>
      </c>
      <c r="D258" s="2632"/>
      <c r="E258" s="2374"/>
      <c r="F258" s="2553"/>
      <c r="G258" s="2597"/>
      <c r="H258" s="1670"/>
      <c r="I258" s="821" t="s">
        <v>1150</v>
      </c>
      <c r="J258" s="741"/>
      <c r="K258" s="1670"/>
      <c r="L258" s="384"/>
      <c r="M258" s="511"/>
      <c r="N258" s="504"/>
      <c r="O258" s="1794"/>
      <c r="P258" s="1794"/>
      <c r="AH258" s="1801">
        <v>0</v>
      </c>
    </row>
    <row r="259" s="9138" customFormat="1" ht="0.75" hidden="1" customHeight="1">
      <c r="A259" s="1950"/>
      <c r="B259" s="1950"/>
      <c r="C259" s="539" t="s">
        <v>1160</v>
      </c>
      <c r="D259" s="2632"/>
      <c r="E259" s="2374"/>
      <c r="F259" s="2553"/>
      <c r="G259" s="570"/>
      <c r="H259" s="1670"/>
      <c r="I259" s="821"/>
      <c r="J259" s="741"/>
      <c r="K259" s="1670"/>
      <c r="L259" s="384"/>
      <c r="M259" s="511"/>
      <c r="N259" s="504"/>
      <c r="O259" s="1794"/>
      <c r="P259" s="1794"/>
      <c r="AH259" s="1801">
        <v>0</v>
      </c>
    </row>
    <row r="260" s="9138" customFormat="1" ht="18.75" hidden="1" customHeight="1">
      <c r="A260" s="1950" t="s">
        <v>232</v>
      </c>
      <c r="B260" s="1950" t="s">
        <v>233</v>
      </c>
      <c r="C260" s="539"/>
      <c r="D260" s="2632"/>
      <c r="E260" s="2374"/>
      <c r="F260" s="2553" t="str">
        <f>INDEX(PT_DIFFERENTIATION_VTAR,MATCH(A260,PT_DIFFERENTIATION_VTAR_ID,0))</f>
        <v xml:space="preserve">Тариф на питьевую воду (питьевое водоснабжение)</v>
      </c>
      <c r="G260" s="2597" t="str">
        <f>INDEX(PT_DIFFERENTIATION_NTAR,MATCH(B260,PT_DIFFERENTIATION_NTAR_ID,0))</f>
        <v/>
      </c>
      <c r="H260" s="2032"/>
      <c r="I260" s="1909"/>
      <c r="J260" s="1943"/>
      <c r="K260" s="1948"/>
      <c r="L260" s="2032" t="s">
        <v>313</v>
      </c>
      <c r="M260" s="511"/>
      <c r="N260" s="504"/>
      <c r="O260" s="1794"/>
      <c r="P260" s="1794"/>
      <c r="AH260" s="1801">
        <v>0</v>
      </c>
    </row>
    <row r="261" s="9138" customFormat="1" ht="18.75" hidden="1" customHeight="1">
      <c r="A261" s="1950"/>
      <c r="B261" s="1950"/>
      <c r="C261" s="539" t="s">
        <v>1151</v>
      </c>
      <c r="D261" s="2632"/>
      <c r="E261" s="2374"/>
      <c r="F261" s="2553"/>
      <c r="G261" s="2597"/>
      <c r="H261" s="1670"/>
      <c r="I261" s="821" t="s">
        <v>1150</v>
      </c>
      <c r="J261" s="741"/>
      <c r="K261" s="1670"/>
      <c r="L261" s="384"/>
      <c r="M261" s="511"/>
      <c r="N261" s="504"/>
      <c r="O261" s="1794"/>
      <c r="P261" s="1794"/>
      <c r="AH261" s="1801">
        <v>0</v>
      </c>
    </row>
    <row r="262" s="9138" customFormat="1" ht="0.75" hidden="1" customHeight="1">
      <c r="A262" s="1950"/>
      <c r="B262" s="1950"/>
      <c r="C262" s="539" t="s">
        <v>1160</v>
      </c>
      <c r="D262" s="2632"/>
      <c r="E262" s="2374"/>
      <c r="F262" s="2553"/>
      <c r="G262" s="570"/>
      <c r="H262" s="1670"/>
      <c r="I262" s="821"/>
      <c r="J262" s="741"/>
      <c r="K262" s="1670"/>
      <c r="L262" s="384"/>
      <c r="M262" s="511"/>
      <c r="N262" s="504"/>
      <c r="O262" s="1794"/>
      <c r="P262" s="1794"/>
      <c r="AH262" s="1801">
        <v>0</v>
      </c>
    </row>
    <row r="263" s="9138" customFormat="1" ht="18.75" hidden="1" customHeight="1">
      <c r="A263" s="1950" t="s">
        <v>237</v>
      </c>
      <c r="B263" s="1950" t="s">
        <v>238</v>
      </c>
      <c r="C263" s="539"/>
      <c r="D263" s="2632"/>
      <c r="E263" s="2374"/>
      <c r="F263" s="2553" t="str">
        <f>INDEX(PT_DIFFERENTIATION_VTAR,MATCH(A263,PT_DIFFERENTIATION_VTAR_ID,0))</f>
        <v xml:space="preserve">Тариф на техническую воду</v>
      </c>
      <c r="G263" s="2597" t="str">
        <f>INDEX(PT_DIFFERENTIATION_NTAR,MATCH(B263,PT_DIFFERENTIATION_NTAR_ID,0))</f>
        <v/>
      </c>
      <c r="H263" s="2032"/>
      <c r="I263" s="1909"/>
      <c r="J263" s="1943"/>
      <c r="K263" s="1948"/>
      <c r="L263" s="2032" t="s">
        <v>313</v>
      </c>
      <c r="M263" s="511"/>
      <c r="N263" s="504"/>
      <c r="O263" s="1794"/>
      <c r="P263" s="1794"/>
      <c r="AH263" s="1801">
        <v>0</v>
      </c>
    </row>
    <row r="264" s="9138" customFormat="1" ht="18.75" hidden="1" customHeight="1">
      <c r="A264" s="1950"/>
      <c r="B264" s="1950"/>
      <c r="C264" s="539" t="s">
        <v>1151</v>
      </c>
      <c r="D264" s="2632"/>
      <c r="E264" s="2374"/>
      <c r="F264" s="2553"/>
      <c r="G264" s="2597"/>
      <c r="H264" s="1670"/>
      <c r="I264" s="821" t="s">
        <v>1150</v>
      </c>
      <c r="J264" s="741"/>
      <c r="K264" s="1670"/>
      <c r="L264" s="384"/>
      <c r="M264" s="511"/>
      <c r="N264" s="504"/>
      <c r="O264" s="1794"/>
      <c r="P264" s="1794"/>
      <c r="AH264" s="1801">
        <v>0</v>
      </c>
    </row>
    <row r="265" s="9138" customFormat="1" ht="0.75" hidden="1" customHeight="1">
      <c r="A265" s="1950"/>
      <c r="B265" s="1950"/>
      <c r="C265" s="539" t="s">
        <v>1160</v>
      </c>
      <c r="D265" s="2632"/>
      <c r="E265" s="2374"/>
      <c r="F265" s="2553"/>
      <c r="G265" s="570"/>
      <c r="H265" s="1670"/>
      <c r="I265" s="821"/>
      <c r="J265" s="741"/>
      <c r="K265" s="1670"/>
      <c r="L265" s="384"/>
      <c r="M265" s="511"/>
      <c r="N265" s="504"/>
      <c r="O265" s="1794"/>
      <c r="P265" s="1794"/>
      <c r="AH265" s="1801">
        <v>0</v>
      </c>
    </row>
    <row r="266" s="9138" customFormat="1" ht="18.75" hidden="1" customHeight="1">
      <c r="A266" s="1950" t="s">
        <v>242</v>
      </c>
      <c r="B266" s="1950" t="s">
        <v>243</v>
      </c>
      <c r="C266" s="539"/>
      <c r="D266" s="2632"/>
      <c r="E266" s="2374"/>
      <c r="F266" s="2553" t="str">
        <f>INDEX(PT_DIFFERENTIATION_VTAR,MATCH(A266,PT_DIFFERENTIATION_VTAR_ID,0))</f>
        <v xml:space="preserve">Тариф на транспортировку воды</v>
      </c>
      <c r="G266" s="2597" t="str">
        <f>INDEX(PT_DIFFERENTIATION_NTAR,MATCH(B266,PT_DIFFERENTIATION_NTAR_ID,0))</f>
        <v/>
      </c>
      <c r="H266" s="2032"/>
      <c r="I266" s="1909"/>
      <c r="J266" s="1943"/>
      <c r="K266" s="1948"/>
      <c r="L266" s="2032" t="s">
        <v>313</v>
      </c>
      <c r="M266" s="511"/>
      <c r="N266" s="504"/>
      <c r="O266" s="1794"/>
      <c r="P266" s="1794"/>
      <c r="AH266" s="1801">
        <v>0</v>
      </c>
    </row>
    <row r="267" s="9138" customFormat="1" ht="18.75" hidden="1" customHeight="1">
      <c r="A267" s="1950"/>
      <c r="B267" s="1950"/>
      <c r="C267" s="539" t="s">
        <v>1151</v>
      </c>
      <c r="D267" s="2632"/>
      <c r="E267" s="2374"/>
      <c r="F267" s="2553"/>
      <c r="G267" s="2597"/>
      <c r="H267" s="1670"/>
      <c r="I267" s="821" t="s">
        <v>1150</v>
      </c>
      <c r="J267" s="741"/>
      <c r="K267" s="1670"/>
      <c r="L267" s="384"/>
      <c r="M267" s="511"/>
      <c r="N267" s="504"/>
      <c r="O267" s="1794"/>
      <c r="P267" s="1794"/>
      <c r="AH267" s="1801">
        <v>0</v>
      </c>
    </row>
    <row r="268" s="9138" customFormat="1" ht="0.75" hidden="1" customHeight="1">
      <c r="A268" s="1950"/>
      <c r="B268" s="1950"/>
      <c r="C268" s="539" t="s">
        <v>1160</v>
      </c>
      <c r="D268" s="2632"/>
      <c r="E268" s="2374"/>
      <c r="F268" s="2553"/>
      <c r="G268" s="570"/>
      <c r="H268" s="1670"/>
      <c r="I268" s="821"/>
      <c r="J268" s="741"/>
      <c r="K268" s="1670"/>
      <c r="L268" s="384"/>
      <c r="M268" s="511"/>
      <c r="N268" s="504"/>
      <c r="O268" s="1794"/>
      <c r="P268" s="1794"/>
      <c r="AH268" s="1801">
        <v>0</v>
      </c>
    </row>
    <row r="269" s="9138" customFormat="1" ht="18.75" hidden="1" customHeight="1">
      <c r="A269" s="1950" t="s">
        <v>247</v>
      </c>
      <c r="B269" s="1950" t="s">
        <v>248</v>
      </c>
      <c r="C269" s="539"/>
      <c r="D269" s="2632"/>
      <c r="E269" s="2374"/>
      <c r="F269" s="2553" t="str">
        <f>INDEX(PT_DIFFERENTIATION_VTAR,MATCH(A269,PT_DIFFERENTIATION_VTAR_ID,0))</f>
        <v xml:space="preserve">Тариф на подвоз воды</v>
      </c>
      <c r="G269" s="2597" t="str">
        <f>INDEX(PT_DIFFERENTIATION_NTAR,MATCH(B269,PT_DIFFERENTIATION_NTAR_ID,0))</f>
        <v/>
      </c>
      <c r="H269" s="2032"/>
      <c r="I269" s="1909"/>
      <c r="J269" s="1943"/>
      <c r="K269" s="1948"/>
      <c r="L269" s="2032" t="s">
        <v>313</v>
      </c>
      <c r="M269" s="511"/>
      <c r="N269" s="504"/>
      <c r="O269" s="1794"/>
      <c r="P269" s="1794"/>
      <c r="AH269" s="1801">
        <v>0</v>
      </c>
    </row>
    <row r="270" s="9138" customFormat="1" ht="18.75" hidden="1" customHeight="1">
      <c r="A270" s="1950"/>
      <c r="B270" s="1950"/>
      <c r="C270" s="539" t="s">
        <v>1151</v>
      </c>
      <c r="D270" s="2632"/>
      <c r="E270" s="2374"/>
      <c r="F270" s="2553"/>
      <c r="G270" s="2597"/>
      <c r="H270" s="1670"/>
      <c r="I270" s="821" t="s">
        <v>1150</v>
      </c>
      <c r="J270" s="741"/>
      <c r="K270" s="1670"/>
      <c r="L270" s="384"/>
      <c r="M270" s="511"/>
      <c r="N270" s="504"/>
      <c r="O270" s="1794"/>
      <c r="P270" s="1794"/>
      <c r="AH270" s="1801">
        <v>0</v>
      </c>
    </row>
    <row r="271" s="9138" customFormat="1" ht="0.75" hidden="1" customHeight="1">
      <c r="A271" s="1950"/>
      <c r="B271" s="1950"/>
      <c r="C271" s="539" t="s">
        <v>1160</v>
      </c>
      <c r="D271" s="2632"/>
      <c r="E271" s="2374"/>
      <c r="F271" s="2553"/>
      <c r="G271" s="570"/>
      <c r="H271" s="1670"/>
      <c r="I271" s="821"/>
      <c r="J271" s="741"/>
      <c r="K271" s="1670"/>
      <c r="L271" s="384"/>
      <c r="M271" s="511"/>
      <c r="N271" s="504"/>
      <c r="O271" s="1794"/>
      <c r="P271" s="1794"/>
      <c r="AH271" s="1801">
        <v>0</v>
      </c>
    </row>
    <row r="272" s="9138" customFormat="1" ht="18.75" hidden="1" customHeight="1">
      <c r="A272" s="1950" t="s">
        <v>252</v>
      </c>
      <c r="B272" s="1950" t="s">
        <v>253</v>
      </c>
      <c r="C272" s="539"/>
      <c r="D272" s="2632"/>
      <c r="E272" s="2374"/>
      <c r="F272" s="2553" t="str">
        <f>INDEX(PT_DIFFERENTIATION_VTAR,MATCH(A272,PT_DIFFERENTIATION_VTAR_ID,0))</f>
        <v xml:space="preserve">Тариф на подключение (технологическое присоединение) к централизованной системе холодного водоснабжения</v>
      </c>
      <c r="G272" s="2597" t="str">
        <f>INDEX(PT_DIFFERENTIATION_NTAR,MATCH(B272,PT_DIFFERENTIATION_NTAR_ID,0))</f>
        <v/>
      </c>
      <c r="H272" s="2032"/>
      <c r="I272" s="1909"/>
      <c r="J272" s="1943"/>
      <c r="K272" s="1948"/>
      <c r="L272" s="2032" t="s">
        <v>313</v>
      </c>
      <c r="M272" s="511"/>
      <c r="N272" s="504"/>
      <c r="O272" s="1794"/>
      <c r="P272" s="1794"/>
      <c r="AH272" s="1801">
        <v>0</v>
      </c>
    </row>
    <row r="273" s="9138" customFormat="1" ht="18.75" hidden="1" customHeight="1">
      <c r="A273" s="1950"/>
      <c r="B273" s="1950"/>
      <c r="C273" s="539" t="s">
        <v>1151</v>
      </c>
      <c r="D273" s="2632"/>
      <c r="E273" s="2374"/>
      <c r="F273" s="2553"/>
      <c r="G273" s="2597"/>
      <c r="H273" s="1670"/>
      <c r="I273" s="821" t="s">
        <v>1150</v>
      </c>
      <c r="J273" s="741"/>
      <c r="K273" s="1670"/>
      <c r="L273" s="384"/>
      <c r="M273" s="511"/>
      <c r="N273" s="504"/>
      <c r="O273" s="1794"/>
      <c r="P273" s="1794"/>
      <c r="AH273" s="1801">
        <v>0</v>
      </c>
    </row>
    <row r="274" s="9138" customFormat="1" ht="0.75" hidden="1" customHeight="1">
      <c r="A274" s="1950"/>
      <c r="B274" s="1950"/>
      <c r="C274" s="539" t="s">
        <v>1160</v>
      </c>
      <c r="D274" s="2632"/>
      <c r="E274" s="2374"/>
      <c r="F274" s="2553"/>
      <c r="G274" s="570"/>
      <c r="H274" s="1670"/>
      <c r="I274" s="821"/>
      <c r="J274" s="741"/>
      <c r="K274" s="1670"/>
      <c r="L274" s="384"/>
      <c r="M274" s="511"/>
      <c r="N274" s="504"/>
      <c r="O274" s="1794"/>
      <c r="P274" s="1794"/>
      <c r="AH274" s="1801">
        <v>0</v>
      </c>
    </row>
    <row r="275" s="9138" customFormat="1" ht="18.75" hidden="1" customHeight="1">
      <c r="A275" s="1950" t="s">
        <v>257</v>
      </c>
      <c r="B275" s="1950" t="s">
        <v>258</v>
      </c>
      <c r="C275" s="539"/>
      <c r="D275" s="2632"/>
      <c r="E275" s="2374"/>
      <c r="F275" s="2553" t="str">
        <f>INDEX(PT_DIFFERENTIATION_VTAR,MATCH(A275,PT_DIFFERENTIATION_VTAR_ID,0))</f>
        <v xml:space="preserve">Тариф на горячую воду (горячее водоснабжение)</v>
      </c>
      <c r="G275" s="2597" t="str">
        <f>INDEX(PT_DIFFERENTIATION_NTAR,MATCH(B275,PT_DIFFERENTIATION_NTAR_ID,0))</f>
        <v/>
      </c>
      <c r="H275" s="2032"/>
      <c r="I275" s="1909"/>
      <c r="J275" s="1943"/>
      <c r="K275" s="1948"/>
      <c r="L275" s="2032" t="s">
        <v>313</v>
      </c>
      <c r="M275" s="511"/>
      <c r="N275" s="504"/>
      <c r="O275" s="1794"/>
      <c r="P275" s="1794"/>
      <c r="AH275" s="1801">
        <v>0</v>
      </c>
    </row>
    <row r="276" s="9138" customFormat="1" ht="18.75" hidden="1" customHeight="1">
      <c r="A276" s="1950"/>
      <c r="B276" s="1950"/>
      <c r="C276" s="539" t="s">
        <v>1151</v>
      </c>
      <c r="D276" s="2632"/>
      <c r="E276" s="2374"/>
      <c r="F276" s="2553"/>
      <c r="G276" s="2597"/>
      <c r="H276" s="1670"/>
      <c r="I276" s="821" t="s">
        <v>1150</v>
      </c>
      <c r="J276" s="741"/>
      <c r="K276" s="1670"/>
      <c r="L276" s="384"/>
      <c r="M276" s="511"/>
      <c r="N276" s="504"/>
      <c r="O276" s="1794"/>
      <c r="P276" s="1794"/>
      <c r="AH276" s="1801">
        <v>0</v>
      </c>
    </row>
    <row r="277" s="9138" customFormat="1" ht="0.75" hidden="1" customHeight="1">
      <c r="A277" s="1950"/>
      <c r="B277" s="1950"/>
      <c r="C277" s="539" t="s">
        <v>1160</v>
      </c>
      <c r="D277" s="2632"/>
      <c r="E277" s="2374"/>
      <c r="F277" s="2553"/>
      <c r="G277" s="570"/>
      <c r="H277" s="1670"/>
      <c r="I277" s="821"/>
      <c r="J277" s="741"/>
      <c r="K277" s="1670"/>
      <c r="L277" s="384"/>
      <c r="M277" s="511"/>
      <c r="N277" s="504"/>
      <c r="O277" s="1794"/>
      <c r="P277" s="1794"/>
      <c r="AH277" s="1801">
        <v>0</v>
      </c>
    </row>
    <row r="278" s="9138" customFormat="1" ht="18.75" hidden="1" customHeight="1">
      <c r="A278" s="1950" t="s">
        <v>262</v>
      </c>
      <c r="B278" s="1950" t="s">
        <v>263</v>
      </c>
      <c r="C278" s="539"/>
      <c r="D278" s="2632"/>
      <c r="E278" s="2374"/>
      <c r="F278" s="2553" t="str">
        <f>INDEX(PT_DIFFERENTIATION_VTAR,MATCH(A278,PT_DIFFERENTIATION_VTAR_ID,0))</f>
        <v xml:space="preserve">Тариф на транспортировку горячей воды</v>
      </c>
      <c r="G278" s="2597" t="str">
        <f>INDEX(PT_DIFFERENTIATION_NTAR,MATCH(B278,PT_DIFFERENTIATION_NTAR_ID,0))</f>
        <v/>
      </c>
      <c r="H278" s="2032"/>
      <c r="I278" s="1909"/>
      <c r="J278" s="1943"/>
      <c r="K278" s="1948"/>
      <c r="L278" s="2032" t="s">
        <v>313</v>
      </c>
      <c r="M278" s="511"/>
      <c r="N278" s="504"/>
      <c r="O278" s="1794"/>
      <c r="P278" s="1794"/>
      <c r="AH278" s="1801">
        <v>0</v>
      </c>
    </row>
    <row r="279" s="9138" customFormat="1" ht="18.75" hidden="1" customHeight="1">
      <c r="A279" s="1950"/>
      <c r="B279" s="1950"/>
      <c r="C279" s="539" t="s">
        <v>1151</v>
      </c>
      <c r="D279" s="2632"/>
      <c r="E279" s="2374"/>
      <c r="F279" s="2553"/>
      <c r="G279" s="2597"/>
      <c r="H279" s="1670"/>
      <c r="I279" s="821" t="s">
        <v>1150</v>
      </c>
      <c r="J279" s="741"/>
      <c r="K279" s="1670"/>
      <c r="L279" s="384"/>
      <c r="M279" s="511"/>
      <c r="N279" s="504"/>
      <c r="O279" s="1794"/>
      <c r="P279" s="1794"/>
      <c r="AH279" s="1801">
        <v>0</v>
      </c>
    </row>
    <row r="280" s="9138" customFormat="1" ht="0.75" hidden="1" customHeight="1">
      <c r="A280" s="1950"/>
      <c r="B280" s="1950"/>
      <c r="C280" s="539" t="s">
        <v>1160</v>
      </c>
      <c r="D280" s="2632"/>
      <c r="E280" s="2374"/>
      <c r="F280" s="2553"/>
      <c r="G280" s="570"/>
      <c r="H280" s="1670"/>
      <c r="I280" s="821"/>
      <c r="J280" s="741"/>
      <c r="K280" s="1670"/>
      <c r="L280" s="384"/>
      <c r="M280" s="511"/>
      <c r="N280" s="504"/>
      <c r="O280" s="1794"/>
      <c r="P280" s="1794"/>
      <c r="AH280" s="1801">
        <v>0</v>
      </c>
    </row>
    <row r="281" s="9138" customFormat="1" ht="18.75" hidden="1" customHeight="1">
      <c r="A281" s="1950" t="s">
        <v>267</v>
      </c>
      <c r="B281" s="1950" t="s">
        <v>268</v>
      </c>
      <c r="C281" s="539"/>
      <c r="D281" s="2632"/>
      <c r="E281" s="2374"/>
      <c r="F281" s="2553" t="str">
        <f>INDEX(PT_DIFFERENTIATION_VTAR,MATCH(A281,PT_DIFFERENTIATION_VTAR_ID,0))</f>
        <v xml:space="preserve">Тариф на подключение (технологическое присоединение) к централизованной системе горячего водоснабжения</v>
      </c>
      <c r="G281" s="2597" t="str">
        <f>INDEX(PT_DIFFERENTIATION_NTAR,MATCH(B281,PT_DIFFERENTIATION_NTAR_ID,0))</f>
        <v/>
      </c>
      <c r="H281" s="2032"/>
      <c r="I281" s="1909"/>
      <c r="J281" s="1943"/>
      <c r="K281" s="1948"/>
      <c r="L281" s="2032" t="s">
        <v>313</v>
      </c>
      <c r="M281" s="511"/>
      <c r="N281" s="504"/>
      <c r="O281" s="1794"/>
      <c r="P281" s="1794"/>
      <c r="AH281" s="1801">
        <v>0</v>
      </c>
    </row>
    <row r="282" s="9138" customFormat="1" ht="18.75" hidden="1" customHeight="1">
      <c r="A282" s="1950"/>
      <c r="B282" s="1950"/>
      <c r="C282" s="539" t="s">
        <v>1151</v>
      </c>
      <c r="D282" s="2632"/>
      <c r="E282" s="2374"/>
      <c r="F282" s="2553"/>
      <c r="G282" s="2597"/>
      <c r="H282" s="1670"/>
      <c r="I282" s="821" t="s">
        <v>1150</v>
      </c>
      <c r="J282" s="741"/>
      <c r="K282" s="1670"/>
      <c r="L282" s="384"/>
      <c r="M282" s="511"/>
      <c r="N282" s="504"/>
      <c r="O282" s="1794"/>
      <c r="P282" s="1794"/>
      <c r="AH282" s="1801">
        <v>0</v>
      </c>
    </row>
    <row r="283" s="9138" customFormat="1" ht="0.75" hidden="1" customHeight="1">
      <c r="A283" s="1950"/>
      <c r="B283" s="1950"/>
      <c r="C283" s="539" t="s">
        <v>1160</v>
      </c>
      <c r="D283" s="2632"/>
      <c r="E283" s="2374"/>
      <c r="F283" s="2553"/>
      <c r="G283" s="570"/>
      <c r="H283" s="1670"/>
      <c r="I283" s="821"/>
      <c r="J283" s="741"/>
      <c r="K283" s="1670"/>
      <c r="L283" s="384"/>
      <c r="M283" s="511"/>
      <c r="N283" s="504"/>
      <c r="O283" s="1794"/>
      <c r="P283" s="1794"/>
      <c r="AH283" s="1801">
        <v>0</v>
      </c>
    </row>
    <row r="284" s="9138" customFormat="1" ht="18.75" hidden="1" customHeight="1">
      <c r="A284" s="1950" t="s">
        <v>272</v>
      </c>
      <c r="B284" s="1950" t="s">
        <v>273</v>
      </c>
      <c r="C284" s="539"/>
      <c r="D284" s="2632"/>
      <c r="E284" s="2374"/>
      <c r="F284" s="2553" t="str">
        <f>INDEX(PT_DIFFERENTIATION_VTAR,MATCH(A284,PT_DIFFERENTIATION_VTAR_ID,0))</f>
        <v xml:space="preserve">Тариф на водоотведение</v>
      </c>
      <c r="G284" s="2597" t="str">
        <f>INDEX(PT_DIFFERENTIATION_NTAR,MATCH(B284,PT_DIFFERENTIATION_NTAR_ID,0))</f>
        <v/>
      </c>
      <c r="H284" s="2032"/>
      <c r="I284" s="1909"/>
      <c r="J284" s="1943"/>
      <c r="K284" s="1948"/>
      <c r="L284" s="2032" t="s">
        <v>313</v>
      </c>
      <c r="M284" s="511"/>
      <c r="N284" s="504"/>
      <c r="O284" s="1794"/>
      <c r="P284" s="1794"/>
      <c r="AH284" s="1801">
        <v>0</v>
      </c>
    </row>
    <row r="285" s="9138" customFormat="1" ht="18.75" hidden="1" customHeight="1">
      <c r="A285" s="1950"/>
      <c r="B285" s="1950"/>
      <c r="C285" s="539" t="s">
        <v>1151</v>
      </c>
      <c r="D285" s="2632"/>
      <c r="E285" s="2374"/>
      <c r="F285" s="2553"/>
      <c r="G285" s="2597"/>
      <c r="H285" s="1670"/>
      <c r="I285" s="821" t="s">
        <v>1150</v>
      </c>
      <c r="J285" s="741"/>
      <c r="K285" s="1670"/>
      <c r="L285" s="384"/>
      <c r="M285" s="511"/>
      <c r="N285" s="504"/>
      <c r="O285" s="1794"/>
      <c r="P285" s="1794"/>
      <c r="AH285" s="1801">
        <v>0</v>
      </c>
    </row>
    <row r="286" s="9138" customFormat="1" ht="0.75" hidden="1" customHeight="1">
      <c r="A286" s="1950"/>
      <c r="B286" s="1950"/>
      <c r="C286" s="539" t="s">
        <v>1160</v>
      </c>
      <c r="D286" s="2632"/>
      <c r="E286" s="2374"/>
      <c r="F286" s="2553"/>
      <c r="G286" s="570"/>
      <c r="H286" s="1670"/>
      <c r="I286" s="821"/>
      <c r="J286" s="741"/>
      <c r="K286" s="1670"/>
      <c r="L286" s="384"/>
      <c r="M286" s="511"/>
      <c r="N286" s="504"/>
      <c r="O286" s="1794"/>
      <c r="P286" s="1794"/>
      <c r="AH286" s="1801">
        <v>0</v>
      </c>
    </row>
    <row r="287" s="9138" customFormat="1" ht="18.75" hidden="1" customHeight="1">
      <c r="A287" s="1950" t="s">
        <v>277</v>
      </c>
      <c r="B287" s="1950" t="s">
        <v>278</v>
      </c>
      <c r="C287" s="539"/>
      <c r="D287" s="2632"/>
      <c r="E287" s="2374"/>
      <c r="F287" s="2553" t="str">
        <f>INDEX(PT_DIFFERENTIATION_VTAR,MATCH(A287,PT_DIFFERENTIATION_VTAR_ID,0))</f>
        <v xml:space="preserve">Тариф на транспортировку сточных вод</v>
      </c>
      <c r="G287" s="2597" t="str">
        <f>INDEX(PT_DIFFERENTIATION_NTAR,MATCH(B287,PT_DIFFERENTIATION_NTAR_ID,0))</f>
        <v/>
      </c>
      <c r="H287" s="2032"/>
      <c r="I287" s="1909"/>
      <c r="J287" s="1943"/>
      <c r="K287" s="1948"/>
      <c r="L287" s="2032" t="s">
        <v>313</v>
      </c>
      <c r="M287" s="511"/>
      <c r="N287" s="504"/>
      <c r="O287" s="1794"/>
      <c r="P287" s="1794"/>
      <c r="AH287" s="1801">
        <v>0</v>
      </c>
    </row>
    <row r="288" s="9138" customFormat="1" ht="18.75" hidden="1" customHeight="1">
      <c r="A288" s="1950"/>
      <c r="B288" s="1950"/>
      <c r="C288" s="539" t="s">
        <v>1151</v>
      </c>
      <c r="D288" s="2632"/>
      <c r="E288" s="2374"/>
      <c r="F288" s="2553"/>
      <c r="G288" s="2597"/>
      <c r="H288" s="1670"/>
      <c r="I288" s="821" t="s">
        <v>1150</v>
      </c>
      <c r="J288" s="741"/>
      <c r="K288" s="1670"/>
      <c r="L288" s="384"/>
      <c r="M288" s="511"/>
      <c r="N288" s="504"/>
      <c r="O288" s="1794"/>
      <c r="P288" s="1794"/>
      <c r="AH288" s="1801">
        <v>0</v>
      </c>
    </row>
    <row r="289" s="9138" customFormat="1" ht="0.75" hidden="1" customHeight="1">
      <c r="A289" s="1950"/>
      <c r="B289" s="1950"/>
      <c r="C289" s="539" t="s">
        <v>1160</v>
      </c>
      <c r="D289" s="2632"/>
      <c r="E289" s="2374"/>
      <c r="F289" s="2553"/>
      <c r="G289" s="570"/>
      <c r="H289" s="1670"/>
      <c r="I289" s="821"/>
      <c r="J289" s="741"/>
      <c r="K289" s="1670"/>
      <c r="L289" s="384"/>
      <c r="M289" s="511"/>
      <c r="N289" s="504"/>
      <c r="O289" s="1794"/>
      <c r="P289" s="1794"/>
      <c r="AH289" s="1801">
        <v>0</v>
      </c>
    </row>
    <row r="290" s="9138" customFormat="1" ht="18.75" hidden="1" customHeight="1">
      <c r="A290" s="1950" t="s">
        <v>282</v>
      </c>
      <c r="B290" s="1950" t="s">
        <v>283</v>
      </c>
      <c r="C290" s="539"/>
      <c r="D290" s="2632"/>
      <c r="E290" s="2374"/>
      <c r="F290" s="2553" t="str">
        <f>INDEX(PT_DIFFERENTIATION_VTAR,MATCH(A290,PT_DIFFERENTIATION_VTAR_ID,0))</f>
        <v xml:space="preserve">Тариф на подключение (технологическое присоединение) к централизованной системе водоотведения</v>
      </c>
      <c r="G290" s="2597" t="str">
        <f>INDEX(PT_DIFFERENTIATION_NTAR,MATCH(B290,PT_DIFFERENTIATION_NTAR_ID,0))</f>
        <v/>
      </c>
      <c r="H290" s="2032"/>
      <c r="I290" s="1909"/>
      <c r="J290" s="1943"/>
      <c r="K290" s="1948"/>
      <c r="L290" s="2032" t="s">
        <v>313</v>
      </c>
      <c r="M290" s="511"/>
      <c r="N290" s="504"/>
      <c r="O290" s="1794"/>
      <c r="P290" s="1794"/>
      <c r="AH290" s="1801">
        <v>0</v>
      </c>
    </row>
    <row r="291" s="9138" customFormat="1" ht="18.75" hidden="1" customHeight="1">
      <c r="A291" s="1950"/>
      <c r="B291" s="1950"/>
      <c r="C291" s="539" t="s">
        <v>1151</v>
      </c>
      <c r="D291" s="2632"/>
      <c r="E291" s="2374"/>
      <c r="F291" s="2553"/>
      <c r="G291" s="2597"/>
      <c r="H291" s="1670"/>
      <c r="I291" s="821" t="s">
        <v>1150</v>
      </c>
      <c r="J291" s="741"/>
      <c r="K291" s="1670"/>
      <c r="L291" s="384"/>
      <c r="M291" s="511"/>
      <c r="N291" s="504"/>
      <c r="O291" s="1794"/>
      <c r="P291" s="1794"/>
      <c r="AH291" s="1801">
        <v>0</v>
      </c>
    </row>
    <row r="292" s="9138" customFormat="1" ht="1.05" customHeight="1">
      <c r="A292" s="1950"/>
      <c r="B292" s="1950"/>
      <c r="C292" s="539" t="s">
        <v>1160</v>
      </c>
      <c r="D292" s="2632"/>
      <c r="E292" s="2374"/>
      <c r="F292" s="2553"/>
      <c r="G292" s="570"/>
      <c r="H292" s="1670"/>
      <c r="I292" s="821"/>
      <c r="J292" s="741"/>
      <c r="K292" s="1670"/>
      <c r="L292" s="384"/>
      <c r="M292" s="511"/>
      <c r="N292" s="504"/>
      <c r="O292" s="1794"/>
      <c r="P292" s="1794"/>
      <c r="AH292" s="1801">
        <v>1</v>
      </c>
    </row>
    <row r="293" ht="27.300000000000001" customHeight="1">
      <c r="A293" s="1950"/>
      <c r="B293" s="1950"/>
      <c r="D293" s="546"/>
      <c r="E293" s="317" t="s">
        <v>93</v>
      </c>
      <c r="F293"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 xml:space="preserve">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93" s="2630"/>
      <c r="H293" s="2630"/>
      <c r="I293" s="2630"/>
      <c r="J293" s="2630"/>
      <c r="K293" s="2630"/>
      <c r="L293" s="2630"/>
      <c r="M293" s="467"/>
      <c r="N293" s="504"/>
      <c r="AH293" s="544">
        <v>26</v>
      </c>
    </row>
    <row r="294" s="9138" customFormat="1" ht="60.75" customHeight="1">
      <c r="A294" s="1950" t="s">
        <v>158</v>
      </c>
      <c r="B294" s="1950" t="s">
        <v>159</v>
      </c>
      <c r="C294" s="539"/>
      <c r="D294" s="2632"/>
      <c r="E294" s="2374"/>
      <c r="F294" s="2553" t="str">
        <f>INDEX(PT_DIFFERENTIATION_VTAR,MATCH(A294,PT_DIFFERENTIATION_VTAR_ID,0))</f>
        <v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94" s="2597" t="str">
        <f>INDEX(PT_DIFFERENTIATION_NTAR,MATCH(B294,PT_DIFFERENTIATION_NTAR_ID,0))</f>
        <v xml:space="preserve">Тариф на тепловую энергию</v>
      </c>
      <c r="H294" s="2032"/>
      <c r="I294" s="5168">
        <v>45292</v>
      </c>
      <c r="J294" s="1943">
        <v>45657</v>
      </c>
      <c r="K294" s="1948">
        <v>210050.64999999999</v>
      </c>
      <c r="L294" s="2032" t="s">
        <v>313</v>
      </c>
      <c r="M29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 xml:space="preserve">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94" s="504"/>
      <c r="O294" s="1794"/>
      <c r="P294" s="1794"/>
      <c r="AH294" s="1801">
        <v>0</v>
      </c>
    </row>
    <row r="295" s="11480" customFormat="1" ht="56.25" customHeight="1">
      <c r="A295" s="5179"/>
      <c r="B295" s="5179"/>
      <c r="C295" s="5180"/>
      <c r="D295" s="5181"/>
      <c r="E295" s="5182"/>
      <c r="F295" s="5182"/>
      <c r="G295" s="5182"/>
      <c r="H295" s="3907" t="s">
        <v>432</v>
      </c>
      <c r="I295" s="5168">
        <v>45658</v>
      </c>
      <c r="J295" s="5169">
        <v>46022</v>
      </c>
      <c r="K295" s="5183">
        <v>488700.66999999998</v>
      </c>
      <c r="L295" s="3909" t="s">
        <v>313</v>
      </c>
      <c r="M295" s="5184"/>
      <c r="N295" s="5185"/>
      <c r="O295" s="5186"/>
      <c r="P295" s="5186"/>
      <c r="Q295" s="3649"/>
      <c r="R295" s="3649"/>
      <c r="S295" s="3649"/>
      <c r="T295" s="3649"/>
      <c r="U295" s="3649"/>
      <c r="V295" s="3649"/>
      <c r="W295" s="3649"/>
      <c r="X295" s="3649"/>
      <c r="Y295" s="3649"/>
      <c r="Z295" s="3649"/>
      <c r="AA295" s="3649"/>
      <c r="AB295" s="3649"/>
      <c r="AC295" s="3649"/>
      <c r="AD295" s="3649"/>
      <c r="AE295" s="3649"/>
      <c r="AF295" s="3649"/>
      <c r="AG295" s="3649"/>
      <c r="AH295" s="3649">
        <v>0</v>
      </c>
    </row>
    <row r="296" s="11480" customFormat="1" ht="56.25" customHeight="1">
      <c r="A296" s="5179"/>
      <c r="B296" s="5179"/>
      <c r="C296" s="5180"/>
      <c r="D296" s="5181"/>
      <c r="E296" s="5182"/>
      <c r="F296" s="5182"/>
      <c r="G296" s="5182"/>
      <c r="H296" s="3907" t="s">
        <v>432</v>
      </c>
      <c r="I296" s="5168">
        <v>46023</v>
      </c>
      <c r="J296" s="5169">
        <v>46387</v>
      </c>
      <c r="K296" s="5183">
        <v>0</v>
      </c>
      <c r="L296" s="3909" t="s">
        <v>313</v>
      </c>
      <c r="M296" s="5184"/>
      <c r="N296" s="5185"/>
      <c r="O296" s="5186"/>
      <c r="P296" s="5186"/>
      <c r="Q296" s="3649"/>
      <c r="R296" s="3649"/>
      <c r="S296" s="3649"/>
      <c r="T296" s="3649"/>
      <c r="U296" s="3649"/>
      <c r="V296" s="3649"/>
      <c r="W296" s="3649"/>
      <c r="X296" s="3649"/>
      <c r="Y296" s="3649"/>
      <c r="Z296" s="3649"/>
      <c r="AA296" s="3649"/>
      <c r="AB296" s="3649"/>
      <c r="AC296" s="3649"/>
      <c r="AD296" s="3649"/>
      <c r="AE296" s="3649"/>
      <c r="AF296" s="3649"/>
      <c r="AG296" s="3649"/>
      <c r="AH296" s="3649">
        <v>0</v>
      </c>
    </row>
    <row r="297" s="11480" customFormat="1" ht="56.25" customHeight="1">
      <c r="A297" s="5179"/>
      <c r="B297" s="5179"/>
      <c r="C297" s="5180"/>
      <c r="D297" s="5181"/>
      <c r="E297" s="5182"/>
      <c r="F297" s="5182"/>
      <c r="G297" s="5182"/>
      <c r="H297" s="3907" t="s">
        <v>432</v>
      </c>
      <c r="I297" s="5168">
        <v>46388</v>
      </c>
      <c r="J297" s="5169">
        <v>46752</v>
      </c>
      <c r="K297" s="5183">
        <v>0</v>
      </c>
      <c r="L297" s="3909" t="s">
        <v>313</v>
      </c>
      <c r="M297" s="5184"/>
      <c r="N297" s="5185"/>
      <c r="O297" s="5186"/>
      <c r="P297" s="5186"/>
      <c r="Q297" s="3649"/>
      <c r="R297" s="3649"/>
      <c r="S297" s="3649"/>
      <c r="T297" s="3649"/>
      <c r="U297" s="3649"/>
      <c r="V297" s="3649"/>
      <c r="W297" s="3649"/>
      <c r="X297" s="3649"/>
      <c r="Y297" s="3649"/>
      <c r="Z297" s="3649"/>
      <c r="AA297" s="3649"/>
      <c r="AB297" s="3649"/>
      <c r="AC297" s="3649"/>
      <c r="AD297" s="3649"/>
      <c r="AE297" s="3649"/>
      <c r="AF297" s="3649"/>
      <c r="AG297" s="3649"/>
      <c r="AH297" s="3649">
        <v>0</v>
      </c>
    </row>
    <row r="298" s="11480" customFormat="1" ht="56.25" customHeight="1">
      <c r="A298" s="5179"/>
      <c r="B298" s="5179"/>
      <c r="C298" s="5180"/>
      <c r="D298" s="5181"/>
      <c r="E298" s="5182"/>
      <c r="F298" s="5182"/>
      <c r="G298" s="5182"/>
      <c r="H298" s="3907" t="s">
        <v>432</v>
      </c>
      <c r="I298" s="5168">
        <v>46753</v>
      </c>
      <c r="J298" s="5169">
        <v>47118</v>
      </c>
      <c r="K298" s="5183">
        <v>0</v>
      </c>
      <c r="L298" s="3909" t="s">
        <v>313</v>
      </c>
      <c r="M298" s="5184"/>
      <c r="N298" s="5185"/>
      <c r="O298" s="5186"/>
      <c r="P298" s="5186"/>
      <c r="Q298" s="3649"/>
      <c r="R298" s="3649"/>
      <c r="S298" s="3649"/>
      <c r="T298" s="3649"/>
      <c r="U298" s="3649"/>
      <c r="V298" s="3649"/>
      <c r="W298" s="3649"/>
      <c r="X298" s="3649"/>
      <c r="Y298" s="3649"/>
      <c r="Z298" s="3649"/>
      <c r="AA298" s="3649"/>
      <c r="AB298" s="3649"/>
      <c r="AC298" s="3649"/>
      <c r="AD298" s="3649"/>
      <c r="AE298" s="3649"/>
      <c r="AF298" s="3649"/>
      <c r="AG298" s="3649"/>
      <c r="AH298" s="3649">
        <v>0</v>
      </c>
    </row>
    <row r="299" s="9138" customFormat="1" ht="18.75" customHeight="1">
      <c r="A299" s="1950"/>
      <c r="B299" s="1950"/>
      <c r="C299" s="539" t="s">
        <v>1151</v>
      </c>
      <c r="D299" s="2632"/>
      <c r="E299" s="2374"/>
      <c r="F299" s="2553"/>
      <c r="G299" s="2597"/>
      <c r="H299" s="1670"/>
      <c r="I299" s="821" t="s">
        <v>1150</v>
      </c>
      <c r="J299" s="741"/>
      <c r="K299" s="1670"/>
      <c r="L299" s="384"/>
      <c r="M299" s="2340"/>
      <c r="N299" s="504"/>
      <c r="O299" s="1794"/>
      <c r="P299" s="1794"/>
      <c r="AH299" s="1801">
        <v>0</v>
      </c>
    </row>
    <row r="300" s="9138" customFormat="1" ht="0.75" customHeight="1">
      <c r="A300" s="1950"/>
      <c r="B300" s="1950"/>
      <c r="C300" s="539" t="s">
        <v>1160</v>
      </c>
      <c r="D300" s="2632"/>
      <c r="E300" s="2374"/>
      <c r="F300" s="2553"/>
      <c r="G300" s="570"/>
      <c r="H300" s="1670"/>
      <c r="I300" s="821"/>
      <c r="J300" s="741"/>
      <c r="K300" s="1670"/>
      <c r="L300" s="384"/>
      <c r="M300" s="2340"/>
      <c r="N300" s="504"/>
      <c r="O300" s="1794"/>
      <c r="P300" s="1794"/>
      <c r="AH300" s="1801">
        <v>0</v>
      </c>
    </row>
    <row r="301" s="9138" customFormat="1" ht="45" customHeight="1">
      <c r="A301" s="1950" t="s">
        <v>170</v>
      </c>
      <c r="B301" s="1950" t="s">
        <v>171</v>
      </c>
      <c r="C301" s="539"/>
      <c r="D301" s="2632"/>
      <c r="E301" s="2374"/>
      <c r="F301" s="2553" t="str">
        <f>INDEX(PT_DIFFERENTIATION_VTAR,MATCH(A301,PT_DIFFERENTIATION_VTAR_ID,0))</f>
        <v xml:space="preserve">Тарифы на тепловую энергию (мощность), поставляемую теплоснабжающими организациями потребителям, другим теплоснабжающим организациям</v>
      </c>
      <c r="G301" s="2597" t="str">
        <f>INDEX(PT_DIFFERENTIATION_NTAR,MATCH(B301,PT_DIFFERENTIATION_NTAR_ID,0))</f>
        <v xml:space="preserve">Тариф на тепловую энергию (мощность), поставляемую теплоснабжающими, теплосетевыми организациями, приобретающим тепловую энергию с целью компенсации потерь тепловой энергии</v>
      </c>
      <c r="H301" s="2032"/>
      <c r="I301" s="5168">
        <v>45292</v>
      </c>
      <c r="J301" s="1943">
        <v>45657</v>
      </c>
      <c r="K301" s="1948">
        <v>0</v>
      </c>
      <c r="L301" s="2032" t="s">
        <v>313</v>
      </c>
      <c r="M301" s="2341"/>
      <c r="N301" s="504"/>
      <c r="O301" s="1794"/>
      <c r="P301" s="1794"/>
      <c r="AH301" s="1801">
        <v>0</v>
      </c>
    </row>
    <row r="302" s="11480" customFormat="1" ht="56.25" customHeight="1">
      <c r="A302" s="5179"/>
      <c r="B302" s="5179"/>
      <c r="C302" s="5180"/>
      <c r="D302" s="5181"/>
      <c r="E302" s="5182"/>
      <c r="F302" s="5182"/>
      <c r="G302" s="5182"/>
      <c r="H302" s="3907" t="s">
        <v>432</v>
      </c>
      <c r="I302" s="5168">
        <v>45658</v>
      </c>
      <c r="J302" s="5169">
        <v>46022</v>
      </c>
      <c r="K302" s="5183">
        <v>0</v>
      </c>
      <c r="L302" s="3909" t="s">
        <v>313</v>
      </c>
      <c r="M302" s="5184"/>
      <c r="N302" s="5185"/>
      <c r="O302" s="5186"/>
      <c r="P302" s="5186"/>
      <c r="Q302" s="3649"/>
      <c r="R302" s="3649"/>
      <c r="S302" s="3649"/>
      <c r="T302" s="3649"/>
      <c r="U302" s="3649"/>
      <c r="V302" s="3649"/>
      <c r="W302" s="3649"/>
      <c r="X302" s="3649"/>
      <c r="Y302" s="3649"/>
      <c r="Z302" s="3649"/>
      <c r="AA302" s="3649"/>
      <c r="AB302" s="3649"/>
      <c r="AC302" s="3649"/>
      <c r="AD302" s="3649"/>
      <c r="AE302" s="3649"/>
      <c r="AF302" s="3649"/>
      <c r="AG302" s="3649"/>
      <c r="AH302" s="3649">
        <v>0</v>
      </c>
    </row>
    <row r="303" s="11480" customFormat="1" ht="56.25" customHeight="1">
      <c r="A303" s="5179"/>
      <c r="B303" s="5179"/>
      <c r="C303" s="5180"/>
      <c r="D303" s="5181"/>
      <c r="E303" s="5182"/>
      <c r="F303" s="5182"/>
      <c r="G303" s="5182"/>
      <c r="H303" s="3907" t="s">
        <v>432</v>
      </c>
      <c r="I303" s="5168">
        <v>46023</v>
      </c>
      <c r="J303" s="5169">
        <v>46387</v>
      </c>
      <c r="K303" s="5183">
        <v>0</v>
      </c>
      <c r="L303" s="3909" t="s">
        <v>313</v>
      </c>
      <c r="M303" s="5184"/>
      <c r="N303" s="5185"/>
      <c r="O303" s="5186"/>
      <c r="P303" s="5186"/>
      <c r="Q303" s="3649"/>
      <c r="R303" s="3649"/>
      <c r="S303" s="3649"/>
      <c r="T303" s="3649"/>
      <c r="U303" s="3649"/>
      <c r="V303" s="3649"/>
      <c r="W303" s="3649"/>
      <c r="X303" s="3649"/>
      <c r="Y303" s="3649"/>
      <c r="Z303" s="3649"/>
      <c r="AA303" s="3649"/>
      <c r="AB303" s="3649"/>
      <c r="AC303" s="3649"/>
      <c r="AD303" s="3649"/>
      <c r="AE303" s="3649"/>
      <c r="AF303" s="3649"/>
      <c r="AG303" s="3649"/>
      <c r="AH303" s="3649">
        <v>0</v>
      </c>
    </row>
    <row r="304" s="11480" customFormat="1" ht="56.25" customHeight="1">
      <c r="A304" s="5179"/>
      <c r="B304" s="5179"/>
      <c r="C304" s="5180"/>
      <c r="D304" s="5181"/>
      <c r="E304" s="5182"/>
      <c r="F304" s="5182"/>
      <c r="G304" s="5182"/>
      <c r="H304" s="3907" t="s">
        <v>432</v>
      </c>
      <c r="I304" s="5168">
        <v>46388</v>
      </c>
      <c r="J304" s="5169">
        <v>46752</v>
      </c>
      <c r="K304" s="5183">
        <v>0</v>
      </c>
      <c r="L304" s="3909" t="s">
        <v>313</v>
      </c>
      <c r="M304" s="5184"/>
      <c r="N304" s="5185"/>
      <c r="O304" s="5186"/>
      <c r="P304" s="5186"/>
      <c r="Q304" s="3649"/>
      <c r="R304" s="3649"/>
      <c r="S304" s="3649"/>
      <c r="T304" s="3649"/>
      <c r="U304" s="3649"/>
      <c r="V304" s="3649"/>
      <c r="W304" s="3649"/>
      <c r="X304" s="3649"/>
      <c r="Y304" s="3649"/>
      <c r="Z304" s="3649"/>
      <c r="AA304" s="3649"/>
      <c r="AB304" s="3649"/>
      <c r="AC304" s="3649"/>
      <c r="AD304" s="3649"/>
      <c r="AE304" s="3649"/>
      <c r="AF304" s="3649"/>
      <c r="AG304" s="3649"/>
      <c r="AH304" s="3649">
        <v>0</v>
      </c>
    </row>
    <row r="305" s="11480" customFormat="1" ht="56.25" customHeight="1">
      <c r="A305" s="5179"/>
      <c r="B305" s="5179"/>
      <c r="C305" s="5180"/>
      <c r="D305" s="5181"/>
      <c r="E305" s="5182"/>
      <c r="F305" s="5182"/>
      <c r="G305" s="5182"/>
      <c r="H305" s="3907" t="s">
        <v>432</v>
      </c>
      <c r="I305" s="5168">
        <v>46753</v>
      </c>
      <c r="J305" s="5169">
        <v>47118</v>
      </c>
      <c r="K305" s="5183">
        <v>0</v>
      </c>
      <c r="L305" s="3909" t="s">
        <v>313</v>
      </c>
      <c r="M305" s="5184"/>
      <c r="N305" s="5185"/>
      <c r="O305" s="5186"/>
      <c r="P305" s="5186"/>
      <c r="Q305" s="3649"/>
      <c r="R305" s="3649"/>
      <c r="S305" s="3649"/>
      <c r="T305" s="3649"/>
      <c r="U305" s="3649"/>
      <c r="V305" s="3649"/>
      <c r="W305" s="3649"/>
      <c r="X305" s="3649"/>
      <c r="Y305" s="3649"/>
      <c r="Z305" s="3649"/>
      <c r="AA305" s="3649"/>
      <c r="AB305" s="3649"/>
      <c r="AC305" s="3649"/>
      <c r="AD305" s="3649"/>
      <c r="AE305" s="3649"/>
      <c r="AF305" s="3649"/>
      <c r="AG305" s="3649"/>
      <c r="AH305" s="3649">
        <v>0</v>
      </c>
    </row>
    <row r="306" s="9138" customFormat="1" ht="18.75" customHeight="1">
      <c r="A306" s="1950"/>
      <c r="B306" s="1950"/>
      <c r="C306" s="539" t="s">
        <v>1151</v>
      </c>
      <c r="D306" s="2632"/>
      <c r="E306" s="2374"/>
      <c r="F306" s="2553"/>
      <c r="G306" s="2597"/>
      <c r="H306" s="1670"/>
      <c r="I306" s="821" t="s">
        <v>1150</v>
      </c>
      <c r="J306" s="741"/>
      <c r="K306" s="1670"/>
      <c r="L306" s="384"/>
      <c r="M306" s="2031"/>
      <c r="N306" s="504"/>
      <c r="O306" s="1794"/>
      <c r="P306" s="1794"/>
      <c r="AH306" s="1801">
        <v>0</v>
      </c>
    </row>
    <row r="307" s="9138" customFormat="1" ht="0.75" customHeight="1">
      <c r="A307" s="1950"/>
      <c r="B307" s="1950"/>
      <c r="C307" s="539" t="s">
        <v>1160</v>
      </c>
      <c r="D307" s="2632"/>
      <c r="E307" s="2374"/>
      <c r="F307" s="2553"/>
      <c r="G307" s="570"/>
      <c r="H307" s="1670"/>
      <c r="I307" s="821"/>
      <c r="J307" s="741"/>
      <c r="K307" s="1670"/>
      <c r="L307" s="384"/>
      <c r="M307" s="511"/>
      <c r="N307" s="504"/>
      <c r="O307" s="1794"/>
      <c r="P307" s="1794"/>
      <c r="AH307" s="1801">
        <v>0</v>
      </c>
    </row>
    <row r="308" s="9138" customFormat="1" ht="45" hidden="1" customHeight="1">
      <c r="A308" s="1950" t="s">
        <v>176</v>
      </c>
      <c r="B308" s="1950" t="s">
        <v>177</v>
      </c>
      <c r="C308" s="539"/>
      <c r="D308" s="2632"/>
      <c r="E308" s="2374"/>
      <c r="F308" s="2553" t="str">
        <f>INDEX(PT_DIFFERENTIATION_VTAR,MATCH(A308,PT_DIFFERENTIATION_VTAR_ID,0))</f>
        <v xml:space="preserve">Тарифы на теплоноситель, поставляемый теплоснабжающими организациями потребителям, другим теплоснабжающим организациям</v>
      </c>
      <c r="G308" s="2597" t="str">
        <f>INDEX(PT_DIFFERENTIATION_NTAR,MATCH(B308,PT_DIFFERENTIATION_NTAR_ID,0))</f>
        <v/>
      </c>
      <c r="H308" s="2032"/>
      <c r="I308" s="1909"/>
      <c r="J308" s="1943"/>
      <c r="K308" s="1948"/>
      <c r="L308" s="2032" t="s">
        <v>313</v>
      </c>
      <c r="M308" s="511"/>
      <c r="N308" s="504"/>
      <c r="O308" s="1794"/>
      <c r="P308" s="1794"/>
      <c r="AH308" s="1801">
        <v>0</v>
      </c>
    </row>
    <row r="309" s="9138" customFormat="1" ht="18.75" hidden="1" customHeight="1">
      <c r="A309" s="1950"/>
      <c r="B309" s="1950"/>
      <c r="C309" s="539" t="s">
        <v>1151</v>
      </c>
      <c r="D309" s="2632"/>
      <c r="E309" s="2374"/>
      <c r="F309" s="2553"/>
      <c r="G309" s="2597"/>
      <c r="H309" s="1670"/>
      <c r="I309" s="821" t="s">
        <v>1150</v>
      </c>
      <c r="J309" s="741"/>
      <c r="K309" s="1670"/>
      <c r="L309" s="384"/>
      <c r="M309" s="511"/>
      <c r="N309" s="504"/>
      <c r="O309" s="1794"/>
      <c r="P309" s="1794"/>
      <c r="AH309" s="1801">
        <v>0</v>
      </c>
    </row>
    <row r="310" s="9138" customFormat="1" ht="0.75" hidden="1" customHeight="1">
      <c r="A310" s="1950"/>
      <c r="B310" s="1950"/>
      <c r="C310" s="539" t="s">
        <v>1160</v>
      </c>
      <c r="D310" s="2632"/>
      <c r="E310" s="2374"/>
      <c r="F310" s="2553"/>
      <c r="G310" s="570"/>
      <c r="H310" s="1670"/>
      <c r="I310" s="821"/>
      <c r="J310" s="741"/>
      <c r="K310" s="1670"/>
      <c r="L310" s="384"/>
      <c r="M310" s="511"/>
      <c r="N310" s="504"/>
      <c r="O310" s="1794"/>
      <c r="P310" s="1794"/>
      <c r="AH310" s="1801">
        <v>0</v>
      </c>
    </row>
    <row r="311" s="9138" customFormat="1" ht="45" hidden="1" customHeight="1">
      <c r="A311" s="1950" t="s">
        <v>182</v>
      </c>
      <c r="B311" s="1950" t="s">
        <v>183</v>
      </c>
      <c r="C311" s="539"/>
      <c r="D311" s="2632"/>
      <c r="E311" s="2374"/>
      <c r="F311" s="2553" t="str">
        <f>INDEX(PT_DIFFERENTIATION_VTAR,MATCH(A311,PT_DIFFERENTIATION_VTAR_ID,0))</f>
        <v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11" s="2597" t="str">
        <f>INDEX(PT_DIFFERENTIATION_NTAR,MATCH(B311,PT_DIFFERENTIATION_NTAR_ID,0))</f>
        <v/>
      </c>
      <c r="H311" s="2032"/>
      <c r="I311" s="1909"/>
      <c r="J311" s="1943"/>
      <c r="K311" s="1948"/>
      <c r="L311" s="2032" t="s">
        <v>313</v>
      </c>
      <c r="M311" s="511"/>
      <c r="N311" s="504"/>
      <c r="O311" s="1794"/>
      <c r="P311" s="1794"/>
      <c r="AH311" s="1801">
        <v>0</v>
      </c>
    </row>
    <row r="312" s="9138" customFormat="1" ht="18.75" hidden="1" customHeight="1">
      <c r="A312" s="1950"/>
      <c r="B312" s="1950"/>
      <c r="C312" s="539" t="s">
        <v>1151</v>
      </c>
      <c r="D312" s="2632"/>
      <c r="E312" s="2374"/>
      <c r="F312" s="2553"/>
      <c r="G312" s="2597"/>
      <c r="H312" s="1670"/>
      <c r="I312" s="821" t="s">
        <v>1150</v>
      </c>
      <c r="J312" s="741"/>
      <c r="K312" s="1670"/>
      <c r="L312" s="384"/>
      <c r="M312" s="511"/>
      <c r="N312" s="504"/>
      <c r="O312" s="1794"/>
      <c r="P312" s="1794"/>
      <c r="AH312" s="1801">
        <v>0</v>
      </c>
    </row>
    <row r="313" s="9138" customFormat="1" ht="0.75" hidden="1" customHeight="1">
      <c r="A313" s="1950"/>
      <c r="B313" s="1950"/>
      <c r="C313" s="539" t="s">
        <v>1160</v>
      </c>
      <c r="D313" s="2632"/>
      <c r="E313" s="2374"/>
      <c r="F313" s="2553"/>
      <c r="G313" s="570"/>
      <c r="H313" s="1670"/>
      <c r="I313" s="821"/>
      <c r="J313" s="741"/>
      <c r="K313" s="1670"/>
      <c r="L313" s="384"/>
      <c r="M313" s="511"/>
      <c r="N313" s="504"/>
      <c r="O313" s="1794"/>
      <c r="P313" s="1794"/>
      <c r="AH313" s="1801">
        <v>0</v>
      </c>
    </row>
    <row r="314" s="9138" customFormat="1" ht="18.75" hidden="1" customHeight="1">
      <c r="A314" s="1950" t="s">
        <v>188</v>
      </c>
      <c r="B314" s="1950" t="s">
        <v>189</v>
      </c>
      <c r="C314" s="539"/>
      <c r="D314" s="2632"/>
      <c r="E314" s="2374"/>
      <c r="F314" s="2553" t="str">
        <f>INDEX(PT_DIFFERENTIATION_VTAR,MATCH(A314,PT_DIFFERENTIATION_VTAR_ID,0))</f>
        <v xml:space="preserve">Тарифы на услуги по передаче тепловой энергии</v>
      </c>
      <c r="G314" s="2597" t="str">
        <f>INDEX(PT_DIFFERENTIATION_NTAR,MATCH(B314,PT_DIFFERENTIATION_NTAR_ID,0))</f>
        <v/>
      </c>
      <c r="H314" s="2032"/>
      <c r="I314" s="1909"/>
      <c r="J314" s="1943"/>
      <c r="K314" s="1948"/>
      <c r="L314" s="2032" t="s">
        <v>313</v>
      </c>
      <c r="M314" s="511"/>
      <c r="N314" s="504"/>
      <c r="O314" s="1794"/>
      <c r="P314" s="1794"/>
      <c r="AH314" s="1801">
        <v>0</v>
      </c>
    </row>
    <row r="315" s="9138" customFormat="1" ht="18.75" hidden="1" customHeight="1">
      <c r="A315" s="1950"/>
      <c r="B315" s="1950"/>
      <c r="C315" s="539" t="s">
        <v>1151</v>
      </c>
      <c r="D315" s="2632"/>
      <c r="E315" s="2374"/>
      <c r="F315" s="2553"/>
      <c r="G315" s="2597"/>
      <c r="H315" s="1670"/>
      <c r="I315" s="821" t="s">
        <v>1150</v>
      </c>
      <c r="J315" s="741"/>
      <c r="K315" s="1670"/>
      <c r="L315" s="384"/>
      <c r="M315" s="511"/>
      <c r="N315" s="504"/>
      <c r="O315" s="1794"/>
      <c r="P315" s="1794"/>
      <c r="AH315" s="1801">
        <v>0</v>
      </c>
    </row>
    <row r="316" s="9138" customFormat="1" ht="0.75" hidden="1" customHeight="1">
      <c r="A316" s="1950"/>
      <c r="B316" s="1950"/>
      <c r="C316" s="539" t="s">
        <v>1160</v>
      </c>
      <c r="D316" s="2632"/>
      <c r="E316" s="2374"/>
      <c r="F316" s="2553"/>
      <c r="G316" s="570"/>
      <c r="H316" s="1670"/>
      <c r="I316" s="821"/>
      <c r="J316" s="741"/>
      <c r="K316" s="1670"/>
      <c r="L316" s="384"/>
      <c r="M316" s="511"/>
      <c r="N316" s="504"/>
      <c r="O316" s="1794"/>
      <c r="P316" s="1794"/>
      <c r="AH316" s="1801">
        <v>0</v>
      </c>
    </row>
    <row r="317" s="9138" customFormat="1" ht="18.75" hidden="1" customHeight="1">
      <c r="A317" s="1950" t="s">
        <v>194</v>
      </c>
      <c r="B317" s="1950" t="s">
        <v>195</v>
      </c>
      <c r="C317" s="539"/>
      <c r="D317" s="2632"/>
      <c r="E317" s="2374"/>
      <c r="F317" s="2553" t="str">
        <f>INDEX(PT_DIFFERENTIATION_VTAR,MATCH(A317,PT_DIFFERENTIATION_VTAR_ID,0))</f>
        <v xml:space="preserve">Тарифы на услуги по передаче теплоносителя</v>
      </c>
      <c r="G317" s="2597" t="str">
        <f>INDEX(PT_DIFFERENTIATION_NTAR,MATCH(B317,PT_DIFFERENTIATION_NTAR_ID,0))</f>
        <v/>
      </c>
      <c r="H317" s="2032"/>
      <c r="I317" s="1909"/>
      <c r="J317" s="1943"/>
      <c r="K317" s="1948"/>
      <c r="L317" s="2032" t="s">
        <v>313</v>
      </c>
      <c r="M317" s="511"/>
      <c r="N317" s="504"/>
      <c r="O317" s="1794"/>
      <c r="P317" s="1794"/>
      <c r="AH317" s="1801">
        <v>0</v>
      </c>
    </row>
    <row r="318" s="9138" customFormat="1" ht="18.75" hidden="1" customHeight="1">
      <c r="A318" s="1950"/>
      <c r="B318" s="1950"/>
      <c r="C318" s="539" t="s">
        <v>1151</v>
      </c>
      <c r="D318" s="2632"/>
      <c r="E318" s="2374"/>
      <c r="F318" s="2553"/>
      <c r="G318" s="2597"/>
      <c r="H318" s="1670"/>
      <c r="I318" s="821" t="s">
        <v>1150</v>
      </c>
      <c r="J318" s="741"/>
      <c r="K318" s="1670"/>
      <c r="L318" s="384"/>
      <c r="M318" s="511"/>
      <c r="N318" s="504"/>
      <c r="O318" s="1794"/>
      <c r="P318" s="1794"/>
      <c r="AH318" s="1801">
        <v>0</v>
      </c>
    </row>
    <row r="319" s="9138" customFormat="1" ht="0.75" hidden="1" customHeight="1">
      <c r="A319" s="1950"/>
      <c r="B319" s="1950"/>
      <c r="C319" s="539" t="s">
        <v>1160</v>
      </c>
      <c r="D319" s="2632"/>
      <c r="E319" s="2374"/>
      <c r="F319" s="2553"/>
      <c r="G319" s="570"/>
      <c r="H319" s="1670"/>
      <c r="I319" s="821"/>
      <c r="J319" s="741"/>
      <c r="K319" s="1670"/>
      <c r="L319" s="384"/>
      <c r="M319" s="511"/>
      <c r="N319" s="504"/>
      <c r="O319" s="1794"/>
      <c r="P319" s="1794"/>
      <c r="AH319" s="1801">
        <v>0</v>
      </c>
    </row>
    <row r="320" s="9138" customFormat="1" ht="18.75" hidden="1" customHeight="1">
      <c r="A320" s="1950" t="s">
        <v>200</v>
      </c>
      <c r="B320" s="1950" t="s">
        <v>201</v>
      </c>
      <c r="C320" s="539"/>
      <c r="D320" s="2632"/>
      <c r="E320" s="2374"/>
      <c r="F320" s="2553" t="str">
        <f>INDEX(PT_DIFFERENTIATION_VTAR,MATCH(A320,PT_DIFFERENTIATION_VTAR_ID,0))</f>
        <v xml:space="preserve">Плата за услуги по поддержанию резервной тепловой мощности при отсутствии потребления тепловой энергии</v>
      </c>
      <c r="G320" s="2597" t="str">
        <f>INDEX(PT_DIFFERENTIATION_NTAR,MATCH(B320,PT_DIFFERENTIATION_NTAR_ID,0))</f>
        <v/>
      </c>
      <c r="H320" s="2032"/>
      <c r="I320" s="1909"/>
      <c r="J320" s="1943"/>
      <c r="K320" s="1948"/>
      <c r="L320" s="2032" t="s">
        <v>313</v>
      </c>
      <c r="M320" s="511"/>
      <c r="N320" s="504"/>
      <c r="O320" s="1794"/>
      <c r="P320" s="1794"/>
      <c r="AH320" s="1801">
        <v>0</v>
      </c>
    </row>
    <row r="321" s="9138" customFormat="1" ht="18.75" hidden="1" customHeight="1">
      <c r="A321" s="1950"/>
      <c r="B321" s="1950"/>
      <c r="C321" s="539" t="s">
        <v>1151</v>
      </c>
      <c r="D321" s="2632"/>
      <c r="E321" s="2374"/>
      <c r="F321" s="2553"/>
      <c r="G321" s="2597"/>
      <c r="H321" s="1670"/>
      <c r="I321" s="821" t="s">
        <v>1150</v>
      </c>
      <c r="J321" s="741"/>
      <c r="K321" s="1670"/>
      <c r="L321" s="384"/>
      <c r="M321" s="511"/>
      <c r="N321" s="504"/>
      <c r="O321" s="1794"/>
      <c r="P321" s="1794"/>
      <c r="AH321" s="1801">
        <v>0</v>
      </c>
    </row>
    <row r="322" s="9138" customFormat="1" ht="0.75" hidden="1" customHeight="1">
      <c r="A322" s="1950"/>
      <c r="B322" s="1950"/>
      <c r="C322" s="539" t="s">
        <v>1160</v>
      </c>
      <c r="D322" s="2632"/>
      <c r="E322" s="2374"/>
      <c r="F322" s="2553"/>
      <c r="G322" s="570"/>
      <c r="H322" s="1670"/>
      <c r="I322" s="821"/>
      <c r="J322" s="741"/>
      <c r="K322" s="1670"/>
      <c r="L322" s="384"/>
      <c r="M322" s="511"/>
      <c r="N322" s="504"/>
      <c r="O322" s="1794"/>
      <c r="P322" s="1794"/>
      <c r="AH322" s="1801">
        <v>0</v>
      </c>
    </row>
    <row r="323" s="9138" customFormat="1" ht="18.75" hidden="1" customHeight="1">
      <c r="A323" s="1950" t="s">
        <v>206</v>
      </c>
      <c r="B323" s="1950" t="s">
        <v>207</v>
      </c>
      <c r="C323" s="539"/>
      <c r="D323" s="2632"/>
      <c r="E323" s="2374"/>
      <c r="F323" s="2553" t="str">
        <f>INDEX(PT_DIFFERENTIATION_VTAR,MATCH(A323,PT_DIFFERENTIATION_VTAR_ID,0))</f>
        <v xml:space="preserve">Плата за подключение (технологическое присоединение) к системе теплоснабжения</v>
      </c>
      <c r="G323" s="2597" t="str">
        <f>INDEX(PT_DIFFERENTIATION_NTAR,MATCH(B323,PT_DIFFERENTIATION_NTAR_ID,0))</f>
        <v/>
      </c>
      <c r="H323" s="2032"/>
      <c r="I323" s="1909"/>
      <c r="J323" s="1943"/>
      <c r="K323" s="1948"/>
      <c r="L323" s="2032" t="s">
        <v>313</v>
      </c>
      <c r="M323" s="511"/>
      <c r="N323" s="504"/>
      <c r="O323" s="1794"/>
      <c r="P323" s="1794"/>
      <c r="AH323" s="1801">
        <v>0</v>
      </c>
    </row>
    <row r="324" s="9138" customFormat="1" ht="18.75" hidden="1" customHeight="1">
      <c r="A324" s="1950"/>
      <c r="B324" s="1950"/>
      <c r="C324" s="539" t="s">
        <v>1151</v>
      </c>
      <c r="D324" s="2632"/>
      <c r="E324" s="2374"/>
      <c r="F324" s="2553"/>
      <c r="G324" s="2597"/>
      <c r="H324" s="1670"/>
      <c r="I324" s="821" t="s">
        <v>1150</v>
      </c>
      <c r="J324" s="741"/>
      <c r="K324" s="1670"/>
      <c r="L324" s="384"/>
      <c r="M324" s="511"/>
      <c r="N324" s="504"/>
      <c r="O324" s="1794"/>
      <c r="P324" s="1794"/>
      <c r="AH324" s="1801">
        <v>0</v>
      </c>
    </row>
    <row r="325" s="9138" customFormat="1" ht="0.75" hidden="1" customHeight="1">
      <c r="A325" s="1950"/>
      <c r="B325" s="1950"/>
      <c r="C325" s="539" t="s">
        <v>1160</v>
      </c>
      <c r="D325" s="2632"/>
      <c r="E325" s="2374"/>
      <c r="F325" s="2553"/>
      <c r="G325" s="570"/>
      <c r="H325" s="1670"/>
      <c r="I325" s="821"/>
      <c r="J325" s="741"/>
      <c r="K325" s="1670"/>
      <c r="L325" s="384"/>
      <c r="M325" s="511"/>
      <c r="N325" s="504"/>
      <c r="O325" s="1794"/>
      <c r="P325" s="1794"/>
      <c r="AH325" s="1801">
        <v>0</v>
      </c>
    </row>
    <row r="326" s="9138" customFormat="1" ht="18.75" hidden="1" customHeight="1">
      <c r="A326" s="1950" t="s">
        <v>212</v>
      </c>
      <c r="B326" s="1950" t="s">
        <v>213</v>
      </c>
      <c r="C326" s="539"/>
      <c r="D326" s="2632"/>
      <c r="E326" s="2374"/>
      <c r="F326" s="2553" t="str">
        <f>INDEX(PT_DIFFERENTIATION_VTAR,MATCH(A326,PT_DIFFERENTIATION_VTAR_ID,0))</f>
        <v xml:space="preserve">Плата за подключение (технологическое присоединение) к системе теплоснабжения (индивидуальная)</v>
      </c>
      <c r="G326" s="2597" t="str">
        <f>INDEX(PT_DIFFERENTIATION_NTAR,MATCH(B326,PT_DIFFERENTIATION_NTAR_ID,0))</f>
        <v/>
      </c>
      <c r="H326" s="2159"/>
      <c r="I326" s="1909"/>
      <c r="J326" s="1943"/>
      <c r="K326" s="1948"/>
      <c r="L326" s="2159" t="s">
        <v>313</v>
      </c>
      <c r="M326" s="511"/>
      <c r="N326" s="504"/>
      <c r="O326" s="1794"/>
      <c r="P326" s="1794"/>
      <c r="AH326" s="1801">
        <v>0</v>
      </c>
    </row>
    <row r="327" s="9138" customFormat="1" ht="18.75" hidden="1" customHeight="1">
      <c r="A327" s="1950"/>
      <c r="B327" s="1950"/>
      <c r="C327" s="539" t="s">
        <v>1151</v>
      </c>
      <c r="D327" s="2632"/>
      <c r="E327" s="2374"/>
      <c r="F327" s="2553"/>
      <c r="G327" s="2597"/>
      <c r="H327" s="1670"/>
      <c r="I327" s="821" t="s">
        <v>1150</v>
      </c>
      <c r="J327" s="741"/>
      <c r="K327" s="1670"/>
      <c r="L327" s="384"/>
      <c r="M327" s="511"/>
      <c r="N327" s="504"/>
      <c r="O327" s="1794"/>
      <c r="P327" s="1794"/>
      <c r="AH327" s="1801">
        <v>0</v>
      </c>
    </row>
    <row r="328" s="9138" customFormat="1" ht="0.75" hidden="1" customHeight="1">
      <c r="A328" s="1950"/>
      <c r="B328" s="1950"/>
      <c r="C328" s="539" t="s">
        <v>1160</v>
      </c>
      <c r="D328" s="2632"/>
      <c r="E328" s="2374"/>
      <c r="F328" s="2553"/>
      <c r="G328" s="570"/>
      <c r="H328" s="1670"/>
      <c r="I328" s="821"/>
      <c r="J328" s="741"/>
      <c r="K328" s="1670"/>
      <c r="L328" s="384"/>
      <c r="M328" s="511"/>
      <c r="N328" s="504"/>
      <c r="O328" s="1794"/>
      <c r="P328" s="1794"/>
      <c r="AH328" s="1801">
        <v>0</v>
      </c>
    </row>
    <row r="329" s="9138" customFormat="1" ht="18.75" hidden="1" customHeight="1">
      <c r="A329" s="1950" t="s">
        <v>232</v>
      </c>
      <c r="B329" s="1950" t="s">
        <v>233</v>
      </c>
      <c r="C329" s="539"/>
      <c r="D329" s="2632"/>
      <c r="E329" s="2374"/>
      <c r="F329" s="2553" t="str">
        <f>INDEX(PT_DIFFERENTIATION_VTAR,MATCH(A329,PT_DIFFERENTIATION_VTAR_ID,0))</f>
        <v xml:space="preserve">Тариф на питьевую воду (питьевое водоснабжение)</v>
      </c>
      <c r="G329" s="2597" t="str">
        <f>INDEX(PT_DIFFERENTIATION_NTAR,MATCH(B329,PT_DIFFERENTIATION_NTAR_ID,0))</f>
        <v/>
      </c>
      <c r="H329" s="2032"/>
      <c r="I329" s="1909"/>
      <c r="J329" s="1943"/>
      <c r="K329" s="1948"/>
      <c r="L329" s="2032" t="s">
        <v>313</v>
      </c>
      <c r="M329" s="511"/>
      <c r="N329" s="504"/>
      <c r="O329" s="1794"/>
      <c r="P329" s="1794"/>
      <c r="AH329" s="1801">
        <v>0</v>
      </c>
    </row>
    <row r="330" s="9138" customFormat="1" ht="18.75" hidden="1" customHeight="1">
      <c r="A330" s="1950"/>
      <c r="B330" s="1950"/>
      <c r="C330" s="539" t="s">
        <v>1151</v>
      </c>
      <c r="D330" s="2632"/>
      <c r="E330" s="2374"/>
      <c r="F330" s="2553"/>
      <c r="G330" s="2597"/>
      <c r="H330" s="1670"/>
      <c r="I330" s="821" t="s">
        <v>1150</v>
      </c>
      <c r="J330" s="741"/>
      <c r="K330" s="1670"/>
      <c r="L330" s="384"/>
      <c r="M330" s="511"/>
      <c r="N330" s="504"/>
      <c r="O330" s="1794"/>
      <c r="P330" s="1794"/>
      <c r="AH330" s="1801">
        <v>0</v>
      </c>
    </row>
    <row r="331" s="9138" customFormat="1" ht="0.75" hidden="1" customHeight="1">
      <c r="A331" s="1950"/>
      <c r="B331" s="1950"/>
      <c r="C331" s="539" t="s">
        <v>1160</v>
      </c>
      <c r="D331" s="2632"/>
      <c r="E331" s="2374"/>
      <c r="F331" s="2553"/>
      <c r="G331" s="570"/>
      <c r="H331" s="1670"/>
      <c r="I331" s="821"/>
      <c r="J331" s="741"/>
      <c r="K331" s="1670"/>
      <c r="L331" s="384"/>
      <c r="M331" s="511"/>
      <c r="N331" s="504"/>
      <c r="O331" s="1794"/>
      <c r="P331" s="1794"/>
      <c r="AH331" s="1801">
        <v>0</v>
      </c>
    </row>
    <row r="332" s="9138" customFormat="1" ht="18.75" hidden="1" customHeight="1">
      <c r="A332" s="1950" t="s">
        <v>237</v>
      </c>
      <c r="B332" s="1950" t="s">
        <v>238</v>
      </c>
      <c r="C332" s="539"/>
      <c r="D332" s="2632"/>
      <c r="E332" s="2374"/>
      <c r="F332" s="2553" t="str">
        <f>INDEX(PT_DIFFERENTIATION_VTAR,MATCH(A332,PT_DIFFERENTIATION_VTAR_ID,0))</f>
        <v xml:space="preserve">Тариф на техническую воду</v>
      </c>
      <c r="G332" s="2597" t="str">
        <f>INDEX(PT_DIFFERENTIATION_NTAR,MATCH(B332,PT_DIFFERENTIATION_NTAR_ID,0))</f>
        <v/>
      </c>
      <c r="H332" s="2032"/>
      <c r="I332" s="1909"/>
      <c r="J332" s="1943"/>
      <c r="K332" s="1948"/>
      <c r="L332" s="2032" t="s">
        <v>313</v>
      </c>
      <c r="M332" s="511"/>
      <c r="N332" s="504"/>
      <c r="O332" s="1794"/>
      <c r="P332" s="1794"/>
      <c r="AH332" s="1801">
        <v>0</v>
      </c>
    </row>
    <row r="333" s="9138" customFormat="1" ht="18.75" hidden="1" customHeight="1">
      <c r="A333" s="1950"/>
      <c r="B333" s="1950"/>
      <c r="C333" s="539" t="s">
        <v>1151</v>
      </c>
      <c r="D333" s="2632"/>
      <c r="E333" s="2374"/>
      <c r="F333" s="2553"/>
      <c r="G333" s="2597"/>
      <c r="H333" s="1670"/>
      <c r="I333" s="821" t="s">
        <v>1150</v>
      </c>
      <c r="J333" s="741"/>
      <c r="K333" s="1670"/>
      <c r="L333" s="384"/>
      <c r="M333" s="511"/>
      <c r="N333" s="504"/>
      <c r="O333" s="1794"/>
      <c r="P333" s="1794"/>
      <c r="AH333" s="1801">
        <v>0</v>
      </c>
    </row>
    <row r="334" s="9138" customFormat="1" ht="0.75" hidden="1" customHeight="1">
      <c r="A334" s="1950"/>
      <c r="B334" s="1950"/>
      <c r="C334" s="539" t="s">
        <v>1160</v>
      </c>
      <c r="D334" s="2632"/>
      <c r="E334" s="2374"/>
      <c r="F334" s="2553"/>
      <c r="G334" s="570"/>
      <c r="H334" s="1670"/>
      <c r="I334" s="821"/>
      <c r="J334" s="741"/>
      <c r="K334" s="1670"/>
      <c r="L334" s="384"/>
      <c r="M334" s="511"/>
      <c r="N334" s="504"/>
      <c r="O334" s="1794"/>
      <c r="P334" s="1794"/>
      <c r="AH334" s="1801">
        <v>0</v>
      </c>
    </row>
    <row r="335" s="9138" customFormat="1" ht="18.75" hidden="1" customHeight="1">
      <c r="A335" s="1950" t="s">
        <v>242</v>
      </c>
      <c r="B335" s="1950" t="s">
        <v>243</v>
      </c>
      <c r="C335" s="539"/>
      <c r="D335" s="2632"/>
      <c r="E335" s="2374"/>
      <c r="F335" s="2553" t="str">
        <f>INDEX(PT_DIFFERENTIATION_VTAR,MATCH(A335,PT_DIFFERENTIATION_VTAR_ID,0))</f>
        <v xml:space="preserve">Тариф на транспортировку воды</v>
      </c>
      <c r="G335" s="2597" t="str">
        <f>INDEX(PT_DIFFERENTIATION_NTAR,MATCH(B335,PT_DIFFERENTIATION_NTAR_ID,0))</f>
        <v/>
      </c>
      <c r="H335" s="2032"/>
      <c r="I335" s="1909"/>
      <c r="J335" s="1943"/>
      <c r="K335" s="1948"/>
      <c r="L335" s="2032" t="s">
        <v>313</v>
      </c>
      <c r="M335" s="511"/>
      <c r="N335" s="504"/>
      <c r="O335" s="1794"/>
      <c r="P335" s="1794"/>
      <c r="AH335" s="1801">
        <v>0</v>
      </c>
    </row>
    <row r="336" s="9138" customFormat="1" ht="18.75" hidden="1" customHeight="1">
      <c r="A336" s="1950"/>
      <c r="B336" s="1950"/>
      <c r="C336" s="539" t="s">
        <v>1151</v>
      </c>
      <c r="D336" s="2632"/>
      <c r="E336" s="2374"/>
      <c r="F336" s="2553"/>
      <c r="G336" s="2597"/>
      <c r="H336" s="1670"/>
      <c r="I336" s="821" t="s">
        <v>1150</v>
      </c>
      <c r="J336" s="741"/>
      <c r="K336" s="1670"/>
      <c r="L336" s="384"/>
      <c r="M336" s="511"/>
      <c r="N336" s="504"/>
      <c r="O336" s="1794"/>
      <c r="P336" s="1794"/>
      <c r="AH336" s="1801">
        <v>0</v>
      </c>
    </row>
    <row r="337" s="9138" customFormat="1" ht="0.75" hidden="1" customHeight="1">
      <c r="A337" s="1950"/>
      <c r="B337" s="1950"/>
      <c r="C337" s="539" t="s">
        <v>1160</v>
      </c>
      <c r="D337" s="2632"/>
      <c r="E337" s="2374"/>
      <c r="F337" s="2553"/>
      <c r="G337" s="570"/>
      <c r="H337" s="1670"/>
      <c r="I337" s="821"/>
      <c r="J337" s="741"/>
      <c r="K337" s="1670"/>
      <c r="L337" s="384"/>
      <c r="M337" s="511"/>
      <c r="N337" s="504"/>
      <c r="O337" s="1794"/>
      <c r="P337" s="1794"/>
      <c r="AH337" s="1801">
        <v>0</v>
      </c>
    </row>
    <row r="338" s="9138" customFormat="1" ht="18.75" hidden="1" customHeight="1">
      <c r="A338" s="1950" t="s">
        <v>247</v>
      </c>
      <c r="B338" s="1950" t="s">
        <v>248</v>
      </c>
      <c r="C338" s="539"/>
      <c r="D338" s="2632"/>
      <c r="E338" s="2374"/>
      <c r="F338" s="2553" t="str">
        <f>INDEX(PT_DIFFERENTIATION_VTAR,MATCH(A338,PT_DIFFERENTIATION_VTAR_ID,0))</f>
        <v xml:space="preserve">Тариф на подвоз воды</v>
      </c>
      <c r="G338" s="2597" t="str">
        <f>INDEX(PT_DIFFERENTIATION_NTAR,MATCH(B338,PT_DIFFERENTIATION_NTAR_ID,0))</f>
        <v/>
      </c>
      <c r="H338" s="2032"/>
      <c r="I338" s="1909"/>
      <c r="J338" s="1943"/>
      <c r="K338" s="1948"/>
      <c r="L338" s="2032" t="s">
        <v>313</v>
      </c>
      <c r="M338" s="511"/>
      <c r="N338" s="504"/>
      <c r="O338" s="1794"/>
      <c r="P338" s="1794"/>
      <c r="AH338" s="1801">
        <v>0</v>
      </c>
    </row>
    <row r="339" s="9138" customFormat="1" ht="18.75" hidden="1" customHeight="1">
      <c r="A339" s="1950"/>
      <c r="B339" s="1950"/>
      <c r="C339" s="539" t="s">
        <v>1151</v>
      </c>
      <c r="D339" s="2632"/>
      <c r="E339" s="2374"/>
      <c r="F339" s="2553"/>
      <c r="G339" s="2597"/>
      <c r="H339" s="1670"/>
      <c r="I339" s="821" t="s">
        <v>1150</v>
      </c>
      <c r="J339" s="741"/>
      <c r="K339" s="1670"/>
      <c r="L339" s="384"/>
      <c r="M339" s="511"/>
      <c r="N339" s="504"/>
      <c r="O339" s="1794"/>
      <c r="P339" s="1794"/>
      <c r="AH339" s="1801">
        <v>0</v>
      </c>
    </row>
    <row r="340" s="9138" customFormat="1" ht="0.75" hidden="1" customHeight="1">
      <c r="A340" s="1950"/>
      <c r="B340" s="1950"/>
      <c r="C340" s="539" t="s">
        <v>1160</v>
      </c>
      <c r="D340" s="2632"/>
      <c r="E340" s="2374"/>
      <c r="F340" s="2553"/>
      <c r="G340" s="570"/>
      <c r="H340" s="1670"/>
      <c r="I340" s="821"/>
      <c r="J340" s="741"/>
      <c r="K340" s="1670"/>
      <c r="L340" s="384"/>
      <c r="M340" s="511"/>
      <c r="N340" s="504"/>
      <c r="O340" s="1794"/>
      <c r="P340" s="1794"/>
      <c r="AH340" s="1801">
        <v>0</v>
      </c>
    </row>
    <row r="341" s="9138" customFormat="1" ht="18.75" hidden="1" customHeight="1">
      <c r="A341" s="1950" t="s">
        <v>252</v>
      </c>
      <c r="B341" s="1950" t="s">
        <v>253</v>
      </c>
      <c r="C341" s="539"/>
      <c r="D341" s="2632"/>
      <c r="E341" s="2374"/>
      <c r="F341" s="2553" t="str">
        <f>INDEX(PT_DIFFERENTIATION_VTAR,MATCH(A341,PT_DIFFERENTIATION_VTAR_ID,0))</f>
        <v xml:space="preserve">Тариф на подключение (технологическое присоединение) к централизованной системе холодного водоснабжения</v>
      </c>
      <c r="G341" s="2597" t="str">
        <f>INDEX(PT_DIFFERENTIATION_NTAR,MATCH(B341,PT_DIFFERENTIATION_NTAR_ID,0))</f>
        <v/>
      </c>
      <c r="H341" s="2032"/>
      <c r="I341" s="1909"/>
      <c r="J341" s="1943"/>
      <c r="K341" s="1948"/>
      <c r="L341" s="2032" t="s">
        <v>313</v>
      </c>
      <c r="M341" s="511"/>
      <c r="N341" s="504"/>
      <c r="O341" s="1794"/>
      <c r="P341" s="1794"/>
      <c r="AH341" s="1801">
        <v>0</v>
      </c>
    </row>
    <row r="342" s="9138" customFormat="1" ht="18.75" hidden="1" customHeight="1">
      <c r="A342" s="1950"/>
      <c r="B342" s="1950"/>
      <c r="C342" s="539" t="s">
        <v>1151</v>
      </c>
      <c r="D342" s="2632"/>
      <c r="E342" s="2374"/>
      <c r="F342" s="2553"/>
      <c r="G342" s="2597"/>
      <c r="H342" s="1670"/>
      <c r="I342" s="821" t="s">
        <v>1150</v>
      </c>
      <c r="J342" s="741"/>
      <c r="K342" s="1670"/>
      <c r="L342" s="384"/>
      <c r="M342" s="511"/>
      <c r="N342" s="504"/>
      <c r="O342" s="1794"/>
      <c r="P342" s="1794"/>
      <c r="AH342" s="1801">
        <v>0</v>
      </c>
    </row>
    <row r="343" s="9138" customFormat="1" ht="0.75" hidden="1" customHeight="1">
      <c r="A343" s="1950"/>
      <c r="B343" s="1950"/>
      <c r="C343" s="539" t="s">
        <v>1160</v>
      </c>
      <c r="D343" s="2632"/>
      <c r="E343" s="2374"/>
      <c r="F343" s="2553"/>
      <c r="G343" s="570"/>
      <c r="H343" s="1670"/>
      <c r="I343" s="821"/>
      <c r="J343" s="741"/>
      <c r="K343" s="1670"/>
      <c r="L343" s="384"/>
      <c r="M343" s="511"/>
      <c r="N343" s="504"/>
      <c r="O343" s="1794"/>
      <c r="P343" s="1794"/>
      <c r="AH343" s="1801">
        <v>0</v>
      </c>
    </row>
    <row r="344" s="9138" customFormat="1" ht="18.75" hidden="1" customHeight="1">
      <c r="A344" s="1950" t="s">
        <v>257</v>
      </c>
      <c r="B344" s="1950" t="s">
        <v>258</v>
      </c>
      <c r="C344" s="539"/>
      <c r="D344" s="2632"/>
      <c r="E344" s="2374"/>
      <c r="F344" s="2553" t="str">
        <f>INDEX(PT_DIFFERENTIATION_VTAR,MATCH(A344,PT_DIFFERENTIATION_VTAR_ID,0))</f>
        <v xml:space="preserve">Тариф на горячую воду (горячее водоснабжение)</v>
      </c>
      <c r="G344" s="2597" t="str">
        <f>INDEX(PT_DIFFERENTIATION_NTAR,MATCH(B344,PT_DIFFERENTIATION_NTAR_ID,0))</f>
        <v/>
      </c>
      <c r="H344" s="2032"/>
      <c r="I344" s="1909"/>
      <c r="J344" s="1943"/>
      <c r="K344" s="1948"/>
      <c r="L344" s="2032" t="s">
        <v>313</v>
      </c>
      <c r="M344" s="511"/>
      <c r="N344" s="504"/>
      <c r="O344" s="1794"/>
      <c r="P344" s="1794"/>
      <c r="AH344" s="1801">
        <v>0</v>
      </c>
    </row>
    <row r="345" s="9138" customFormat="1" ht="18.75" hidden="1" customHeight="1">
      <c r="A345" s="1950"/>
      <c r="B345" s="1950"/>
      <c r="C345" s="539" t="s">
        <v>1151</v>
      </c>
      <c r="D345" s="2632"/>
      <c r="E345" s="2374"/>
      <c r="F345" s="2553"/>
      <c r="G345" s="2597"/>
      <c r="H345" s="1670"/>
      <c r="I345" s="821" t="s">
        <v>1150</v>
      </c>
      <c r="J345" s="741"/>
      <c r="K345" s="1670"/>
      <c r="L345" s="384"/>
      <c r="M345" s="511"/>
      <c r="N345" s="504"/>
      <c r="O345" s="1794"/>
      <c r="P345" s="1794"/>
      <c r="AH345" s="1801">
        <v>0</v>
      </c>
    </row>
    <row r="346" s="9138" customFormat="1" ht="0.75" hidden="1" customHeight="1">
      <c r="A346" s="1950"/>
      <c r="B346" s="1950"/>
      <c r="C346" s="539" t="s">
        <v>1160</v>
      </c>
      <c r="D346" s="2632"/>
      <c r="E346" s="2374"/>
      <c r="F346" s="2553"/>
      <c r="G346" s="570"/>
      <c r="H346" s="1670"/>
      <c r="I346" s="821"/>
      <c r="J346" s="741"/>
      <c r="K346" s="1670"/>
      <c r="L346" s="384"/>
      <c r="M346" s="511"/>
      <c r="N346" s="504"/>
      <c r="O346" s="1794"/>
      <c r="P346" s="1794"/>
      <c r="AH346" s="1801">
        <v>0</v>
      </c>
    </row>
    <row r="347" s="9138" customFormat="1" ht="18.75" hidden="1" customHeight="1">
      <c r="A347" s="1950" t="s">
        <v>262</v>
      </c>
      <c r="B347" s="1950" t="s">
        <v>263</v>
      </c>
      <c r="C347" s="539"/>
      <c r="D347" s="2632"/>
      <c r="E347" s="2374"/>
      <c r="F347" s="2553" t="str">
        <f>INDEX(PT_DIFFERENTIATION_VTAR,MATCH(A347,PT_DIFFERENTIATION_VTAR_ID,0))</f>
        <v xml:space="preserve">Тариф на транспортировку горячей воды</v>
      </c>
      <c r="G347" s="2597" t="str">
        <f>INDEX(PT_DIFFERENTIATION_NTAR,MATCH(B347,PT_DIFFERENTIATION_NTAR_ID,0))</f>
        <v/>
      </c>
      <c r="H347" s="2032"/>
      <c r="I347" s="1909"/>
      <c r="J347" s="1943"/>
      <c r="K347" s="1948"/>
      <c r="L347" s="2032" t="s">
        <v>313</v>
      </c>
      <c r="M347" s="511"/>
      <c r="N347" s="504"/>
      <c r="O347" s="1794"/>
      <c r="P347" s="1794"/>
      <c r="AH347" s="1801">
        <v>0</v>
      </c>
    </row>
    <row r="348" s="9138" customFormat="1" ht="18.75" hidden="1" customHeight="1">
      <c r="A348" s="1950"/>
      <c r="B348" s="1950"/>
      <c r="C348" s="539" t="s">
        <v>1151</v>
      </c>
      <c r="D348" s="2632"/>
      <c r="E348" s="2374"/>
      <c r="F348" s="2553"/>
      <c r="G348" s="2597"/>
      <c r="H348" s="1670"/>
      <c r="I348" s="821" t="s">
        <v>1150</v>
      </c>
      <c r="J348" s="741"/>
      <c r="K348" s="1670"/>
      <c r="L348" s="384"/>
      <c r="M348" s="511"/>
      <c r="N348" s="504"/>
      <c r="O348" s="1794"/>
      <c r="P348" s="1794"/>
      <c r="AH348" s="1801">
        <v>0</v>
      </c>
    </row>
    <row r="349" s="9138" customFormat="1" ht="0.75" hidden="1" customHeight="1">
      <c r="A349" s="1950"/>
      <c r="B349" s="1950"/>
      <c r="C349" s="539" t="s">
        <v>1160</v>
      </c>
      <c r="D349" s="2632"/>
      <c r="E349" s="2374"/>
      <c r="F349" s="2553"/>
      <c r="G349" s="570"/>
      <c r="H349" s="1670"/>
      <c r="I349" s="821"/>
      <c r="J349" s="741"/>
      <c r="K349" s="1670"/>
      <c r="L349" s="384"/>
      <c r="M349" s="511"/>
      <c r="N349" s="504"/>
      <c r="O349" s="1794"/>
      <c r="P349" s="1794"/>
      <c r="AH349" s="1801">
        <v>0</v>
      </c>
    </row>
    <row r="350" s="9138" customFormat="1" ht="18.75" hidden="1" customHeight="1">
      <c r="A350" s="1950" t="s">
        <v>267</v>
      </c>
      <c r="B350" s="1950" t="s">
        <v>268</v>
      </c>
      <c r="C350" s="539"/>
      <c r="D350" s="2632"/>
      <c r="E350" s="2374"/>
      <c r="F350" s="2553" t="str">
        <f>INDEX(PT_DIFFERENTIATION_VTAR,MATCH(A350,PT_DIFFERENTIATION_VTAR_ID,0))</f>
        <v xml:space="preserve">Тариф на подключение (технологическое присоединение) к централизованной системе горячего водоснабжения</v>
      </c>
      <c r="G350" s="2597" t="str">
        <f>INDEX(PT_DIFFERENTIATION_NTAR,MATCH(B350,PT_DIFFERENTIATION_NTAR_ID,0))</f>
        <v/>
      </c>
      <c r="H350" s="2032"/>
      <c r="I350" s="1909"/>
      <c r="J350" s="1943"/>
      <c r="K350" s="1948"/>
      <c r="L350" s="2032" t="s">
        <v>313</v>
      </c>
      <c r="M350" s="511"/>
      <c r="N350" s="504"/>
      <c r="O350" s="1794"/>
      <c r="P350" s="1794"/>
      <c r="AH350" s="1801">
        <v>0</v>
      </c>
    </row>
    <row r="351" s="9138" customFormat="1" ht="18.75" hidden="1" customHeight="1">
      <c r="A351" s="1950"/>
      <c r="B351" s="1950"/>
      <c r="C351" s="539" t="s">
        <v>1151</v>
      </c>
      <c r="D351" s="2632"/>
      <c r="E351" s="2374"/>
      <c r="F351" s="2553"/>
      <c r="G351" s="2597"/>
      <c r="H351" s="1670"/>
      <c r="I351" s="821" t="s">
        <v>1150</v>
      </c>
      <c r="J351" s="741"/>
      <c r="K351" s="1670"/>
      <c r="L351" s="384"/>
      <c r="M351" s="511"/>
      <c r="N351" s="504"/>
      <c r="O351" s="1794"/>
      <c r="P351" s="1794"/>
      <c r="AH351" s="1801">
        <v>0</v>
      </c>
    </row>
    <row r="352" s="9138" customFormat="1" ht="0.75" hidden="1" customHeight="1">
      <c r="A352" s="1950"/>
      <c r="B352" s="1950"/>
      <c r="C352" s="539" t="s">
        <v>1160</v>
      </c>
      <c r="D352" s="2632"/>
      <c r="E352" s="2374"/>
      <c r="F352" s="2553"/>
      <c r="G352" s="570"/>
      <c r="H352" s="1670"/>
      <c r="I352" s="821"/>
      <c r="J352" s="741"/>
      <c r="K352" s="1670"/>
      <c r="L352" s="384"/>
      <c r="M352" s="511"/>
      <c r="N352" s="504"/>
      <c r="O352" s="1794"/>
      <c r="P352" s="1794"/>
      <c r="AH352" s="1801">
        <v>0</v>
      </c>
    </row>
    <row r="353" s="9138" customFormat="1" ht="18.75" hidden="1" customHeight="1">
      <c r="A353" s="1950" t="s">
        <v>272</v>
      </c>
      <c r="B353" s="1950" t="s">
        <v>273</v>
      </c>
      <c r="C353" s="539"/>
      <c r="D353" s="2632"/>
      <c r="E353" s="2374"/>
      <c r="F353" s="2553" t="str">
        <f>INDEX(PT_DIFFERENTIATION_VTAR,MATCH(A353,PT_DIFFERENTIATION_VTAR_ID,0))</f>
        <v xml:space="preserve">Тариф на водоотведение</v>
      </c>
      <c r="G353" s="2597" t="str">
        <f>INDEX(PT_DIFFERENTIATION_NTAR,MATCH(B353,PT_DIFFERENTIATION_NTAR_ID,0))</f>
        <v/>
      </c>
      <c r="H353" s="2032"/>
      <c r="I353" s="1909"/>
      <c r="J353" s="1943"/>
      <c r="K353" s="1948"/>
      <c r="L353" s="2032" t="s">
        <v>313</v>
      </c>
      <c r="M353" s="511"/>
      <c r="N353" s="504"/>
      <c r="O353" s="1794"/>
      <c r="P353" s="1794"/>
      <c r="AH353" s="1801">
        <v>0</v>
      </c>
    </row>
    <row r="354" s="9138" customFormat="1" ht="18.75" hidden="1" customHeight="1">
      <c r="A354" s="1950"/>
      <c r="B354" s="1950"/>
      <c r="C354" s="539" t="s">
        <v>1151</v>
      </c>
      <c r="D354" s="2632"/>
      <c r="E354" s="2374"/>
      <c r="F354" s="2553"/>
      <c r="G354" s="2597"/>
      <c r="H354" s="1670"/>
      <c r="I354" s="821" t="s">
        <v>1150</v>
      </c>
      <c r="J354" s="741"/>
      <c r="K354" s="1670"/>
      <c r="L354" s="384"/>
      <c r="M354" s="511"/>
      <c r="N354" s="504"/>
      <c r="O354" s="1794"/>
      <c r="P354" s="1794"/>
      <c r="AH354" s="1801">
        <v>0</v>
      </c>
    </row>
    <row r="355" s="9138" customFormat="1" ht="0.75" hidden="1" customHeight="1">
      <c r="A355" s="1950"/>
      <c r="B355" s="1950"/>
      <c r="C355" s="539" t="s">
        <v>1160</v>
      </c>
      <c r="D355" s="2632"/>
      <c r="E355" s="2374"/>
      <c r="F355" s="2553"/>
      <c r="G355" s="570"/>
      <c r="H355" s="1670"/>
      <c r="I355" s="821"/>
      <c r="J355" s="741"/>
      <c r="K355" s="1670"/>
      <c r="L355" s="384"/>
      <c r="M355" s="511"/>
      <c r="N355" s="504"/>
      <c r="O355" s="1794"/>
      <c r="P355" s="1794"/>
      <c r="AH355" s="1801">
        <v>0</v>
      </c>
    </row>
    <row r="356" s="9138" customFormat="1" ht="18.75" hidden="1" customHeight="1">
      <c r="A356" s="1950" t="s">
        <v>277</v>
      </c>
      <c r="B356" s="1950" t="s">
        <v>278</v>
      </c>
      <c r="C356" s="539"/>
      <c r="D356" s="2632"/>
      <c r="E356" s="2374"/>
      <c r="F356" s="2553" t="str">
        <f>INDEX(PT_DIFFERENTIATION_VTAR,MATCH(A356,PT_DIFFERENTIATION_VTAR_ID,0))</f>
        <v xml:space="preserve">Тариф на транспортировку сточных вод</v>
      </c>
      <c r="G356" s="2597" t="str">
        <f>INDEX(PT_DIFFERENTIATION_NTAR,MATCH(B356,PT_DIFFERENTIATION_NTAR_ID,0))</f>
        <v/>
      </c>
      <c r="H356" s="2032"/>
      <c r="I356" s="1909"/>
      <c r="J356" s="1943"/>
      <c r="K356" s="1948"/>
      <c r="L356" s="2032" t="s">
        <v>313</v>
      </c>
      <c r="M356" s="511"/>
      <c r="N356" s="504"/>
      <c r="O356" s="1794"/>
      <c r="P356" s="1794"/>
      <c r="AH356" s="1801">
        <v>0</v>
      </c>
    </row>
    <row r="357" s="9138" customFormat="1" ht="18.75" hidden="1" customHeight="1">
      <c r="A357" s="1950"/>
      <c r="B357" s="1950"/>
      <c r="C357" s="539" t="s">
        <v>1151</v>
      </c>
      <c r="D357" s="2632"/>
      <c r="E357" s="2374"/>
      <c r="F357" s="2553"/>
      <c r="G357" s="2597"/>
      <c r="H357" s="1670"/>
      <c r="I357" s="821" t="s">
        <v>1150</v>
      </c>
      <c r="J357" s="741"/>
      <c r="K357" s="1670"/>
      <c r="L357" s="384"/>
      <c r="M357" s="511"/>
      <c r="N357" s="504"/>
      <c r="O357" s="1794"/>
      <c r="P357" s="1794"/>
      <c r="AH357" s="1801">
        <v>0</v>
      </c>
    </row>
    <row r="358" s="9138" customFormat="1" ht="0.75" hidden="1" customHeight="1">
      <c r="A358" s="1950"/>
      <c r="B358" s="1950"/>
      <c r="C358" s="539" t="s">
        <v>1160</v>
      </c>
      <c r="D358" s="2632"/>
      <c r="E358" s="2374"/>
      <c r="F358" s="2553"/>
      <c r="G358" s="570"/>
      <c r="H358" s="1670"/>
      <c r="I358" s="821"/>
      <c r="J358" s="741"/>
      <c r="K358" s="1670"/>
      <c r="L358" s="384"/>
      <c r="M358" s="511"/>
      <c r="N358" s="504"/>
      <c r="O358" s="1794"/>
      <c r="P358" s="1794"/>
      <c r="AH358" s="1801">
        <v>0</v>
      </c>
    </row>
    <row r="359" s="9138" customFormat="1" ht="18.75" hidden="1" customHeight="1">
      <c r="A359" s="1950" t="s">
        <v>282</v>
      </c>
      <c r="B359" s="1950" t="s">
        <v>283</v>
      </c>
      <c r="C359" s="539"/>
      <c r="D359" s="2632"/>
      <c r="E359" s="2374"/>
      <c r="F359" s="2553" t="str">
        <f>INDEX(PT_DIFFERENTIATION_VTAR,MATCH(A359,PT_DIFFERENTIATION_VTAR_ID,0))</f>
        <v xml:space="preserve">Тариф на подключение (технологическое присоединение) к централизованной системе водоотведения</v>
      </c>
      <c r="G359" s="2597" t="str">
        <f>INDEX(PT_DIFFERENTIATION_NTAR,MATCH(B359,PT_DIFFERENTIATION_NTAR_ID,0))</f>
        <v/>
      </c>
      <c r="H359" s="2032"/>
      <c r="I359" s="1909"/>
      <c r="J359" s="1943"/>
      <c r="K359" s="1948"/>
      <c r="L359" s="2032" t="s">
        <v>313</v>
      </c>
      <c r="M359" s="511"/>
      <c r="N359" s="504"/>
      <c r="O359" s="1794"/>
      <c r="P359" s="1794"/>
      <c r="AH359" s="1801">
        <v>0</v>
      </c>
    </row>
    <row r="360" s="9138" customFormat="1" ht="18.75" hidden="1" customHeight="1">
      <c r="A360" s="1950"/>
      <c r="B360" s="1950"/>
      <c r="C360" s="539" t="s">
        <v>1151</v>
      </c>
      <c r="D360" s="2632"/>
      <c r="E360" s="2374"/>
      <c r="F360" s="2553"/>
      <c r="G360" s="2597"/>
      <c r="H360" s="1670"/>
      <c r="I360" s="821" t="s">
        <v>1150</v>
      </c>
      <c r="J360" s="741"/>
      <c r="K360" s="1670"/>
      <c r="L360" s="384"/>
      <c r="M360" s="511"/>
      <c r="N360" s="504"/>
      <c r="O360" s="1794"/>
      <c r="P360" s="1794"/>
      <c r="AH360" s="1801">
        <v>0</v>
      </c>
    </row>
    <row r="361" s="9138" customFormat="1" ht="1.05" customHeight="1">
      <c r="A361" s="1950"/>
      <c r="B361" s="1950"/>
      <c r="C361" s="539" t="s">
        <v>1160</v>
      </c>
      <c r="D361" s="2632"/>
      <c r="E361" s="2374"/>
      <c r="F361" s="2553"/>
      <c r="G361" s="570"/>
      <c r="H361" s="1670"/>
      <c r="I361" s="821"/>
      <c r="J361" s="741"/>
      <c r="K361" s="1670"/>
      <c r="L361" s="384"/>
      <c r="M361" s="511"/>
      <c r="N361" s="504"/>
      <c r="O361" s="1794"/>
      <c r="P361" s="1794"/>
      <c r="AH361" s="1801">
        <v>1</v>
      </c>
    </row>
    <row r="362" s="11442" customFormat="1" ht="3" customHeight="1">
      <c r="A362" s="1950"/>
      <c r="B362" s="1950"/>
      <c r="C362" s="1951"/>
      <c r="E362" s="572"/>
      <c r="F362" s="572"/>
      <c r="G362" s="572"/>
      <c r="H362" s="572"/>
      <c r="I362" s="572"/>
      <c r="J362" s="572"/>
      <c r="K362" s="572"/>
      <c r="L362" s="572"/>
      <c r="M362" s="572"/>
      <c r="O362" s="366"/>
      <c r="P362" s="366"/>
      <c r="AH362" s="310">
        <v>3</v>
      </c>
    </row>
    <row r="363" ht="26.25" customHeight="1">
      <c r="E363" s="372"/>
      <c r="F363" s="2455"/>
      <c r="G363" s="2455"/>
      <c r="H363" s="2455"/>
      <c r="I363" s="2455"/>
      <c r="J363" s="2455"/>
      <c r="K363" s="2455"/>
      <c r="L363" s="2455"/>
      <c r="M363" s="2455"/>
      <c r="AH363" s="544">
        <v>25</v>
      </c>
    </row>
    <row r="364" ht="14.25" hidden="1" customHeight="1">
      <c r="A364" s="1949" t="s">
        <v>83</v>
      </c>
      <c r="B364" s="1949">
        <v>0</v>
      </c>
      <c r="C364" s="539">
        <v>0</v>
      </c>
      <c r="D364" s="514">
        <v>3</v>
      </c>
      <c r="E364" s="544">
        <v>6</v>
      </c>
      <c r="F364" s="544">
        <v>46</v>
      </c>
      <c r="G364" s="544">
        <v>35</v>
      </c>
      <c r="H364" s="544">
        <v>3</v>
      </c>
      <c r="I364" s="544">
        <v>11</v>
      </c>
      <c r="J364" s="544">
        <v>11</v>
      </c>
      <c r="K364" s="544">
        <v>35</v>
      </c>
      <c r="L364" s="544">
        <v>35</v>
      </c>
      <c r="M364" s="544">
        <v>84</v>
      </c>
      <c r="N364" s="544">
        <v>10</v>
      </c>
      <c r="O364" s="520">
        <v>10</v>
      </c>
      <c r="P364" s="520">
        <v>10</v>
      </c>
      <c r="Q364" s="544">
        <v>10</v>
      </c>
      <c r="R364" s="544">
        <v>10</v>
      </c>
      <c r="S364" s="544">
        <v>10</v>
      </c>
      <c r="T364" s="544">
        <v>10</v>
      </c>
      <c r="U364" s="544">
        <v>10</v>
      </c>
      <c r="V364" s="544">
        <v>10</v>
      </c>
      <c r="W364" s="544">
        <v>10</v>
      </c>
      <c r="X364" s="544">
        <v>10</v>
      </c>
      <c r="Y364" s="544">
        <v>10</v>
      </c>
      <c r="Z364" s="544">
        <v>10</v>
      </c>
      <c r="AA364" s="544">
        <v>10</v>
      </c>
      <c r="AB364" s="544">
        <v>10</v>
      </c>
      <c r="AC364" s="544">
        <v>10</v>
      </c>
      <c r="AD364" s="544">
        <v>10</v>
      </c>
      <c r="AE364" s="544">
        <v>10</v>
      </c>
      <c r="AF364" s="544">
        <v>10</v>
      </c>
      <c r="AG364" s="544">
        <v>10</v>
      </c>
      <c r="AH364" s="544">
        <v>14</v>
      </c>
    </row>
  </sheetData>
  <sheetProtection autoFilter="0" deleteColumns="1" deleteRows="1" formatColumns="0" formatRows="0" insertColumns="1" insertRows="1" sheet="1" sort="1"/>
  <mergeCells count="428">
    <mergeCell ref="G48:G49"/>
    <mergeCell ref="D119:D121"/>
    <mergeCell ref="E119:E121"/>
    <mergeCell ref="F119:F121"/>
    <mergeCell ref="G119:G120"/>
    <mergeCell ref="D188:D190"/>
    <mergeCell ref="E188:E190"/>
    <mergeCell ref="F188:F190"/>
    <mergeCell ref="G188:G189"/>
    <mergeCell ref="D69:D71"/>
    <mergeCell ref="E69:E71"/>
    <mergeCell ref="F69:F71"/>
    <mergeCell ref="D94:D100"/>
    <mergeCell ref="E94:E100"/>
    <mergeCell ref="D72:D74"/>
    <mergeCell ref="E72:E74"/>
    <mergeCell ref="F72:F74"/>
    <mergeCell ref="G173:G174"/>
    <mergeCell ref="G176:G177"/>
    <mergeCell ref="E48:E50"/>
    <mergeCell ref="F48:F50"/>
    <mergeCell ref="G104: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38:F340"/>
    <mergeCell ref="G335:G33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63:M363"/>
    <mergeCell ref="F293:L293"/>
    <mergeCell ref="D294:D300"/>
    <mergeCell ref="E294:E300"/>
    <mergeCell ref="F294:F300"/>
    <mergeCell ref="D301:D307"/>
    <mergeCell ref="E301:E307"/>
    <mergeCell ref="F301:F307"/>
    <mergeCell ref="D308:D310"/>
    <mergeCell ref="D314:D316"/>
    <mergeCell ref="E314:E316"/>
    <mergeCell ref="F314:F316"/>
    <mergeCell ref="D317:D319"/>
    <mergeCell ref="E317:E319"/>
    <mergeCell ref="F317:F319"/>
    <mergeCell ref="E308:E310"/>
    <mergeCell ref="F308:F310"/>
    <mergeCell ref="D311:D313"/>
    <mergeCell ref="E311:E313"/>
    <mergeCell ref="F335:F337"/>
    <mergeCell ref="D338:D340"/>
    <mergeCell ref="E338:E340"/>
    <mergeCell ref="D359:D361"/>
    <mergeCell ref="E359:E361"/>
    <mergeCell ref="G45:G46"/>
    <mergeCell ref="G51:G52"/>
    <mergeCell ref="G54:G55"/>
    <mergeCell ref="G57:G58"/>
    <mergeCell ref="M225:M232"/>
    <mergeCell ref="M87:M94"/>
    <mergeCell ref="F155:L155"/>
    <mergeCell ref="M156:M163"/>
    <mergeCell ref="F224:L224"/>
    <mergeCell ref="F51:F53"/>
    <mergeCell ref="F54:F56"/>
    <mergeCell ref="F75:F77"/>
    <mergeCell ref="F78:F80"/>
    <mergeCell ref="F94:F100"/>
    <mergeCell ref="F101:F103"/>
    <mergeCell ref="M24:M83"/>
    <mergeCell ref="G42:G43"/>
    <mergeCell ref="G137:G138"/>
    <mergeCell ref="G140:G141"/>
    <mergeCell ref="G143:G144"/>
    <mergeCell ref="G146:G147"/>
    <mergeCell ref="G170:G171"/>
    <mergeCell ref="G94:G99"/>
    <mergeCell ref="G101:G10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101:D103"/>
    <mergeCell ref="E101:E103"/>
    <mergeCell ref="D116:D118"/>
    <mergeCell ref="E116:E118"/>
    <mergeCell ref="F116:F118"/>
    <mergeCell ref="F104:F106"/>
    <mergeCell ref="D107:D109"/>
    <mergeCell ref="E107:E109"/>
    <mergeCell ref="F107:F109"/>
    <mergeCell ref="D81:D83"/>
    <mergeCell ref="E81:E83"/>
    <mergeCell ref="F81:F83"/>
    <mergeCell ref="D87:D93"/>
    <mergeCell ref="E87:E93"/>
    <mergeCell ref="F87:F93"/>
    <mergeCell ref="D104:D106"/>
    <mergeCell ref="E104: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61"/>
    <mergeCell ref="G163:G168"/>
    <mergeCell ref="D176:D178"/>
    <mergeCell ref="E176:E178"/>
    <mergeCell ref="F176:F178"/>
    <mergeCell ref="D179:D181"/>
    <mergeCell ref="E179:E181"/>
    <mergeCell ref="F179:F181"/>
    <mergeCell ref="D170:D172"/>
    <mergeCell ref="D163:D169"/>
    <mergeCell ref="E163:E169"/>
    <mergeCell ref="F163:F169"/>
    <mergeCell ref="D149:D151"/>
    <mergeCell ref="E149:E151"/>
    <mergeCell ref="F149:F151"/>
    <mergeCell ref="D152:D154"/>
    <mergeCell ref="E152:E154"/>
    <mergeCell ref="F152:F154"/>
    <mergeCell ref="D156:D162"/>
    <mergeCell ref="E156:E162"/>
    <mergeCell ref="F156:F162"/>
    <mergeCell ref="E170:E172"/>
    <mergeCell ref="F170:F172"/>
    <mergeCell ref="D173:D175"/>
    <mergeCell ref="E173:E175"/>
    <mergeCell ref="F173:F175"/>
    <mergeCell ref="D182:D184"/>
    <mergeCell ref="E182:E184"/>
    <mergeCell ref="F182:F184"/>
    <mergeCell ref="D185:D187"/>
    <mergeCell ref="E185:E187"/>
    <mergeCell ref="F185:F187"/>
    <mergeCell ref="D206:D208"/>
    <mergeCell ref="E206:E208"/>
    <mergeCell ref="F206:F208"/>
    <mergeCell ref="D197:D199"/>
    <mergeCell ref="E197:E199"/>
    <mergeCell ref="F197:F199"/>
    <mergeCell ref="D200:D202"/>
    <mergeCell ref="E200:E202"/>
    <mergeCell ref="F200:F202"/>
    <mergeCell ref="D191:D193"/>
    <mergeCell ref="E191:E193"/>
    <mergeCell ref="F191:F193"/>
    <mergeCell ref="D194:D196"/>
    <mergeCell ref="E194:E196"/>
    <mergeCell ref="F194:F196"/>
    <mergeCell ref="G194:G195"/>
    <mergeCell ref="D203:D205"/>
    <mergeCell ref="E203:E205"/>
    <mergeCell ref="F203:F205"/>
    <mergeCell ref="D209:D211"/>
    <mergeCell ref="E209:E211"/>
    <mergeCell ref="F209:F211"/>
    <mergeCell ref="D212:D214"/>
    <mergeCell ref="E212:E214"/>
    <mergeCell ref="F212:F214"/>
    <mergeCell ref="G209:G210"/>
    <mergeCell ref="G212:G213"/>
    <mergeCell ref="D239:D241"/>
    <mergeCell ref="E239:E241"/>
    <mergeCell ref="F239:F241"/>
    <mergeCell ref="D221:D223"/>
    <mergeCell ref="E221:E223"/>
    <mergeCell ref="F221:F223"/>
    <mergeCell ref="D225:D231"/>
    <mergeCell ref="E225:E231"/>
    <mergeCell ref="F225:F231"/>
    <mergeCell ref="D215:D217"/>
    <mergeCell ref="E215:E217"/>
    <mergeCell ref="F215:F217"/>
    <mergeCell ref="D218:D220"/>
    <mergeCell ref="E218:E220"/>
    <mergeCell ref="F218:F220"/>
    <mergeCell ref="G218:G219"/>
    <mergeCell ref="D248:D250"/>
    <mergeCell ref="E248:E250"/>
    <mergeCell ref="F248:F250"/>
    <mergeCell ref="D251:D253"/>
    <mergeCell ref="E251:E253"/>
    <mergeCell ref="F251:F253"/>
    <mergeCell ref="G251:G252"/>
    <mergeCell ref="D232:D238"/>
    <mergeCell ref="E232:E238"/>
    <mergeCell ref="F232:F238"/>
    <mergeCell ref="D242:D244"/>
    <mergeCell ref="E242:E244"/>
    <mergeCell ref="F242:F244"/>
    <mergeCell ref="D245:D247"/>
    <mergeCell ref="E245:E247"/>
    <mergeCell ref="F245:F247"/>
    <mergeCell ref="D263:D265"/>
    <mergeCell ref="E263:E265"/>
    <mergeCell ref="F263:F265"/>
    <mergeCell ref="G257:G258"/>
    <mergeCell ref="D269:D271"/>
    <mergeCell ref="E269:E271"/>
    <mergeCell ref="F269:F271"/>
    <mergeCell ref="D266:D268"/>
    <mergeCell ref="E266:E268"/>
    <mergeCell ref="F266:F268"/>
    <mergeCell ref="D254:D256"/>
    <mergeCell ref="E254:E256"/>
    <mergeCell ref="F254:F256"/>
    <mergeCell ref="D260:D262"/>
    <mergeCell ref="E260:E262"/>
    <mergeCell ref="F260:F262"/>
    <mergeCell ref="D257:D259"/>
    <mergeCell ref="E257:E259"/>
    <mergeCell ref="F257:F259"/>
    <mergeCell ref="D272:D274"/>
    <mergeCell ref="E272:E274"/>
    <mergeCell ref="F272:F274"/>
    <mergeCell ref="G269:G270"/>
    <mergeCell ref="G272:G273"/>
    <mergeCell ref="G275:G276"/>
    <mergeCell ref="D290:D292"/>
    <mergeCell ref="E290:E292"/>
    <mergeCell ref="F290:F292"/>
    <mergeCell ref="D281:D283"/>
    <mergeCell ref="E281:E283"/>
    <mergeCell ref="F281:F283"/>
    <mergeCell ref="D284:D286"/>
    <mergeCell ref="E284:E286"/>
    <mergeCell ref="F284:F286"/>
    <mergeCell ref="D275:D277"/>
    <mergeCell ref="E275:E277"/>
    <mergeCell ref="F275:F277"/>
    <mergeCell ref="D278:D280"/>
    <mergeCell ref="E278:E280"/>
    <mergeCell ref="F278:F280"/>
    <mergeCell ref="G278:G279"/>
    <mergeCell ref="D287:D289"/>
    <mergeCell ref="E287:E289"/>
    <mergeCell ref="F287:F289"/>
    <mergeCell ref="F311:F313"/>
    <mergeCell ref="D329:D331"/>
    <mergeCell ref="E329:E331"/>
    <mergeCell ref="F329:F331"/>
    <mergeCell ref="D332:D334"/>
    <mergeCell ref="E332:E334"/>
    <mergeCell ref="F332:F334"/>
    <mergeCell ref="D320:D322"/>
    <mergeCell ref="E320:E322"/>
    <mergeCell ref="F320:F322"/>
    <mergeCell ref="D323:D325"/>
    <mergeCell ref="E323:E325"/>
    <mergeCell ref="F323:F325"/>
    <mergeCell ref="D326:D328"/>
    <mergeCell ref="E326:E328"/>
    <mergeCell ref="F326:F328"/>
    <mergeCell ref="F359:F361"/>
    <mergeCell ref="M294:M301"/>
    <mergeCell ref="D353:D355"/>
    <mergeCell ref="E353:E355"/>
    <mergeCell ref="F353:F355"/>
    <mergeCell ref="D356:D358"/>
    <mergeCell ref="E356:E358"/>
    <mergeCell ref="F356:F358"/>
    <mergeCell ref="D347:D349"/>
    <mergeCell ref="E347:E349"/>
    <mergeCell ref="F347:F349"/>
    <mergeCell ref="D350:D352"/>
    <mergeCell ref="E350:E352"/>
    <mergeCell ref="F350:F352"/>
    <mergeCell ref="D341:D343"/>
    <mergeCell ref="E341:E343"/>
    <mergeCell ref="F341:F343"/>
    <mergeCell ref="D344:D346"/>
    <mergeCell ref="E344:E346"/>
    <mergeCell ref="F344:F346"/>
    <mergeCell ref="D335:D337"/>
    <mergeCell ref="E335:E337"/>
    <mergeCell ref="G359:G360"/>
    <mergeCell ref="G301:G306"/>
    <mergeCell ref="G60:G61"/>
    <mergeCell ref="G63:G64"/>
    <mergeCell ref="G66:G67"/>
    <mergeCell ref="G69:G70"/>
    <mergeCell ref="G72:G73"/>
    <mergeCell ref="G75:G76"/>
    <mergeCell ref="G78:G79"/>
    <mergeCell ref="G81:G82"/>
    <mergeCell ref="G87:G92"/>
    <mergeCell ref="G347:G348"/>
    <mergeCell ref="G350:G351"/>
    <mergeCell ref="G353:G354"/>
    <mergeCell ref="G356:G357"/>
    <mergeCell ref="G338:G339"/>
    <mergeCell ref="G341:G342"/>
    <mergeCell ref="G344:G345"/>
    <mergeCell ref="G332:G333"/>
    <mergeCell ref="G281:G282"/>
    <mergeCell ref="G284:G285"/>
    <mergeCell ref="G287:G288"/>
    <mergeCell ref="G290:G291"/>
    <mergeCell ref="G294:G299"/>
    <mergeCell ref="G308:G309"/>
    <mergeCell ref="G311:G312"/>
    <mergeCell ref="G314:G315"/>
    <mergeCell ref="G317:G318"/>
    <mergeCell ref="G320:G321"/>
    <mergeCell ref="G323:G324"/>
    <mergeCell ref="G329:G330"/>
    <mergeCell ref="G326:G327"/>
    <mergeCell ref="G113:G114"/>
    <mergeCell ref="G116:G117"/>
    <mergeCell ref="G122:G123"/>
    <mergeCell ref="G125:G126"/>
    <mergeCell ref="G254:G255"/>
    <mergeCell ref="G260:G261"/>
    <mergeCell ref="G263:G264"/>
    <mergeCell ref="G266:G267"/>
    <mergeCell ref="G215:G216"/>
    <mergeCell ref="G221:G222"/>
    <mergeCell ref="G225:G230"/>
    <mergeCell ref="G232:G237"/>
    <mergeCell ref="G239:G240"/>
    <mergeCell ref="G182:G183"/>
    <mergeCell ref="G185:G186"/>
    <mergeCell ref="G191:G192"/>
    <mergeCell ref="G242:G243"/>
    <mergeCell ref="G245:G246"/>
    <mergeCell ref="G248:G249"/>
    <mergeCell ref="G197:G198"/>
    <mergeCell ref="G200:G201"/>
    <mergeCell ref="G203:G204"/>
    <mergeCell ref="G206:G207"/>
    <mergeCell ref="G179:G180"/>
  </mergeCells>
  <dataValidations count="1">
    <dataValidation sqref="I10:J10 I39:J39 I24:J24 I27:J27 I30:J30 I33:J33 I36:J36 I42:J42 I45:J45 I51:J51 I54:J54 I57:J57 I60:J60 I63:J63 I66:J66 I69:J69 I72:J72 I75:J75 I78:J78 I225:J229 I232:J236 I239:J239 I242:J242 I245:J245 I248:J248 I251:J251 I254:J254 I260:J260 I263:J263 I266:J266 I269:J269 I272:J272 I275:J275 I278:J278 I281:J281 I284:J284 I8:J8 I81:J81 I152:J152 I94:J98 I101:J101 I104:J104 I107:J107 I110:J110 I113:J113 I116:J116 I122:J122 I125:J125 I128:J128 I131:J131 I134:J134 I137:J137 I140:J140 I143:J143 I146:J146 I149:J149 I156:J160 I87:J91 I163:J167 I170:J170 I173:J173 I176:J176 I179:J179 I182:J182 I185:J185 I191:J191 I194:J194 I197:J197 I200:J200 I203:J203 I209:J209 I212:J212 I215:J215 I218:J218 I221:J221 I206:J206 I287:J287 I290:J290 I294:J298 I301:J305 I308:J308 I311:J311 I314:J314 I317:J317 I320:J320 I323:J323 I329:J329 I332:J332 I335:J335 I338:J338 I341:J341 I344:J344 I347:J347 I350:J350 I353:J353 I356:J356 I359:J359 I2:J2 I5:J5 I48:J48 I119:J119 I188:J188 I257:J257 I326:J326"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hyperlinks>
    <hyperlink r:id="rId1" ref="L85"/>
  </hyperlink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2"/>
  <extLst>
    <ext xmlns:x14="http://schemas.microsoft.com/office/spreadsheetml/2009/9/main" uri="{CCE6A557-97BC-4b89-ADB6-D9C93CAAB3DF}">
      <x14:dataValidations xmlns:xm="http://schemas.microsoft.com/office/excel/2006/main" count="3">
        <x14:dataValidation xr:uid="{004E0034-0071-4A7F-B3FB-00CE00DD009C}"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L85</xm:sqref>
        </x14:dataValidation>
        <x14:dataValidation xr:uid="{00850091-00F7-4AB8-A95C-00290028001A}" type="textLength" allowBlank="1" error="Допускается ввод не более 900 символов!" errorTitle="Ошибка" operator="lessThanOrEqual" showErrorMessage="1" showInputMessage="1">
          <x14:formula1>
            <xm:f>900</xm:f>
          </x14:formula1>
          <xm:sqref>M156 M161 M225 M230 M23 M87 M92 M294 M299</xm:sqref>
        </x14:dataValidation>
        <x14:dataValidation xr:uid="{00B00025-00F1-4FDA-8377-00F000D8002D}" type="decimal" allowBlank="1" error="Допускается ввод только действительных чисел!" errorTitle="Ошибка" showErrorMessage="1">
          <x14:formula1>
            <xm:f>-9.99999999999999E+23</xm:f>
          </x14:formula1>
          <x14:formula2>
            <xm:f>9.99999999999999E+23</xm:f>
          </x14:formula2>
          <xm:sqref>K225:K229 K232:K236 K239 K242 K245 K248 K251 K254 K260 K263 K266 K269 K272 K275 K278 K281 K284 K287 K10 K87:K91 K149 K146 K143 K140 K137 K134 K131 K128 K125 K122 K116 K113 K110 K107 K104 K101 K94:K98 K156:K160 K152 K163:K167 K170 K173 K176 K179 K182 K185 K191 K194 K197 K200 K203 K209 K212 K215 K218 K221 K206 K290 K294:K298 K301:K305 K308 K311 K314 K317 K320 K323 K329 K332 K335 K338 K341 K344 K347 K350 K353 K356 K359 K5 K119 K188 K257 K326</xm:sqref>
        </x14:dataValidation>
      </x14:dataValidations>
    </ext>
  </extLs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defaultRowHeight="14.25" customHeight="1"/>
  <cols>
    <col customWidth="1" hidden="1" min="1" max="1" style="10313" width="9.140625"/>
    <col customWidth="1" hidden="1" min="2" max="2" style="9217" width="9.140625"/>
    <col customWidth="1" min="3" max="3" style="10314" width="3.00390625"/>
    <col customWidth="1" min="4" max="4" style="9138" width="6.00390625"/>
    <col customWidth="1" min="5" max="5" style="9138" width="53.00390625"/>
    <col customWidth="1" min="6" max="7" style="9138" width="35.00390625"/>
    <col customWidth="1" min="8" max="8" style="9138" width="89.00390625"/>
    <col customWidth="1" min="9" max="9" style="9138" width="10.00390625"/>
    <col customWidth="1" min="10" max="11" style="9307" width="10.00390625"/>
    <col customWidth="1" min="12" max="17" style="9138" width="10.00390625"/>
    <col hidden="1" min="18" max="18" style="9138" width="10.57421875"/>
  </cols>
  <sheetData>
    <row r="1" ht="22.5" hidden="1" customHeight="1">
      <c r="N1" s="425"/>
      <c r="O1" s="425"/>
      <c r="Q1" s="425"/>
      <c r="R1" s="544" t="s">
        <v>14</v>
      </c>
    </row>
    <row r="2" s="9138" customFormat="1" ht="18.75" hidden="1" customHeight="1">
      <c r="A2" s="272"/>
      <c r="B2" s="1330"/>
      <c r="C2" s="1900" t="s">
        <v>432</v>
      </c>
      <c r="D2" s="1843"/>
      <c r="E2" s="1852"/>
      <c r="F2" s="427"/>
      <c r="G2" s="1331"/>
      <c r="H2" s="544"/>
      <c r="I2" s="1794"/>
      <c r="J2" s="1794"/>
      <c r="R2" s="1801">
        <v>0</v>
      </c>
    </row>
    <row r="3" ht="14.25" hidden="1" customHeight="1">
      <c r="R3" s="544">
        <v>0</v>
      </c>
    </row>
    <row r="4" ht="6.2999999999999998" customHeight="1">
      <c r="C4" s="546"/>
      <c r="D4" s="533"/>
      <c r="E4" s="533"/>
      <c r="F4" s="533"/>
      <c r="G4" s="255"/>
      <c r="H4" s="255"/>
      <c r="R4" s="544">
        <v>6</v>
      </c>
    </row>
    <row r="5" ht="34.5" customHeight="1">
      <c r="C5" s="546"/>
      <c r="D5" s="2624" t="str">
        <f>PURCH_NAME_FORM</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25"/>
      <c r="F5" s="2625"/>
      <c r="G5" s="2626"/>
      <c r="H5" s="436"/>
      <c r="R5" s="544">
        <v>33</v>
      </c>
    </row>
    <row r="6" s="9138" customFormat="1" ht="18" customHeight="1">
      <c r="A6" s="1839"/>
      <c r="B6" s="1330"/>
      <c r="C6" s="546"/>
      <c r="D6" s="2627" t="str">
        <f>IF(org=0,"Не определено",org)</f>
        <v xml:space="preserve">АО "ДГК" СП "Биробиджанская ТЭЦ"</v>
      </c>
      <c r="E6" s="2628"/>
      <c r="F6" s="2628"/>
      <c r="G6" s="2629"/>
      <c r="H6" s="436"/>
      <c r="J6" s="1794"/>
      <c r="K6" s="1794"/>
      <c r="R6" s="1801">
        <v>17</v>
      </c>
    </row>
    <row r="7" ht="14.65" customHeight="1">
      <c r="C7" s="546"/>
      <c r="D7" s="533"/>
      <c r="E7" s="559"/>
      <c r="F7" s="559"/>
      <c r="G7" s="922"/>
      <c r="H7" s="363"/>
      <c r="R7" s="544">
        <v>14</v>
      </c>
    </row>
    <row r="8" ht="14.65" customHeight="1">
      <c r="C8" s="546"/>
      <c r="D8" s="2379" t="s">
        <v>307</v>
      </c>
      <c r="E8" s="2379"/>
      <c r="F8" s="2379"/>
      <c r="G8" s="2379"/>
      <c r="H8" s="2559" t="s">
        <v>308</v>
      </c>
      <c r="R8" s="544">
        <v>14</v>
      </c>
    </row>
    <row r="9" ht="24" customHeight="1">
      <c r="C9" s="546"/>
      <c r="D9" s="556" t="s">
        <v>89</v>
      </c>
      <c r="E9" s="278" t="s">
        <v>309</v>
      </c>
      <c r="F9" s="278" t="s">
        <v>310</v>
      </c>
      <c r="G9" s="278" t="s">
        <v>397</v>
      </c>
      <c r="H9" s="2559"/>
      <c r="R9" s="544">
        <v>23</v>
      </c>
    </row>
    <row r="10" ht="15" customHeight="1">
      <c r="A10" s="513"/>
      <c r="C10" s="546"/>
      <c r="D10" s="317" t="s">
        <v>110</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 xml:space="preserve">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27" t="s">
        <v>1161</v>
      </c>
      <c r="G10" s="383" t="s">
        <v>1162</v>
      </c>
      <c r="H10" s="2339" t="s">
        <v>1163</v>
      </c>
      <c r="R10" s="544">
        <v>14</v>
      </c>
    </row>
    <row r="11" ht="30.75" customHeight="1">
      <c r="A11" s="513"/>
      <c r="C11" s="546"/>
      <c r="D11" s="317" t="s">
        <v>111</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 xml:space="preserve">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27" t="s">
        <v>1164</v>
      </c>
      <c r="G11" s="383" t="s">
        <v>1162</v>
      </c>
      <c r="H11" s="2340"/>
      <c r="R11" s="544">
        <v>14</v>
      </c>
    </row>
    <row r="12" ht="15" customHeight="1">
      <c r="A12" s="272"/>
      <c r="C12" s="557"/>
      <c r="D12" s="317" t="s">
        <v>91</v>
      </c>
      <c r="E12" s="558" t="str">
        <f>"Сведения о планировании закупочных процедур"&amp;IF(TEMPLATE_SPHERE="TKO"," &lt;1&gt;","")</f>
        <v xml:space="preserve">Сведения о планировании закупочных процедур</v>
      </c>
      <c r="F12" s="427" t="s">
        <v>1164</v>
      </c>
      <c r="G12" s="383" t="s">
        <v>1162</v>
      </c>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 xml:space="preserve">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20"/>
      <c r="K12" s="544"/>
      <c r="R12" s="544">
        <v>14</v>
      </c>
    </row>
    <row r="13" ht="15" customHeight="1">
      <c r="A13" s="272"/>
      <c r="C13" s="557"/>
      <c r="D13" s="317" t="s">
        <v>92</v>
      </c>
      <c r="E13" s="558" t="str">
        <f>"Сведения о результатах проведения закупочных процедур"&amp;IF(TEMPLATE_SPHERE="TKO"," &lt;1&gt;","")</f>
        <v xml:space="preserve">Сведения о результатах проведения закупочных процедур</v>
      </c>
      <c r="F13" s="427" t="s">
        <v>1164</v>
      </c>
      <c r="G13" s="383" t="s">
        <v>1162</v>
      </c>
      <c r="H13" s="2340"/>
      <c r="I13" s="520"/>
      <c r="K13" s="544"/>
      <c r="R13" s="544">
        <v>14</v>
      </c>
    </row>
    <row r="14" ht="14.65" customHeight="1">
      <c r="A14" s="513"/>
      <c r="C14" s="546"/>
      <c r="D14" s="517"/>
      <c r="E14" s="565" t="s">
        <v>329</v>
      </c>
      <c r="F14" s="519"/>
      <c r="G14" s="371"/>
      <c r="H14" s="2341"/>
      <c r="R14" s="544">
        <v>14</v>
      </c>
    </row>
    <row r="15" s="9138" customFormat="1" ht="14.65" customHeight="1">
      <c r="A15" s="513"/>
      <c r="B15" s="1330"/>
      <c r="C15" s="546"/>
      <c r="D15" s="566"/>
      <c r="E15" s="1847"/>
      <c r="F15" s="1848"/>
      <c r="G15" s="1849"/>
      <c r="H15" s="1850"/>
      <c r="J15" s="1794"/>
      <c r="K15" s="1794"/>
      <c r="R15" s="1801">
        <v>14</v>
      </c>
    </row>
    <row r="16" ht="14.65" customHeight="1">
      <c r="D16" s="1851"/>
      <c r="E16" s="2555"/>
      <c r="F16" s="2555"/>
      <c r="G16" s="2555"/>
      <c r="H16" s="2555"/>
      <c r="R16" s="544">
        <v>14</v>
      </c>
    </row>
    <row r="17" ht="22.5" hidden="1" customHeight="1">
      <c r="A17" s="534" t="s">
        <v>83</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autoFilter="0" deleteColumns="1" deleteRows="1" formatColumns="0" formatRows="0" insertColumns="1" insertRows="1" sheet="1" sort="1"/>
  <mergeCells count="7">
    <mergeCell ref="E16:H16"/>
    <mergeCell ref="H10:H11"/>
    <mergeCell ref="H12:H14"/>
    <mergeCell ref="D5:G5"/>
    <mergeCell ref="D8:G8"/>
    <mergeCell ref="H8:H9"/>
    <mergeCell ref="D6:G6"/>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drawing r:id="rId1"/>
  <extLst>
    <ext xmlns:x14="http://schemas.microsoft.com/office/spreadsheetml/2009/9/main" uri="{CCE6A557-97BC-4b89-ADB6-D9C93CAAB3DF}">
      <x14:dataValidations xmlns:xm="http://schemas.microsoft.com/office/excel/2006/main" count="2">
        <x14:dataValidation xr:uid="{009300C8-0063-42F7-9E48-00290008003F}"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howErrorMessage="1" showInputMessage="1">
          <x14:formula1>
            <xm:f>900</xm:f>
          </x14:formula1>
          <xm:sqref>G2 G10:G13</xm:sqref>
        </x14:dataValidation>
        <x14:dataValidation xr:uid="{0022000D-009E-4B07-97DC-006A00960040}" type="textLength" allowBlank="1" error="Допускается ввод не более 900 символов!" errorTitle="Ошибка" operator="lessThanOrEqual" showErrorMessage="1" showInputMessage="1">
          <x14:formula1>
            <xm:f>900</xm:f>
          </x14:formula1>
          <xm:sqref>H10 E13 E2:F2 F10:F13</xm:sqref>
        </x14:dataValidation>
      </x14:dataValidation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2" tint="-0.10000000000000001"/>
  </sheetPr>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defaultRowHeight="15" customHeight="1"/>
  <cols>
    <col customWidth="1" hidden="1" min="1" max="1" style="9102" width="9.140625"/>
    <col customWidth="1" hidden="1" min="2" max="2" style="9138" width="9.140625"/>
    <col customWidth="1" min="3" max="3" style="11183" width="4.00390625"/>
    <col customWidth="1" min="4" max="4" style="9138" width="6.00390625"/>
    <col customWidth="1" min="5" max="5" style="9138" width="47.00390625"/>
    <col customWidth="1" min="6" max="6" style="9138" width="9.00390625"/>
    <col customWidth="1" hidden="1" min="7" max="7" style="9138" width="25.7109375"/>
    <col customWidth="1" hidden="1" min="8" max="8" style="9138" width="34.00390625"/>
    <col customWidth="1" min="9" max="9" style="9138" width="25.7109375"/>
    <col customWidth="1" min="10" max="10" style="9138" width="33.00390625"/>
    <col customWidth="1" min="11" max="11" style="9217" width="50.00390625"/>
    <col customWidth="1" min="12" max="20" style="9138" width="10.00390625"/>
    <col customWidth="1" min="21" max="21" style="11184" width="10.00390625"/>
    <col hidden="1" min="22" max="22" style="9138" width="10.57421875"/>
  </cols>
  <sheetData>
    <row r="1" s="9217" customFormat="1" ht="22.5" hidden="1" customHeight="1">
      <c r="C1" s="842"/>
      <c r="G1" s="587">
        <v>4</v>
      </c>
      <c r="I1" s="587">
        <v>4</v>
      </c>
      <c r="U1" s="590"/>
      <c r="V1" s="587" t="s">
        <v>14</v>
      </c>
    </row>
    <row r="2" s="9138" customFormat="1" ht="15" hidden="1" customHeight="1">
      <c r="A2" s="532"/>
      <c r="C2" s="346"/>
      <c r="D2" s="516"/>
      <c r="E2" s="843"/>
      <c r="F2" s="692"/>
      <c r="G2" s="786"/>
      <c r="H2" s="786"/>
      <c r="I2" s="786"/>
      <c r="J2" s="786"/>
      <c r="U2" s="844"/>
      <c r="V2" s="679">
        <v>0</v>
      </c>
    </row>
    <row r="3" s="9217" customFormat="1" ht="15" hidden="1" customHeight="1">
      <c r="C3" s="842"/>
      <c r="U3" s="590"/>
      <c r="V3" s="587">
        <v>0</v>
      </c>
    </row>
    <row r="4" ht="15.75" customHeight="1">
      <c r="C4" s="346"/>
      <c r="D4" s="679"/>
      <c r="E4" s="679"/>
      <c r="F4" s="679"/>
      <c r="G4" s="679"/>
      <c r="H4" s="679"/>
      <c r="I4" s="679"/>
      <c r="J4" s="679"/>
      <c r="V4" s="675">
        <v>15</v>
      </c>
    </row>
    <row r="5" ht="66" customHeight="1">
      <c r="C5" s="346"/>
      <c r="D5" s="2407" t="s">
        <v>1165</v>
      </c>
      <c r="E5" s="2407"/>
      <c r="F5" s="2407"/>
      <c r="G5" s="2407"/>
      <c r="H5" s="2407"/>
      <c r="I5" s="2407"/>
      <c r="J5" s="2407"/>
      <c r="V5" s="675">
        <v>63</v>
      </c>
    </row>
    <row r="6" ht="15.75" customHeight="1">
      <c r="C6" s="346"/>
      <c r="D6" s="2346" t="str">
        <f>IF(org=0,"Не определено",org)</f>
        <v xml:space="preserve">АО "ДГК" СП "Биробиджанская ТЭЦ"</v>
      </c>
      <c r="E6" s="2346"/>
      <c r="F6" s="2346"/>
      <c r="G6" s="2346"/>
      <c r="H6" s="2346"/>
      <c r="I6" s="2346"/>
      <c r="J6" s="2346"/>
      <c r="K6" s="707"/>
      <c r="V6" s="675">
        <v>15</v>
      </c>
    </row>
    <row r="7" ht="15.75" customHeight="1">
      <c r="C7" s="346"/>
      <c r="D7" s="922"/>
      <c r="E7" s="679"/>
      <c r="F7" s="679"/>
      <c r="G7" s="707">
        <v>22</v>
      </c>
      <c r="I7" s="707">
        <v>1</v>
      </c>
      <c r="J7" s="922"/>
      <c r="V7" s="675">
        <v>15</v>
      </c>
    </row>
    <row r="8" s="9138" customFormat="1" ht="1.05" customHeight="1">
      <c r="A8" s="929"/>
      <c r="C8" s="346"/>
      <c r="D8" s="679"/>
      <c r="E8" s="679"/>
      <c r="F8" s="679"/>
      <c r="G8" s="707"/>
      <c r="H8" s="922"/>
      <c r="I8" s="707" t="s">
        <v>117</v>
      </c>
      <c r="J8" s="922"/>
      <c r="K8" s="587"/>
      <c r="U8" s="845"/>
      <c r="V8" s="928">
        <v>1</v>
      </c>
    </row>
    <row r="9" ht="15.75" customHeight="1">
      <c r="C9" s="346"/>
      <c r="D9" s="881"/>
      <c r="E9" s="2537" t="s">
        <v>106</v>
      </c>
      <c r="F9" s="2538"/>
      <c r="G9" s="2565" t="str">
        <f>IF(G8="","",INDEX(DIFFERENTIATION_UNMERGE_VD,MATCH(G8,DIFFERENTIATION_ID_DIFF,0)))</f>
        <v/>
      </c>
      <c r="H9" s="2566"/>
      <c r="I9" s="2565">
        <f>IF(I8="","",INDEX(DIFFERENTIATION_UNMERGE_VD,MATCH(I8,DIFFERENTIATION_ID_DIFF,0)))</f>
        <v>0</v>
      </c>
      <c r="J9" s="2566"/>
      <c r="K9" s="2345" t="s">
        <v>308</v>
      </c>
      <c r="V9" s="675">
        <v>15</v>
      </c>
    </row>
    <row r="10" s="9138" customFormat="1" ht="15.75" customHeight="1">
      <c r="A10" s="929"/>
      <c r="C10" s="346"/>
      <c r="D10" s="881"/>
      <c r="E10" s="2537" t="s">
        <v>570</v>
      </c>
      <c r="F10" s="2538"/>
      <c r="G10" s="2565" t="str">
        <f>IF(G8="","",INDEX(DIFFERENTIATION_UNMERGE_AREA,MATCH(G8,DIFFERENTIATION_ID_DIFF,0)))</f>
        <v/>
      </c>
      <c r="H10" s="2566"/>
      <c r="I10" s="2565" t="str">
        <f>IF(I8="","",INDEX(DIFFERENTIATION_UNMERGE_AREA,MATCH(I8,DIFFERENTIATION_ID_DIFF,0)))</f>
        <v/>
      </c>
      <c r="J10" s="2566"/>
      <c r="K10" s="2369"/>
      <c r="U10" s="845"/>
      <c r="V10" s="928">
        <v>15</v>
      </c>
    </row>
    <row r="11" s="9138" customFormat="1" ht="15.75" customHeight="1">
      <c r="A11" s="929"/>
      <c r="C11" s="346"/>
      <c r="D11" s="881"/>
      <c r="E11" s="2537" t="s">
        <v>571</v>
      </c>
      <c r="F11" s="2538"/>
      <c r="G11" s="2565" t="str">
        <f>IF(G8="","",INDEX(DIFFERENTIATION_UNMERGE_SYSTEM,MATCH(G8,DIFFERENTIATION_ID_DIFF,0)))</f>
        <v/>
      </c>
      <c r="H11" s="2566"/>
      <c r="I11" s="2565" t="str">
        <f>IF(I8="","",INDEX(DIFFERENTIATION_UNMERGE_SYSTEM,MATCH(I8,DIFFERENTIATION_ID_DIFF,0)))</f>
        <v xml:space="preserve">без дифференциации</v>
      </c>
      <c r="J11" s="2566"/>
      <c r="K11" s="2369"/>
      <c r="U11" s="845"/>
      <c r="V11" s="928">
        <v>15</v>
      </c>
    </row>
    <row r="12" s="9138" customFormat="1" ht="15.75" customHeight="1">
      <c r="A12" s="929"/>
      <c r="C12" s="346"/>
      <c r="D12" s="2539" t="s">
        <v>307</v>
      </c>
      <c r="E12" s="2540"/>
      <c r="F12" s="2540"/>
      <c r="G12" s="1057"/>
      <c r="H12" s="1057"/>
      <c r="I12" s="1057"/>
      <c r="J12" s="1057"/>
      <c r="K12" s="2369"/>
      <c r="U12" s="845"/>
      <c r="V12" s="928">
        <v>15</v>
      </c>
    </row>
    <row r="13" ht="35.649999999999999" customHeight="1">
      <c r="C13" s="346"/>
      <c r="D13" s="975" t="s">
        <v>89</v>
      </c>
      <c r="E13" s="977" t="s">
        <v>309</v>
      </c>
      <c r="F13" s="977" t="s">
        <v>572</v>
      </c>
      <c r="G13" s="978" t="s">
        <v>310</v>
      </c>
      <c r="H13" s="977" t="s">
        <v>397</v>
      </c>
      <c r="I13" s="978" t="s">
        <v>310</v>
      </c>
      <c r="J13" s="977" t="s">
        <v>397</v>
      </c>
      <c r="K13" s="2402"/>
      <c r="V13" s="675">
        <v>34</v>
      </c>
    </row>
    <row r="14" ht="15" hidden="1" customHeight="1">
      <c r="C14" s="346"/>
      <c r="D14" s="763" t="s">
        <v>110</v>
      </c>
      <c r="E14" s="763" t="s">
        <v>111</v>
      </c>
      <c r="F14" s="763" t="s">
        <v>91</v>
      </c>
      <c r="G14" s="829" t="str">
        <f>G1&amp;".1"</f>
        <v>4.1</v>
      </c>
      <c r="H14" s="829"/>
      <c r="I14" s="829" t="str">
        <f>I1&amp;".1"</f>
        <v>4.1</v>
      </c>
      <c r="J14" s="829"/>
      <c r="K14" s="459"/>
      <c r="V14" s="675">
        <v>0</v>
      </c>
    </row>
    <row r="15" ht="22.5" hidden="1" customHeight="1">
      <c r="A15" s="675"/>
      <c r="C15" s="696"/>
      <c r="D15" s="691">
        <v>1</v>
      </c>
      <c r="E15" s="847" t="s">
        <v>814</v>
      </c>
      <c r="F15" s="691" t="s">
        <v>815</v>
      </c>
      <c r="G15" s="848"/>
      <c r="H15" s="848"/>
      <c r="I15" s="848"/>
      <c r="J15" s="848"/>
      <c r="K15" s="459" t="s">
        <v>816</v>
      </c>
      <c r="V15" s="675">
        <v>0</v>
      </c>
    </row>
    <row r="16" ht="22.5" hidden="1" customHeight="1">
      <c r="A16" s="675"/>
      <c r="C16" s="696"/>
      <c r="D16" s="691">
        <v>2</v>
      </c>
      <c r="E16" s="449" t="s">
        <v>817</v>
      </c>
      <c r="F16" s="691" t="s">
        <v>818</v>
      </c>
      <c r="G16" s="848"/>
      <c r="H16" s="848"/>
      <c r="I16" s="848"/>
      <c r="J16" s="848"/>
      <c r="K16" s="459" t="s">
        <v>819</v>
      </c>
      <c r="V16" s="675">
        <v>0</v>
      </c>
    </row>
    <row r="17" ht="123.75" hidden="1" customHeight="1">
      <c r="A17" s="675"/>
      <c r="C17" s="696"/>
      <c r="D17" s="691">
        <v>3</v>
      </c>
      <c r="E17" s="449" t="s">
        <v>1166</v>
      </c>
      <c r="F17" s="691" t="s">
        <v>313</v>
      </c>
      <c r="G17" s="848"/>
      <c r="H17" s="848"/>
      <c r="I17" s="848"/>
      <c r="J17" s="848"/>
      <c r="K17" s="459" t="s">
        <v>1167</v>
      </c>
      <c r="V17" s="675">
        <v>0</v>
      </c>
    </row>
    <row r="18" ht="48.25" customHeight="1">
      <c r="A18" s="675"/>
      <c r="C18" s="696"/>
      <c r="D18" s="691">
        <v>3</v>
      </c>
      <c r="E18" s="449" t="s">
        <v>820</v>
      </c>
      <c r="F18" s="691" t="s">
        <v>313</v>
      </c>
      <c r="G18" s="979" t="s">
        <v>313</v>
      </c>
      <c r="H18" s="980" t="s">
        <v>313</v>
      </c>
      <c r="I18" s="691" t="s">
        <v>313</v>
      </c>
      <c r="J18" s="748" t="s">
        <v>313</v>
      </c>
      <c r="K18" s="459" t="s">
        <v>1168</v>
      </c>
      <c r="V18" s="675">
        <v>46</v>
      </c>
    </row>
    <row r="19" ht="35.649999999999999" customHeight="1">
      <c r="A19" s="675"/>
      <c r="C19" s="696"/>
      <c r="D19" s="709" t="s">
        <v>331</v>
      </c>
      <c r="E19" s="729" t="s">
        <v>822</v>
      </c>
      <c r="F19" s="691" t="s">
        <v>823</v>
      </c>
      <c r="G19" s="987"/>
      <c r="H19" s="276"/>
      <c r="I19" s="987"/>
      <c r="J19" s="988"/>
      <c r="K19" s="849"/>
      <c r="V19" s="675">
        <v>34</v>
      </c>
    </row>
    <row r="20" ht="35.649999999999999" customHeight="1">
      <c r="A20" s="675"/>
      <c r="C20" s="696"/>
      <c r="D20" s="2060" t="s">
        <v>339</v>
      </c>
      <c r="E20" s="729" t="s">
        <v>824</v>
      </c>
      <c r="F20" s="691" t="s">
        <v>825</v>
      </c>
      <c r="G20" s="987"/>
      <c r="H20" s="276"/>
      <c r="I20" s="987"/>
      <c r="J20" s="276"/>
      <c r="K20" s="849"/>
      <c r="V20" s="675">
        <v>34</v>
      </c>
    </row>
    <row r="21" ht="48.25" customHeight="1">
      <c r="A21" s="675"/>
      <c r="C21" s="696"/>
      <c r="D21" s="2060" t="s">
        <v>341</v>
      </c>
      <c r="E21" s="729" t="s">
        <v>826</v>
      </c>
      <c r="F21" s="691" t="s">
        <v>577</v>
      </c>
      <c r="G21" s="850"/>
      <c r="H21" s="276"/>
      <c r="I21" s="850"/>
      <c r="J21" s="276"/>
      <c r="K21" s="849"/>
      <c r="V21" s="675">
        <v>46</v>
      </c>
    </row>
    <row r="22" ht="67.5" hidden="1" customHeight="1">
      <c r="A22" s="675"/>
      <c r="C22" s="696"/>
      <c r="D22" s="691">
        <v>5</v>
      </c>
      <c r="E22" s="449" t="s">
        <v>1169</v>
      </c>
      <c r="F22" s="691" t="s">
        <v>564</v>
      </c>
      <c r="G22" s="851"/>
      <c r="H22" s="852"/>
      <c r="I22" s="851"/>
      <c r="J22" s="852"/>
      <c r="K22" s="459" t="s">
        <v>1170</v>
      </c>
      <c r="V22" s="675">
        <v>0</v>
      </c>
    </row>
    <row r="23" ht="33.75" hidden="1" customHeight="1">
      <c r="C23" s="621"/>
      <c r="D23" s="691">
        <v>6</v>
      </c>
      <c r="E23" s="449" t="s">
        <v>1171</v>
      </c>
      <c r="F23" s="691" t="s">
        <v>1172</v>
      </c>
      <c r="G23" s="851"/>
      <c r="H23" s="851"/>
      <c r="I23" s="851"/>
      <c r="J23" s="851"/>
      <c r="K23" s="459" t="s">
        <v>1173</v>
      </c>
      <c r="V23" s="675">
        <v>0</v>
      </c>
    </row>
    <row r="24" ht="15.75" customHeight="1">
      <c r="V24" s="675">
        <v>15</v>
      </c>
    </row>
    <row r="25" ht="15.75" customHeight="1">
      <c r="V25" s="675">
        <v>15</v>
      </c>
    </row>
    <row r="26" ht="15.75" customHeight="1">
      <c r="V26" s="675">
        <v>15</v>
      </c>
    </row>
    <row r="27" ht="15.75" customHeight="1">
      <c r="V27" s="675">
        <v>15</v>
      </c>
    </row>
    <row r="28" ht="15.75" customHeight="1">
      <c r="V28" s="675">
        <v>15</v>
      </c>
    </row>
    <row r="29" ht="15.75" customHeight="1">
      <c r="J29" s="989"/>
      <c r="V29" s="675">
        <v>15</v>
      </c>
    </row>
    <row r="30" ht="22.5" hidden="1" customHeight="1">
      <c r="A30" s="619" t="s">
        <v>83</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autoFilter="0" deleteColumns="1" deleteRows="1" formatColumns="0" formatRows="0" insertColumns="1" insertRows="1" sheet="1" sort="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1">
    <dataValidation sqref="E15 E13" allowBlank="1" prompt="Количество поданных заявок на подключение (технологическое присоединение) к системе теплоснабжения в течение квартала, шт." showErrorMessage="1" showInputMessage="1"/>
  </dataValidation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3">
        <x14:dataValidation xr:uid="{005B0004-0019-492E-B0B0-0088003600C7}" type="textLength" allowBlank="1" error="Допускается ввод не более 900 символов!" errorTitle="Ошибка" operator="lessThanOrEqual" showErrorMessage="1" showInputMessage="1">
          <x14:formula1>
            <xm:f>900</xm:f>
          </x14:formula1>
          <xm:sqref>H19:H21 J19:J21</xm:sqref>
        </x14:dataValidation>
        <x14:dataValidation xr:uid="{0025007B-008B-48E6-9B5E-006500F500F1}" type="whole" allowBlank="1" error="Допускается ввод только неотрицательных целых чисел!" errorTitle="Ошибка" showErrorMessage="1">
          <x14:formula1>
            <xm:f>0</xm:f>
          </x14:formula1>
          <x14:formula2>
            <xm:f>9.99999999999999E+23</xm:f>
          </x14:formula2>
          <xm:sqref>G19:G20 I19:I20</xm:sqref>
        </x14:dataValidation>
        <x14:dataValidation xr:uid="{0047001D-0094-4D07-BB1B-00CC00A40093}" type="decimal" allowBlank="1" error="Допускается ввод только неотрицательных чисел!" errorTitle="Ошибка" showErrorMessage="1">
          <x14:formula1>
            <xm:f>0</xm:f>
          </x14:formula1>
          <x14:formula2>
            <xm:f>9.99999999999999E+23</xm:f>
          </x14:formula2>
          <xm:sqref>G21 I21</xm:sqref>
        </x14:dataValidation>
      </x14:dataValidations>
    </ext>
  </extLs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11611" width="32.57421875"/>
    <col customWidth="1" min="2" max="2" style="9278" width="11.00390625"/>
    <col min="3" max="3" style="9278" width="9.140625"/>
    <col customWidth="1" min="4" max="4" style="9278" width="26.57421875"/>
    <col customWidth="1" min="5" max="5" style="11442" width="36.8515625"/>
    <col customWidth="1" min="6" max="6" style="11442" width="23.57421875"/>
    <col customWidth="1" min="7" max="7" style="11442" width="31.421875"/>
    <col customWidth="1" min="8" max="8" style="11442" width="40.8515625"/>
    <col customWidth="1" min="9" max="9" style="11442" width="14.57421875"/>
    <col customWidth="1" min="10" max="10" style="11442" width="26.8515625"/>
    <col customWidth="1" min="11" max="11" style="11442" width="50.00390625"/>
    <col customWidth="1" min="12" max="12" style="11442" width="52.421875"/>
    <col customWidth="1" min="13" max="13" style="11442" width="10.7109375"/>
    <col customWidth="1" min="14" max="14" style="11442" width="55.140625"/>
    <col customWidth="1" min="15" max="15" style="11442" width="31.8515625"/>
    <col customWidth="1" min="16" max="16" style="11442" width="23.8515625"/>
    <col customWidth="1" min="17" max="17" style="11442" width="46.57421875"/>
    <col customWidth="1" min="18" max="18" style="11442" width="24.00390625"/>
    <col customWidth="1" min="19" max="19" style="11442" width="20.57421875"/>
    <col customWidth="1" min="20" max="20" style="11442" width="22.00390625"/>
    <col customWidth="1" min="21" max="22" style="11442" width="26.421875"/>
    <col customWidth="1" hidden="1" min="23" max="23" style="11442" width="8.28125"/>
    <col customWidth="1" min="24" max="24" style="11442" width="59.7109375"/>
    <col customWidth="1" min="25" max="25" style="11442" width="49.140625"/>
    <col customWidth="1" min="26" max="26" style="11442" width="11.140625"/>
    <col customWidth="1" min="27" max="30" style="11442" width="29.00390625"/>
    <col min="31" max="31" style="11442" width="9.140625"/>
    <col customWidth="1" min="32" max="32" style="11442" width="34.7109375"/>
    <col min="33" max="33" style="11442" width="9.140625"/>
    <col customWidth="1" min="34" max="35" style="11442" width="34.421875"/>
    <col min="36" max="36" style="11442" width="9.140625"/>
    <col customWidth="1" min="37" max="37" style="11442" width="24.57421875"/>
    <col min="38" max="38" style="11442" width="9.140625"/>
    <col customWidth="1" min="39" max="39" style="11442" width="26.140625"/>
    <col customWidth="1" min="40" max="40" style="11442" width="1.7109375"/>
    <col min="41" max="41" style="11442" width="9.140625"/>
    <col customWidth="1" min="42" max="43" style="11442" width="47.8515625"/>
    <col customWidth="1" min="44" max="44" style="11442" width="1.7109375"/>
    <col customWidth="1" min="45" max="45" style="11442" width="21.421875"/>
    <col customWidth="1" min="46" max="46" style="11442" width="1.7109375"/>
    <col customWidth="1" min="47" max="47" style="11442" width="31.28125"/>
    <col customWidth="1" min="48" max="48" style="11442" width="1.7109375"/>
    <col min="49" max="50" style="11442" width="9.140625"/>
    <col customWidth="1" min="51" max="51" style="11442" width="3.7109375"/>
    <col customWidth="1" min="52" max="52" style="11442" width="60.8515625"/>
    <col customWidth="1" min="53" max="53" style="11442" width="49.28125"/>
    <col customWidth="1" min="54" max="54" style="11442" width="35.140625"/>
    <col min="55" max="55" style="11442" width="9.140625"/>
    <col customWidth="1" min="56" max="56" style="11442" width="1.7109375"/>
    <col customWidth="1" min="57" max="57" style="11612" width="12.57421875"/>
    <col customWidth="1" min="58" max="58" style="11612" width="14.28125"/>
    <col customWidth="1" min="59" max="59" style="11442" width="30.7109375"/>
    <col customWidth="1" min="60" max="60" style="11613" width="40.7109375"/>
    <col customWidth="1" min="61" max="61" style="11613" width="15.00390625"/>
    <col customWidth="1" min="62" max="62" style="11613" width="40.7109375"/>
    <col customWidth="1" min="63" max="63" style="11613" width="2.7109375"/>
    <col customWidth="1" min="64" max="64" style="11613" width="44.7109375"/>
    <col customWidth="1" min="65" max="65" style="11613" width="2.7109375"/>
    <col customWidth="1" min="66" max="66" style="11613" width="40.7109375"/>
    <col min="67" max="68" style="11442" width="9.140625"/>
    <col customWidth="1" min="69" max="69" style="11442" width="18.140625"/>
    <col customWidth="1" min="70" max="70" style="11442" width="57.8515625"/>
    <col customWidth="1" min="71" max="71" style="11442" width="1.7109375"/>
    <col customWidth="1" min="72" max="72" style="11442" width="22.57421875"/>
    <col customWidth="1" min="73" max="73" style="11442" width="57.8515625"/>
    <col customWidth="1" min="74" max="74" style="11442" width="1.7109375"/>
    <col customWidth="1" min="75" max="75" style="11442" width="22.57421875"/>
    <col customWidth="1" min="76" max="76" style="11442" width="57.8515625"/>
    <col customWidth="1" min="77" max="77" style="11442" width="1.7109375"/>
    <col customWidth="1" min="78" max="78" style="11442" width="22.57421875"/>
    <col customWidth="1" min="79" max="79" style="11442" width="57.8515625"/>
    <col min="80" max="81" style="11442" width="9.140625"/>
    <col customWidth="1" min="82" max="82" style="11442" width="49.57421875"/>
  </cols>
  <sheetData>
    <row r="1" s="11514" customFormat="1" ht="11.25" customHeight="1">
      <c r="A1" s="1237" t="s">
        <v>1174</v>
      </c>
      <c r="B1" s="1237" t="s">
        <v>1175</v>
      </c>
      <c r="C1" s="1237" t="s">
        <v>1176</v>
      </c>
      <c r="D1" s="1237" t="s">
        <v>1177</v>
      </c>
      <c r="E1" s="1237" t="s">
        <v>1178</v>
      </c>
      <c r="F1" s="1237" t="s">
        <v>1179</v>
      </c>
      <c r="G1" s="1237" t="s">
        <v>1180</v>
      </c>
      <c r="H1" s="1237" t="s">
        <v>1181</v>
      </c>
      <c r="I1" s="1237" t="s">
        <v>1182</v>
      </c>
      <c r="J1" s="1237" t="s">
        <v>1183</v>
      </c>
      <c r="K1" s="1237" t="s">
        <v>1184</v>
      </c>
      <c r="L1" s="1237" t="s">
        <v>1185</v>
      </c>
      <c r="M1" s="1237"/>
      <c r="N1" s="1237" t="s">
        <v>1186</v>
      </c>
      <c r="O1" s="1237" t="s">
        <v>1187</v>
      </c>
      <c r="P1" s="1237" t="s">
        <v>1188</v>
      </c>
      <c r="Q1" s="1237" t="s">
        <v>1189</v>
      </c>
      <c r="R1" s="1237" t="s">
        <v>1190</v>
      </c>
      <c r="S1" s="1237" t="s">
        <v>1191</v>
      </c>
      <c r="T1" s="1237" t="s">
        <v>1192</v>
      </c>
      <c r="U1" s="1237" t="s">
        <v>1193</v>
      </c>
      <c r="V1" s="1237"/>
      <c r="W1" s="967" t="s">
        <v>1194</v>
      </c>
      <c r="X1" s="1237" t="s">
        <v>1195</v>
      </c>
      <c r="Y1" s="1237" t="s">
        <v>1196</v>
      </c>
      <c r="Z1" s="1237"/>
      <c r="AA1" s="1237" t="s">
        <v>1197</v>
      </c>
      <c r="AB1" s="1237"/>
      <c r="AC1" s="1237" t="s">
        <v>1198</v>
      </c>
      <c r="AD1" s="1237"/>
      <c r="AF1" s="1237" t="s">
        <v>1199</v>
      </c>
      <c r="AH1" s="1237" t="s">
        <v>1200</v>
      </c>
      <c r="AI1" s="1237" t="s">
        <v>1201</v>
      </c>
      <c r="AK1" s="1237" t="s">
        <v>1202</v>
      </c>
      <c r="AM1" s="1237" t="s">
        <v>1203</v>
      </c>
      <c r="AP1" s="1237" t="s">
        <v>1204</v>
      </c>
      <c r="AQ1" s="1237" t="s">
        <v>1205</v>
      </c>
      <c r="AS1" s="1237" t="s">
        <v>1206</v>
      </c>
      <c r="AU1" s="1237" t="s">
        <v>1207</v>
      </c>
      <c r="AW1" s="1237" t="s">
        <v>1208</v>
      </c>
      <c r="AX1" s="1237" t="s">
        <v>1209</v>
      </c>
      <c r="AZ1" s="1322" t="s">
        <v>1210</v>
      </c>
      <c r="BB1" s="1237" t="s">
        <v>1211</v>
      </c>
      <c r="BC1" s="1237"/>
      <c r="BE1" s="1237" t="s">
        <v>1212</v>
      </c>
      <c r="BF1" s="1237" t="s">
        <v>1213</v>
      </c>
      <c r="BH1" s="1239" t="s">
        <v>813</v>
      </c>
      <c r="BI1" s="1240"/>
      <c r="BJ1" s="1241" t="s">
        <v>1214</v>
      </c>
      <c r="BK1" s="1240"/>
      <c r="BL1" s="1242" t="s">
        <v>912</v>
      </c>
      <c r="BM1" s="1240"/>
      <c r="BN1" s="1243" t="s">
        <v>1215</v>
      </c>
      <c r="BS1" s="1597"/>
    </row>
    <row r="2" ht="11.25" customHeight="1">
      <c r="A2" s="1244" t="s">
        <v>1216</v>
      </c>
      <c r="B2" s="1245">
        <v>2000</v>
      </c>
      <c r="C2" s="1245">
        <v>2022</v>
      </c>
      <c r="D2" s="1245" t="s">
        <v>67</v>
      </c>
      <c r="E2" s="1246" t="s">
        <v>1217</v>
      </c>
      <c r="F2" s="1246" t="s">
        <v>1218</v>
      </c>
      <c r="G2" s="1246" t="s">
        <v>1219</v>
      </c>
      <c r="H2" s="1247" t="s">
        <v>56</v>
      </c>
      <c r="I2" s="1246" t="s">
        <v>110</v>
      </c>
      <c r="J2" s="1246" t="s">
        <v>1220</v>
      </c>
      <c r="K2" s="1248" t="s">
        <v>1221</v>
      </c>
      <c r="L2" s="1249"/>
      <c r="M2" s="1248">
        <v>1</v>
      </c>
      <c r="N2" s="1332" t="s">
        <v>1222</v>
      </c>
      <c r="O2" s="1247" t="s">
        <v>454</v>
      </c>
      <c r="P2" s="1250" t="s">
        <v>1223</v>
      </c>
      <c r="Q2" s="1251" t="s">
        <v>453</v>
      </c>
      <c r="R2" s="313" t="s">
        <v>1224</v>
      </c>
      <c r="S2" s="313" t="s">
        <v>1225</v>
      </c>
      <c r="T2" s="1252" t="s">
        <v>1226</v>
      </c>
      <c r="U2" s="1249" t="s">
        <v>1227</v>
      </c>
      <c r="V2" s="1253">
        <v>1</v>
      </c>
      <c r="W2" s="1254"/>
      <c r="X2" s="1254" t="s">
        <v>1228</v>
      </c>
      <c r="Y2" s="1245" t="s">
        <v>1229</v>
      </c>
      <c r="Z2" s="1255"/>
      <c r="AA2" s="1245" t="s">
        <v>1230</v>
      </c>
      <c r="AB2" s="1256" t="s">
        <v>1230</v>
      </c>
      <c r="AC2" s="1245" t="s">
        <v>1231</v>
      </c>
      <c r="AD2" s="1256" t="s">
        <v>1231</v>
      </c>
      <c r="AF2" s="1247" t="s">
        <v>1227</v>
      </c>
      <c r="AH2" s="1246" t="s">
        <v>1232</v>
      </c>
      <c r="AI2" s="1246" t="s">
        <v>1232</v>
      </c>
      <c r="AK2" s="1246" t="s">
        <v>1233</v>
      </c>
      <c r="AM2" s="1246" t="s">
        <v>1234</v>
      </c>
      <c r="AP2" s="1257" t="s">
        <v>1228</v>
      </c>
      <c r="AQ2" s="1258" t="s">
        <v>1228</v>
      </c>
      <c r="AS2" s="1245" t="s">
        <v>1235</v>
      </c>
      <c r="AU2" s="1290" t="s">
        <v>1236</v>
      </c>
      <c r="AW2" s="1290" t="s">
        <v>1237</v>
      </c>
      <c r="AX2" s="1290" t="s">
        <v>1237</v>
      </c>
      <c r="AZ2" s="1290" t="s">
        <v>54</v>
      </c>
      <c r="BB2" s="1290" t="s">
        <v>1238</v>
      </c>
      <c r="BC2" s="1290" t="s">
        <v>1239</v>
      </c>
      <c r="BE2" s="1290">
        <v>2000</v>
      </c>
      <c r="BF2" s="1290" t="s">
        <v>1240</v>
      </c>
    </row>
    <row r="3" ht="11.25" customHeight="1">
      <c r="A3" s="1244" t="s">
        <v>1241</v>
      </c>
      <c r="B3" s="1245">
        <v>2001</v>
      </c>
      <c r="C3" s="1245">
        <v>2023</v>
      </c>
      <c r="D3" s="1245" t="s">
        <v>19</v>
      </c>
      <c r="E3" s="1246" t="s">
        <v>1242</v>
      </c>
      <c r="F3" s="1246" t="s">
        <v>1243</v>
      </c>
      <c r="G3" s="1246" t="s">
        <v>1244</v>
      </c>
      <c r="H3" s="1247" t="s">
        <v>1245</v>
      </c>
      <c r="I3" s="1246" t="s">
        <v>111</v>
      </c>
      <c r="J3" s="1246" t="s">
        <v>562</v>
      </c>
      <c r="K3" s="1248" t="s">
        <v>1155</v>
      </c>
      <c r="L3" s="1249">
        <f>_xlfn.IFERROR(MATCH(K3,OFFER_METHOD,0),0)</f>
        <v>1</v>
      </c>
      <c r="M3" s="1248">
        <v>2</v>
      </c>
      <c r="N3" s="1332" t="s">
        <v>1246</v>
      </c>
      <c r="O3" s="1247" t="s">
        <v>1247</v>
      </c>
      <c r="P3" s="1250" t="s">
        <v>37</v>
      </c>
      <c r="Q3" s="1251" t="s">
        <v>1248</v>
      </c>
      <c r="R3" s="313" t="s">
        <v>1249</v>
      </c>
      <c r="S3" s="313" t="s">
        <v>1250</v>
      </c>
      <c r="T3" s="1252" t="s">
        <v>1251</v>
      </c>
      <c r="U3" s="1249" t="s">
        <v>1252</v>
      </c>
      <c r="V3" s="1253">
        <v>2</v>
      </c>
      <c r="W3" s="1254"/>
      <c r="X3" s="1254" t="s">
        <v>1253</v>
      </c>
      <c r="Y3" s="1245" t="s">
        <v>1229</v>
      </c>
      <c r="Z3" s="1255"/>
      <c r="AA3" s="1245" t="s">
        <v>1254</v>
      </c>
      <c r="AB3" s="1256" t="s">
        <v>1254</v>
      </c>
      <c r="AC3" s="1245" t="s">
        <v>1255</v>
      </c>
      <c r="AD3" s="1256" t="s">
        <v>1255</v>
      </c>
      <c r="AF3" s="1247" t="s">
        <v>1252</v>
      </c>
      <c r="AH3" s="1246" t="s">
        <v>1256</v>
      </c>
      <c r="AI3" s="1246" t="s">
        <v>1257</v>
      </c>
      <c r="AK3" s="1246" t="s">
        <v>1258</v>
      </c>
      <c r="AM3" s="1246" t="s">
        <v>1259</v>
      </c>
      <c r="AP3" s="1257" t="s">
        <v>1260</v>
      </c>
      <c r="AQ3" s="1258" t="s">
        <v>1260</v>
      </c>
      <c r="AS3" s="1245" t="s">
        <v>1261</v>
      </c>
      <c r="AU3" s="1290" t="s">
        <v>1262</v>
      </c>
      <c r="AW3" s="1290" t="s">
        <v>1263</v>
      </c>
      <c r="AX3" s="1290" t="s">
        <v>1263</v>
      </c>
      <c r="AZ3" s="1290" t="s">
        <v>1264</v>
      </c>
      <c r="BB3" s="1290" t="s">
        <v>1265</v>
      </c>
      <c r="BC3" s="1290" t="s">
        <v>1239</v>
      </c>
      <c r="BE3" s="1290">
        <v>2001</v>
      </c>
      <c r="BF3" s="1290" t="s">
        <v>1266</v>
      </c>
      <c r="BH3" s="1237" t="s">
        <v>1267</v>
      </c>
      <c r="BJ3" s="1237" t="s">
        <v>1268</v>
      </c>
      <c r="BL3" s="1237" t="s">
        <v>1269</v>
      </c>
      <c r="BN3" s="1237" t="s">
        <v>1270</v>
      </c>
      <c r="BR3" s="1237" t="s">
        <v>1271</v>
      </c>
      <c r="BS3" s="1598"/>
      <c r="BT3" s="1240"/>
      <c r="BU3" s="1237" t="s">
        <v>1272</v>
      </c>
      <c r="BV3" s="1240"/>
      <c r="BW3" s="1860"/>
      <c r="BX3" s="1862" t="s">
        <v>1273</v>
      </c>
      <c r="CA3" s="1237" t="s">
        <v>1274</v>
      </c>
    </row>
    <row r="4" ht="11.25" customHeight="1">
      <c r="A4" s="1244" t="s">
        <v>1275</v>
      </c>
      <c r="B4" s="1245">
        <v>2002</v>
      </c>
      <c r="C4" s="1245">
        <v>2024</v>
      </c>
      <c r="E4" s="1246" t="s">
        <v>1276</v>
      </c>
      <c r="F4" s="1246" t="s">
        <v>1277</v>
      </c>
      <c r="H4" s="1247" t="s">
        <v>1278</v>
      </c>
      <c r="I4" s="1246" t="s">
        <v>91</v>
      </c>
      <c r="J4" s="1246" t="s">
        <v>1279</v>
      </c>
      <c r="K4" s="1248" t="s">
        <v>1280</v>
      </c>
      <c r="L4" s="1249">
        <f>_xlfn.IFERROR(MATCH(K4,OFFER_METHOD,0),0)</f>
        <v>0</v>
      </c>
      <c r="M4" s="1248">
        <v>3</v>
      </c>
      <c r="N4" s="1332" t="s">
        <v>1281</v>
      </c>
      <c r="O4" s="1246" t="s">
        <v>1282</v>
      </c>
      <c r="Q4" s="1251" t="s">
        <v>1283</v>
      </c>
      <c r="R4" s="313" t="s">
        <v>1284</v>
      </c>
      <c r="S4" s="313" t="s">
        <v>1285</v>
      </c>
      <c r="T4" s="1252" t="s">
        <v>1286</v>
      </c>
      <c r="U4" s="1249" t="s">
        <v>1287</v>
      </c>
      <c r="V4" s="1253">
        <v>3</v>
      </c>
      <c r="W4" s="1254"/>
      <c r="X4" s="1254" t="s">
        <v>1288</v>
      </c>
      <c r="Y4" s="1245" t="s">
        <v>1229</v>
      </c>
      <c r="Z4" s="1261"/>
      <c r="AC4" s="1245" t="s">
        <v>1289</v>
      </c>
      <c r="AD4" s="1256" t="s">
        <v>1289</v>
      </c>
      <c r="AF4" s="1247" t="s">
        <v>1287</v>
      </c>
      <c r="AH4" s="1247" t="s">
        <v>1290</v>
      </c>
      <c r="AK4" s="1246" t="s">
        <v>1291</v>
      </c>
      <c r="AM4" s="1246" t="s">
        <v>1292</v>
      </c>
      <c r="AP4" s="1257" t="s">
        <v>1253</v>
      </c>
      <c r="AQ4" s="1258" t="s">
        <v>1253</v>
      </c>
      <c r="AS4" s="1245" t="s">
        <v>1293</v>
      </c>
      <c r="AU4" s="1290" t="s">
        <v>1294</v>
      </c>
      <c r="AW4" s="1290" t="s">
        <v>1295</v>
      </c>
      <c r="AX4" s="1290" t="s">
        <v>1295</v>
      </c>
      <c r="AZ4" s="1290" t="s">
        <v>1296</v>
      </c>
      <c r="BB4" s="1290" t="s">
        <v>1297</v>
      </c>
      <c r="BC4" s="1290" t="s">
        <v>1298</v>
      </c>
      <c r="BE4" s="1290">
        <v>2002</v>
      </c>
      <c r="BF4" s="1290" t="s">
        <v>1299</v>
      </c>
      <c r="BH4" s="1238" t="s">
        <v>1300</v>
      </c>
      <c r="BJ4" s="1238" t="s">
        <v>1300</v>
      </c>
      <c r="BL4" s="1238" t="s">
        <v>1300</v>
      </c>
      <c r="BN4" s="1238" t="s">
        <v>1300</v>
      </c>
      <c r="BQ4" s="1602" t="s">
        <v>1301</v>
      </c>
      <c r="BR4" s="1329" t="s">
        <v>1302</v>
      </c>
      <c r="BS4" s="444"/>
      <c r="BT4" s="1602" t="s">
        <v>1303</v>
      </c>
      <c r="BU4" s="1329" t="s">
        <v>1304</v>
      </c>
      <c r="BV4" s="1240"/>
      <c r="BW4" s="1867" t="s">
        <v>1305</v>
      </c>
      <c r="BX4" s="1861" t="s">
        <v>1306</v>
      </c>
      <c r="BZ4" s="1602" t="s">
        <v>1307</v>
      </c>
      <c r="CA4" s="1329" t="s">
        <v>1308</v>
      </c>
    </row>
    <row r="5" ht="11.25" customHeight="1">
      <c r="A5" s="1244" t="s">
        <v>1309</v>
      </c>
      <c r="B5" s="1245">
        <v>2003</v>
      </c>
      <c r="C5" s="1245">
        <v>2025</v>
      </c>
      <c r="E5" s="1246" t="s">
        <v>1310</v>
      </c>
      <c r="F5" s="1246" t="s">
        <v>1311</v>
      </c>
      <c r="H5" s="1247" t="s">
        <v>1312</v>
      </c>
      <c r="I5" s="1246" t="s">
        <v>92</v>
      </c>
      <c r="K5" s="1248" t="s">
        <v>1313</v>
      </c>
      <c r="L5" s="1249">
        <f>_xlfn.IFERROR(MATCH(K5,OFFER_METHOD,0),0)</f>
        <v>0</v>
      </c>
      <c r="M5" s="1248">
        <v>4</v>
      </c>
      <c r="N5" s="1262" t="s">
        <v>1314</v>
      </c>
      <c r="O5" s="1246" t="s">
        <v>1315</v>
      </c>
      <c r="Q5" s="1251" t="s">
        <v>1316</v>
      </c>
      <c r="R5" s="313" t="s">
        <v>1317</v>
      </c>
      <c r="T5" s="1247" t="s">
        <v>1318</v>
      </c>
      <c r="U5" s="1249" t="s">
        <v>1319</v>
      </c>
      <c r="V5" s="1253">
        <v>4</v>
      </c>
      <c r="W5" s="1254"/>
      <c r="X5" s="1254" t="s">
        <v>175</v>
      </c>
      <c r="Y5" s="1245" t="s">
        <v>1320</v>
      </c>
      <c r="Z5" s="1261">
        <v>1</v>
      </c>
      <c r="AF5" s="1247" t="s">
        <v>1321</v>
      </c>
      <c r="AH5" s="1246" t="s">
        <v>1322</v>
      </c>
      <c r="AK5" s="1246" t="s">
        <v>1323</v>
      </c>
      <c r="AM5" s="1246" t="s">
        <v>1324</v>
      </c>
      <c r="AP5" s="1257" t="s">
        <v>175</v>
      </c>
      <c r="AQ5" s="1258" t="s">
        <v>175</v>
      </c>
      <c r="AU5" s="1290" t="s">
        <v>1325</v>
      </c>
      <c r="AW5" s="1290" t="s">
        <v>1326</v>
      </c>
      <c r="AX5" s="1290" t="s">
        <v>1326</v>
      </c>
      <c r="AZ5" s="1290" t="s">
        <v>1327</v>
      </c>
      <c r="BB5" s="1290" t="s">
        <v>1328</v>
      </c>
      <c r="BC5" s="1290" t="s">
        <v>1329</v>
      </c>
      <c r="BE5" s="1290">
        <v>2003</v>
      </c>
      <c r="BF5" s="1290" t="s">
        <v>1330</v>
      </c>
      <c r="BH5" s="1238" t="s">
        <v>1331</v>
      </c>
      <c r="BJ5" s="1238" t="s">
        <v>1331</v>
      </c>
      <c r="BL5" s="1238" t="s">
        <v>1331</v>
      </c>
      <c r="BN5" s="1238" t="s">
        <v>1332</v>
      </c>
      <c r="BQ5" s="1451">
        <v>4213775</v>
      </c>
      <c r="BR5" s="1238" t="s">
        <v>1228</v>
      </c>
      <c r="BS5" s="1599"/>
      <c r="BT5" s="1451">
        <v>64236871</v>
      </c>
      <c r="BU5" s="1238" t="s">
        <v>236</v>
      </c>
      <c r="BV5" s="1240"/>
      <c r="BW5" s="1865">
        <v>4213767</v>
      </c>
      <c r="BX5" s="1863" t="s">
        <v>1333</v>
      </c>
      <c r="BZ5" s="1451">
        <v>64237509</v>
      </c>
      <c r="CA5" s="1465" t="s">
        <v>1334</v>
      </c>
    </row>
    <row r="6" ht="11.25" customHeight="1">
      <c r="A6" s="1244" t="s">
        <v>1335</v>
      </c>
      <c r="B6" s="1245">
        <v>2004</v>
      </c>
      <c r="C6" s="1245">
        <v>2026</v>
      </c>
      <c r="E6" s="1246" t="s">
        <v>1336</v>
      </c>
      <c r="F6" s="1263"/>
      <c r="H6" s="1247" t="s">
        <v>1337</v>
      </c>
      <c r="I6" s="1246" t="s">
        <v>112</v>
      </c>
      <c r="J6" s="1237" t="s">
        <v>1338</v>
      </c>
      <c r="L6" s="1249">
        <f>SUM(kind_of_control_method_filter)</f>
        <v>1</v>
      </c>
      <c r="N6" s="1262" t="s">
        <v>1339</v>
      </c>
      <c r="O6" s="1246" t="s">
        <v>1340</v>
      </c>
      <c r="R6" s="313" t="s">
        <v>453</v>
      </c>
      <c r="T6" s="1247" t="s">
        <v>1341</v>
      </c>
      <c r="U6" s="1249" t="s">
        <v>1321</v>
      </c>
      <c r="V6" s="1253">
        <v>5</v>
      </c>
      <c r="W6" s="1254"/>
      <c r="X6" s="1245" t="s">
        <v>181</v>
      </c>
      <c r="Y6" s="1245" t="s">
        <v>1342</v>
      </c>
      <c r="Z6" s="1261"/>
      <c r="AA6" s="1264"/>
      <c r="AH6" s="1246" t="s">
        <v>1343</v>
      </c>
      <c r="AK6" s="1246" t="s">
        <v>1344</v>
      </c>
      <c r="AM6" s="1246" t="s">
        <v>1345</v>
      </c>
      <c r="AP6" s="1257" t="s">
        <v>181</v>
      </c>
      <c r="AQ6" s="1258" t="s">
        <v>181</v>
      </c>
      <c r="AU6" s="1290" t="s">
        <v>1346</v>
      </c>
      <c r="AW6" s="1290" t="s">
        <v>1347</v>
      </c>
      <c r="AX6" s="1290" t="s">
        <v>1347</v>
      </c>
      <c r="BB6" s="1290" t="s">
        <v>1348</v>
      </c>
      <c r="BC6" s="1290" t="s">
        <v>1329</v>
      </c>
      <c r="BE6" s="1290">
        <v>2004</v>
      </c>
      <c r="BF6" s="1290" t="s">
        <v>1349</v>
      </c>
      <c r="BH6" s="1238" t="s">
        <v>1350</v>
      </c>
      <c r="BJ6" s="1238" t="s">
        <v>1351</v>
      </c>
      <c r="BL6" s="1238" t="s">
        <v>1351</v>
      </c>
      <c r="BN6" s="1238" t="s">
        <v>1352</v>
      </c>
      <c r="BQ6" s="1451">
        <v>4213784</v>
      </c>
      <c r="BR6" s="1465" t="s">
        <v>1260</v>
      </c>
      <c r="BS6" s="1600"/>
      <c r="BT6" s="1451">
        <v>64236872</v>
      </c>
      <c r="BU6" s="1238" t="s">
        <v>241</v>
      </c>
      <c r="BV6" s="1240"/>
      <c r="BW6" s="1865">
        <v>4213768</v>
      </c>
      <c r="BX6" s="1863" t="s">
        <v>261</v>
      </c>
      <c r="BZ6" s="1451">
        <v>64237510</v>
      </c>
      <c r="CA6" s="1238" t="s">
        <v>1353</v>
      </c>
    </row>
    <row r="7" ht="11.25" customHeight="1">
      <c r="A7" s="1244" t="s">
        <v>1354</v>
      </c>
      <c r="B7" s="1245">
        <v>2005</v>
      </c>
      <c r="E7" s="1246" t="s">
        <v>1355</v>
      </c>
      <c r="F7" s="1263"/>
      <c r="H7" s="1247" t="s">
        <v>1356</v>
      </c>
      <c r="I7" s="1246" t="s">
        <v>93</v>
      </c>
      <c r="J7" s="1246" t="s">
        <v>1357</v>
      </c>
      <c r="N7" s="1266" t="s">
        <v>1358</v>
      </c>
      <c r="O7" s="1246" t="s">
        <v>1359</v>
      </c>
      <c r="U7" s="1249" t="s">
        <v>19</v>
      </c>
      <c r="V7" s="540" t="s">
        <v>93</v>
      </c>
      <c r="W7" s="1254"/>
      <c r="X7" s="1245" t="s">
        <v>187</v>
      </c>
      <c r="Y7" s="1245" t="s">
        <v>1320</v>
      </c>
      <c r="Z7" s="1261"/>
      <c r="AA7" s="1264"/>
      <c r="AH7" s="1246" t="s">
        <v>1360</v>
      </c>
      <c r="AK7" s="1246" t="s">
        <v>1361</v>
      </c>
      <c r="AM7" s="1246" t="s">
        <v>1362</v>
      </c>
      <c r="AP7" s="1257" t="s">
        <v>187</v>
      </c>
      <c r="AQ7" s="1258" t="s">
        <v>187</v>
      </c>
      <c r="AU7" s="1290" t="s">
        <v>1363</v>
      </c>
      <c r="AW7" s="1290" t="s">
        <v>1364</v>
      </c>
      <c r="AX7" s="1290" t="s">
        <v>1364</v>
      </c>
      <c r="AZ7" s="1237" t="s">
        <v>1365</v>
      </c>
      <c r="BB7" s="1290" t="s">
        <v>1366</v>
      </c>
      <c r="BC7" s="1290" t="s">
        <v>1329</v>
      </c>
      <c r="BE7" s="1290">
        <v>2005</v>
      </c>
      <c r="BF7" s="1290" t="s">
        <v>1367</v>
      </c>
      <c r="BH7" s="1238" t="s">
        <v>1368</v>
      </c>
      <c r="BJ7" s="1238" t="s">
        <v>1350</v>
      </c>
      <c r="BL7" s="1238" t="s">
        <v>1350</v>
      </c>
      <c r="BN7" s="1238" t="s">
        <v>1369</v>
      </c>
      <c r="BQ7" s="1451">
        <v>4213781</v>
      </c>
      <c r="BR7" s="1238" t="s">
        <v>1253</v>
      </c>
      <c r="BS7" s="1599"/>
      <c r="BT7" s="1451">
        <v>64236873</v>
      </c>
      <c r="BU7" s="1238" t="s">
        <v>246</v>
      </c>
      <c r="BV7" s="1240"/>
      <c r="BW7" s="1865">
        <v>4213769</v>
      </c>
      <c r="BX7" s="1863" t="s">
        <v>1370</v>
      </c>
      <c r="BZ7" s="1451">
        <v>64237511</v>
      </c>
      <c r="CA7" s="1238" t="s">
        <v>276</v>
      </c>
    </row>
    <row r="8" ht="11.25" customHeight="1">
      <c r="A8" s="1244" t="s">
        <v>1371</v>
      </c>
      <c r="B8" s="1245">
        <v>2006</v>
      </c>
      <c r="E8" s="1246" t="s">
        <v>1372</v>
      </c>
      <c r="F8" s="1263"/>
      <c r="H8" s="1247" t="s">
        <v>1373</v>
      </c>
      <c r="I8" s="1246" t="s">
        <v>94</v>
      </c>
      <c r="J8" s="1246" t="s">
        <v>1374</v>
      </c>
      <c r="N8" s="1333" t="s">
        <v>1375</v>
      </c>
      <c r="O8" s="1246" t="s">
        <v>1376</v>
      </c>
      <c r="V8" s="540" t="s">
        <v>94</v>
      </c>
      <c r="W8" s="1254"/>
      <c r="X8" s="1245" t="s">
        <v>193</v>
      </c>
      <c r="Y8" s="1245" t="s">
        <v>1320</v>
      </c>
      <c r="Z8" s="1261"/>
      <c r="AA8" s="1264"/>
      <c r="AK8" s="1246" t="s">
        <v>1377</v>
      </c>
      <c r="AP8" s="1257" t="s">
        <v>193</v>
      </c>
      <c r="AQ8" s="1258" t="s">
        <v>193</v>
      </c>
      <c r="AU8" s="1290" t="s">
        <v>1378</v>
      </c>
      <c r="AW8" s="1290" t="s">
        <v>1379</v>
      </c>
      <c r="AX8" s="1290" t="s">
        <v>1379</v>
      </c>
      <c r="AZ8" s="1290" t="s">
        <v>1380</v>
      </c>
      <c r="BB8" s="1290" t="s">
        <v>1381</v>
      </c>
      <c r="BC8" s="1290" t="s">
        <v>1329</v>
      </c>
      <c r="BE8" s="1290">
        <v>2006</v>
      </c>
      <c r="BF8" s="1290" t="s">
        <v>1382</v>
      </c>
      <c r="BH8" s="1238" t="s">
        <v>1383</v>
      </c>
      <c r="BJ8" s="1238" t="s">
        <v>1384</v>
      </c>
      <c r="BL8" s="1238" t="s">
        <v>1384</v>
      </c>
      <c r="BN8" s="1238" t="s">
        <v>1385</v>
      </c>
      <c r="BQ8" s="1451">
        <v>4213776</v>
      </c>
      <c r="BR8" s="1238" t="s">
        <v>175</v>
      </c>
      <c r="BS8" s="1599"/>
      <c r="BT8" s="1451">
        <v>64236874</v>
      </c>
      <c r="BU8" s="1465" t="s">
        <v>1386</v>
      </c>
      <c r="BV8" s="1240"/>
      <c r="BW8" s="1865">
        <v>4213770</v>
      </c>
      <c r="BX8" s="1866" t="s">
        <v>1387</v>
      </c>
      <c r="BZ8" s="1451">
        <v>64237512</v>
      </c>
      <c r="CA8" s="1238" t="s">
        <v>271</v>
      </c>
    </row>
    <row r="9" ht="11.25" customHeight="1">
      <c r="A9" s="1244" t="s">
        <v>1388</v>
      </c>
      <c r="B9" s="1245">
        <v>2007</v>
      </c>
      <c r="E9" s="1246" t="s">
        <v>1389</v>
      </c>
      <c r="F9" s="1263"/>
      <c r="G9" s="1237" t="s">
        <v>1390</v>
      </c>
      <c r="H9" s="1237" t="s">
        <v>1391</v>
      </c>
      <c r="I9" s="1246" t="s">
        <v>100</v>
      </c>
      <c r="O9" s="1246" t="s">
        <v>1392</v>
      </c>
      <c r="V9" s="540" t="s">
        <v>100</v>
      </c>
      <c r="W9" s="1254"/>
      <c r="X9" s="1245" t="s">
        <v>199</v>
      </c>
      <c r="Y9" s="1245" t="s">
        <v>1229</v>
      </c>
      <c r="Z9" s="1261">
        <v>1</v>
      </c>
      <c r="AA9" s="1264"/>
      <c r="AK9" s="1246" t="s">
        <v>1393</v>
      </c>
      <c r="AP9" s="1257" t="s">
        <v>1394</v>
      </c>
      <c r="AQ9" s="1258" t="s">
        <v>1394</v>
      </c>
      <c r="AW9" s="1290" t="s">
        <v>1395</v>
      </c>
      <c r="AX9" s="1290" t="s">
        <v>1395</v>
      </c>
      <c r="AZ9" s="1290" t="s">
        <v>1396</v>
      </c>
      <c r="BB9" s="1290" t="s">
        <v>1397</v>
      </c>
      <c r="BC9" s="1290" t="s">
        <v>1329</v>
      </c>
      <c r="BE9" s="1290">
        <v>2007</v>
      </c>
      <c r="BF9" s="1290" t="s">
        <v>1398</v>
      </c>
      <c r="BH9" s="1238" t="s">
        <v>1399</v>
      </c>
      <c r="BJ9" s="1238" t="s">
        <v>1400</v>
      </c>
      <c r="BL9" s="1238" t="s">
        <v>1400</v>
      </c>
      <c r="BN9" s="1238" t="s">
        <v>1401</v>
      </c>
      <c r="BQ9" s="1451">
        <v>4213777</v>
      </c>
      <c r="BR9" s="1238" t="s">
        <v>181</v>
      </c>
      <c r="BS9" s="1599"/>
      <c r="BT9" s="1451">
        <v>64236875</v>
      </c>
      <c r="BU9" s="1238" t="s">
        <v>251</v>
      </c>
      <c r="BV9" s="1240"/>
      <c r="BW9" s="1860"/>
      <c r="BX9" s="1860"/>
    </row>
    <row r="10" ht="11.25" customHeight="1">
      <c r="A10" s="1244" t="s">
        <v>1402</v>
      </c>
      <c r="B10" s="1245">
        <v>2008</v>
      </c>
      <c r="E10" s="1246" t="s">
        <v>1403</v>
      </c>
      <c r="F10" s="1263"/>
      <c r="G10" s="1246" t="s">
        <v>1404</v>
      </c>
      <c r="H10" s="1246" t="s">
        <v>1405</v>
      </c>
      <c r="I10" s="1246" t="s">
        <v>148</v>
      </c>
      <c r="J10" s="1237" t="s">
        <v>1406</v>
      </c>
      <c r="K10" s="1237" t="s">
        <v>1407</v>
      </c>
      <c r="O10" s="1246" t="s">
        <v>1408</v>
      </c>
      <c r="V10" s="541" t="s">
        <v>148</v>
      </c>
      <c r="W10" s="1267"/>
      <c r="X10" s="1267" t="s">
        <v>1409</v>
      </c>
      <c r="Y10" s="1268" t="s">
        <v>1410</v>
      </c>
      <c r="Z10" s="1261"/>
      <c r="AP10" s="1257" t="s">
        <v>1409</v>
      </c>
      <c r="AQ10" s="1258" t="s">
        <v>1409</v>
      </c>
      <c r="AW10" s="1290" t="s">
        <v>1411</v>
      </c>
      <c r="AX10" s="1290" t="s">
        <v>1411</v>
      </c>
      <c r="AZ10" s="1290" t="s">
        <v>1412</v>
      </c>
      <c r="BB10" s="1290" t="s">
        <v>1413</v>
      </c>
      <c r="BC10" s="1290" t="s">
        <v>1329</v>
      </c>
      <c r="BE10" s="1290">
        <v>2008</v>
      </c>
      <c r="BF10" s="1290" t="s">
        <v>1414</v>
      </c>
      <c r="BH10" s="1238" t="s">
        <v>1415</v>
      </c>
      <c r="BJ10" s="1238" t="s">
        <v>1416</v>
      </c>
      <c r="BL10" s="1238" t="s">
        <v>1416</v>
      </c>
      <c r="BN10" s="1238" t="s">
        <v>1417</v>
      </c>
      <c r="BQ10" s="1451">
        <v>4213778</v>
      </c>
      <c r="BR10" s="1238" t="s">
        <v>187</v>
      </c>
      <c r="BS10" s="1599"/>
      <c r="BT10" s="1451">
        <v>64236876</v>
      </c>
      <c r="BU10" s="1238" t="s">
        <v>231</v>
      </c>
      <c r="BV10" s="1240"/>
      <c r="BW10" s="1860"/>
      <c r="BX10" s="1860"/>
    </row>
    <row r="11" ht="11.25" customHeight="1">
      <c r="A11" s="1244" t="s">
        <v>1418</v>
      </c>
      <c r="B11" s="1245">
        <v>2009</v>
      </c>
      <c r="E11" s="1246" t="s">
        <v>1419</v>
      </c>
      <c r="F11" s="1263"/>
      <c r="G11" s="1246" t="s">
        <v>1420</v>
      </c>
      <c r="H11" s="1246" t="s">
        <v>1421</v>
      </c>
      <c r="I11" s="1246" t="s">
        <v>149</v>
      </c>
      <c r="J11" s="1247" t="s">
        <v>1422</v>
      </c>
      <c r="K11" s="1269" t="s">
        <v>1423</v>
      </c>
      <c r="O11" s="1247" t="s">
        <v>1424</v>
      </c>
      <c r="V11" s="540" t="s">
        <v>149</v>
      </c>
      <c r="W11" s="445"/>
      <c r="X11" s="1254" t="s">
        <v>1394</v>
      </c>
      <c r="Y11" s="1245" t="s">
        <v>1425</v>
      </c>
      <c r="Z11" s="1261"/>
      <c r="AP11" s="1257" t="s">
        <v>199</v>
      </c>
      <c r="AQ11" s="1259" t="s">
        <v>199</v>
      </c>
      <c r="AW11" s="1290" t="s">
        <v>1426</v>
      </c>
      <c r="AX11" s="1290" t="s">
        <v>1426</v>
      </c>
      <c r="AZ11" s="1290" t="s">
        <v>1427</v>
      </c>
      <c r="BB11" s="1290" t="s">
        <v>1428</v>
      </c>
      <c r="BC11" s="1290" t="s">
        <v>1329</v>
      </c>
      <c r="BE11" s="1290">
        <v>2009</v>
      </c>
      <c r="BF11" s="1290" t="s">
        <v>1429</v>
      </c>
      <c r="BH11" s="1238" t="s">
        <v>1430</v>
      </c>
      <c r="BJ11" s="1238" t="s">
        <v>1399</v>
      </c>
      <c r="BL11" s="1238" t="s">
        <v>1399</v>
      </c>
      <c r="BN11" s="1238" t="s">
        <v>1431</v>
      </c>
      <c r="BQ11" s="1451">
        <v>4213780</v>
      </c>
      <c r="BR11" s="1238" t="s">
        <v>193</v>
      </c>
      <c r="BS11" s="1599"/>
      <c r="BW11" s="1860"/>
      <c r="BX11" s="1860"/>
    </row>
    <row r="12" ht="11.25" customHeight="1">
      <c r="A12" s="1244" t="s">
        <v>1432</v>
      </c>
      <c r="B12" s="1245">
        <v>2010</v>
      </c>
      <c r="E12" s="1246" t="s">
        <v>1433</v>
      </c>
      <c r="F12" s="1263"/>
      <c r="G12" s="1246" t="s">
        <v>1421</v>
      </c>
      <c r="I12" s="1246" t="s">
        <v>150</v>
      </c>
      <c r="J12" s="1247" t="s">
        <v>1434</v>
      </c>
      <c r="K12" s="1269" t="s">
        <v>1435</v>
      </c>
      <c r="O12" s="1247" t="s">
        <v>453</v>
      </c>
      <c r="V12" s="540" t="s">
        <v>150</v>
      </c>
      <c r="W12" s="1259"/>
      <c r="X12" s="1254" t="s">
        <v>1436</v>
      </c>
      <c r="Y12" s="1245" t="s">
        <v>1229</v>
      </c>
      <c r="AP12" s="1257"/>
      <c r="AW12" s="1290" t="s">
        <v>149</v>
      </c>
      <c r="AX12" s="1290" t="s">
        <v>149</v>
      </c>
      <c r="AZ12" s="1290" t="s">
        <v>1437</v>
      </c>
      <c r="BB12" s="1290" t="s">
        <v>1438</v>
      </c>
      <c r="BC12" s="1290" t="s">
        <v>1329</v>
      </c>
      <c r="BE12" s="1290">
        <v>2010</v>
      </c>
      <c r="BF12" s="1290" t="s">
        <v>1439</v>
      </c>
      <c r="BH12" s="1238" t="s">
        <v>1440</v>
      </c>
      <c r="BJ12" s="1238" t="s">
        <v>1441</v>
      </c>
      <c r="BL12" s="1238" t="s">
        <v>1441</v>
      </c>
      <c r="BN12" s="1238" t="s">
        <v>1442</v>
      </c>
      <c r="BQ12" s="1451">
        <v>4213779</v>
      </c>
      <c r="BR12" s="1238" t="s">
        <v>1394</v>
      </c>
      <c r="BS12" s="1599"/>
      <c r="BT12" s="1240"/>
      <c r="BU12" s="1240"/>
      <c r="BV12" s="1240"/>
      <c r="BW12" s="1860"/>
      <c r="BX12" s="1860"/>
    </row>
    <row r="13" ht="11.25" customHeight="1">
      <c r="A13" s="1244" t="s">
        <v>1443</v>
      </c>
      <c r="B13" s="1245">
        <v>2011</v>
      </c>
      <c r="E13" s="1246" t="s">
        <v>1444</v>
      </c>
      <c r="F13" s="1263"/>
      <c r="I13" s="1246" t="s">
        <v>151</v>
      </c>
      <c r="K13" s="1269" t="s">
        <v>1393</v>
      </c>
      <c r="V13" s="540" t="s">
        <v>151</v>
      </c>
      <c r="W13" s="1259"/>
      <c r="X13" s="1259"/>
      <c r="Y13" s="1259"/>
      <c r="AW13" s="1290" t="s">
        <v>150</v>
      </c>
      <c r="AX13" s="1290" t="s">
        <v>150</v>
      </c>
      <c r="BB13" s="1290" t="s">
        <v>1445</v>
      </c>
      <c r="BC13" s="1290" t="s">
        <v>1446</v>
      </c>
      <c r="BE13" s="1290">
        <v>2011</v>
      </c>
      <c r="BF13" s="1290" t="s">
        <v>1447</v>
      </c>
      <c r="BH13" s="1238" t="s">
        <v>1448</v>
      </c>
      <c r="BJ13" s="1238" t="s">
        <v>1430</v>
      </c>
      <c r="BL13" s="1238" t="s">
        <v>1430</v>
      </c>
      <c r="BN13" s="1238" t="s">
        <v>1449</v>
      </c>
      <c r="BQ13" s="1451">
        <v>4213783</v>
      </c>
      <c r="BR13" s="1238" t="s">
        <v>1409</v>
      </c>
      <c r="BS13" s="1599"/>
      <c r="BT13" s="1240"/>
      <c r="BU13" s="1240"/>
      <c r="BV13" s="1240"/>
      <c r="BW13" s="1864"/>
      <c r="BX13" s="1860"/>
    </row>
    <row r="14" ht="11.25" customHeight="1">
      <c r="A14" s="1244" t="s">
        <v>1450</v>
      </c>
      <c r="B14" s="1245">
        <v>2012</v>
      </c>
      <c r="I14" s="1246" t="s">
        <v>152</v>
      </c>
      <c r="J14" s="1237" t="s">
        <v>1451</v>
      </c>
      <c r="N14" s="1237" t="s">
        <v>1452</v>
      </c>
      <c r="V14" s="1253">
        <v>13</v>
      </c>
      <c r="W14" s="1254"/>
      <c r="X14" s="1254" t="s">
        <v>1260</v>
      </c>
      <c r="Y14" s="1245" t="s">
        <v>1229</v>
      </c>
      <c r="AW14" s="1290" t="s">
        <v>151</v>
      </c>
      <c r="AX14" s="1290" t="s">
        <v>151</v>
      </c>
      <c r="AZ14" s="1237" t="s">
        <v>1453</v>
      </c>
      <c r="BB14" s="1290" t="s">
        <v>1454</v>
      </c>
      <c r="BC14" s="1290" t="s">
        <v>1446</v>
      </c>
      <c r="BE14" s="1290">
        <v>2012</v>
      </c>
      <c r="BH14" s="1238" t="s">
        <v>1369</v>
      </c>
      <c r="BJ14" s="1387" t="s">
        <v>1455</v>
      </c>
      <c r="BL14" s="1387" t="s">
        <v>1455</v>
      </c>
      <c r="BN14" s="1238" t="s">
        <v>1456</v>
      </c>
      <c r="BQ14" s="1451">
        <v>4213782</v>
      </c>
      <c r="BR14" s="1238" t="s">
        <v>199</v>
      </c>
      <c r="BS14" s="1599"/>
      <c r="BT14" s="1240"/>
      <c r="BU14" s="1240"/>
      <c r="BV14" s="1240"/>
      <c r="BW14" s="1864"/>
      <c r="BX14" s="1860"/>
    </row>
    <row r="15" ht="19.5" customHeight="1">
      <c r="A15" s="1244" t="s">
        <v>1457</v>
      </c>
      <c r="B15" s="1245">
        <v>2013</v>
      </c>
      <c r="E15" s="1868" t="s">
        <v>1458</v>
      </c>
      <c r="G15" s="1237" t="s">
        <v>1459</v>
      </c>
      <c r="H15" s="1237" t="s">
        <v>1460</v>
      </c>
      <c r="I15" s="1248" t="s">
        <v>153</v>
      </c>
      <c r="J15" s="1259" t="s">
        <v>589</v>
      </c>
      <c r="N15" s="1328" t="s">
        <v>1461</v>
      </c>
      <c r="X15" s="1257"/>
      <c r="AW15" s="1290" t="s">
        <v>152</v>
      </c>
      <c r="AX15" s="1290" t="s">
        <v>152</v>
      </c>
      <c r="AZ15" s="1290" t="s">
        <v>1380</v>
      </c>
      <c r="BB15" s="1290" t="s">
        <v>1462</v>
      </c>
      <c r="BC15" s="1290" t="s">
        <v>1446</v>
      </c>
      <c r="BE15" s="1290">
        <v>2013</v>
      </c>
      <c r="BH15" s="1238" t="s">
        <v>1385</v>
      </c>
      <c r="BJ15" s="1387" t="s">
        <v>1463</v>
      </c>
      <c r="BL15" s="1387" t="s">
        <v>1463</v>
      </c>
      <c r="BN15" s="1238" t="s">
        <v>1464</v>
      </c>
      <c r="BR15" s="1240"/>
      <c r="BS15" s="1601"/>
      <c r="BT15" s="1240"/>
      <c r="BU15" s="1240"/>
      <c r="BV15" s="1240"/>
      <c r="BW15" s="1864"/>
      <c r="BX15" s="1860"/>
    </row>
    <row r="16" ht="21" customHeight="1">
      <c r="A16" s="2040" t="s">
        <v>1465</v>
      </c>
      <c r="B16" s="1245">
        <v>2014</v>
      </c>
      <c r="E16" s="1869" t="s">
        <v>1466</v>
      </c>
      <c r="G16" s="1246" t="s">
        <v>1467</v>
      </c>
      <c r="H16" s="1246" t="s">
        <v>1468</v>
      </c>
      <c r="I16" s="1248" t="s">
        <v>1469</v>
      </c>
      <c r="J16" s="1259" t="s">
        <v>562</v>
      </c>
      <c r="N16" s="1328" t="s">
        <v>1470</v>
      </c>
      <c r="AW16" s="1290" t="s">
        <v>153</v>
      </c>
      <c r="AX16" s="1290" t="s">
        <v>153</v>
      </c>
      <c r="AZ16" s="1290" t="s">
        <v>1396</v>
      </c>
      <c r="BB16" s="1290" t="s">
        <v>1471</v>
      </c>
      <c r="BC16" s="1290" t="s">
        <v>1446</v>
      </c>
      <c r="BE16" s="1290">
        <v>2014</v>
      </c>
      <c r="BH16" s="1238" t="s">
        <v>1401</v>
      </c>
      <c r="BJ16" s="1387" t="s">
        <v>1472</v>
      </c>
      <c r="BL16" s="1387" t="s">
        <v>1472</v>
      </c>
      <c r="BN16" s="1238" t="s">
        <v>1473</v>
      </c>
      <c r="BR16" s="1240"/>
      <c r="BS16" s="1601"/>
      <c r="BT16" s="1240"/>
      <c r="BU16" s="1240"/>
      <c r="BV16" s="1240"/>
      <c r="BW16" s="1864"/>
      <c r="BX16" s="1860"/>
    </row>
    <row r="17" ht="21" customHeight="1">
      <c r="A17" s="1244" t="s">
        <v>16</v>
      </c>
      <c r="B17" s="1245">
        <v>2015</v>
      </c>
      <c r="G17" s="1246" t="s">
        <v>1421</v>
      </c>
      <c r="H17" s="1246" t="s">
        <v>1421</v>
      </c>
      <c r="I17" s="1246" t="s">
        <v>1474</v>
      </c>
      <c r="N17" s="1328" t="s">
        <v>1475</v>
      </c>
      <c r="X17" s="1257"/>
      <c r="AW17" s="1290" t="s">
        <v>1469</v>
      </c>
      <c r="AX17" s="1290" t="s">
        <v>1469</v>
      </c>
      <c r="AZ17" s="1290" t="s">
        <v>1476</v>
      </c>
      <c r="BB17" s="1290" t="s">
        <v>1477</v>
      </c>
      <c r="BC17" s="1290" t="s">
        <v>1329</v>
      </c>
      <c r="BE17" s="1290">
        <v>2015</v>
      </c>
      <c r="BH17" s="1238" t="s">
        <v>1417</v>
      </c>
      <c r="BJ17" s="1387" t="s">
        <v>1478</v>
      </c>
      <c r="BL17" s="1387" t="s">
        <v>1478</v>
      </c>
      <c r="BN17" s="1238" t="s">
        <v>1479</v>
      </c>
      <c r="BR17" s="1237" t="s">
        <v>1271</v>
      </c>
      <c r="BS17" s="1598"/>
      <c r="BU17" s="1237" t="s">
        <v>1480</v>
      </c>
      <c r="BV17" s="1240"/>
      <c r="BW17" s="1860"/>
      <c r="BX17" s="1862" t="s">
        <v>1481</v>
      </c>
      <c r="CA17" s="1237" t="s">
        <v>1482</v>
      </c>
      <c r="CD17" s="1237" t="s">
        <v>1483</v>
      </c>
    </row>
    <row r="18" ht="21" customHeight="1">
      <c r="A18" s="1244" t="s">
        <v>1484</v>
      </c>
      <c r="B18" s="1245">
        <v>2016</v>
      </c>
      <c r="E18" s="2175" t="s">
        <v>1485</v>
      </c>
      <c r="I18" s="1246" t="s">
        <v>1486</v>
      </c>
      <c r="N18" s="1328" t="s">
        <v>1487</v>
      </c>
      <c r="X18" s="1257"/>
      <c r="AW18" s="1290" t="s">
        <v>1474</v>
      </c>
      <c r="AX18" s="1290" t="s">
        <v>1474</v>
      </c>
      <c r="BB18" s="1290" t="s">
        <v>1488</v>
      </c>
      <c r="BC18" s="1290" t="s">
        <v>1329</v>
      </c>
      <c r="BE18" s="1290">
        <v>2016</v>
      </c>
      <c r="BH18" s="1238" t="s">
        <v>1431</v>
      </c>
      <c r="BJ18" s="1387" t="s">
        <v>1489</v>
      </c>
      <c r="BL18" s="1387" t="s">
        <v>1489</v>
      </c>
      <c r="BN18" s="1238" t="s">
        <v>1490</v>
      </c>
      <c r="BQ18" s="1602" t="s">
        <v>1301</v>
      </c>
      <c r="BR18" s="1329" t="s">
        <v>1302</v>
      </c>
      <c r="BS18" s="444"/>
      <c r="BT18" s="1602" t="s">
        <v>1491</v>
      </c>
      <c r="BU18" s="1329" t="s">
        <v>1492</v>
      </c>
      <c r="BV18" s="1240"/>
      <c r="BW18" s="1867" t="s">
        <v>1493</v>
      </c>
      <c r="BX18" s="1861" t="s">
        <v>1494</v>
      </c>
      <c r="BZ18" s="1602" t="s">
        <v>1495</v>
      </c>
      <c r="CA18" s="1329" t="s">
        <v>1496</v>
      </c>
      <c r="CC18" s="1602" t="s">
        <v>1497</v>
      </c>
      <c r="CD18" s="1329" t="s">
        <v>1498</v>
      </c>
    </row>
    <row r="19" ht="21" customHeight="1">
      <c r="A19" s="2040" t="s">
        <v>1499</v>
      </c>
      <c r="B19" s="1245">
        <v>2017</v>
      </c>
      <c r="E19" s="1244" t="s">
        <v>167</v>
      </c>
      <c r="I19" s="1246" t="s">
        <v>1500</v>
      </c>
      <c r="N19" s="1328" t="s">
        <v>1501</v>
      </c>
      <c r="X19" s="1257"/>
      <c r="AW19" s="1290" t="s">
        <v>1486</v>
      </c>
      <c r="AX19" s="1290" t="s">
        <v>1486</v>
      </c>
      <c r="AZ19" s="1237" t="s">
        <v>1502</v>
      </c>
      <c r="BB19" s="1290" t="s">
        <v>1503</v>
      </c>
      <c r="BC19" s="1290" t="s">
        <v>1329</v>
      </c>
      <c r="BE19" s="1290">
        <v>2017</v>
      </c>
      <c r="BH19" s="1238" t="s">
        <v>1504</v>
      </c>
      <c r="BJ19" s="1387" t="s">
        <v>1505</v>
      </c>
      <c r="BL19" s="1387" t="s">
        <v>1505</v>
      </c>
      <c r="BQ19" s="1451">
        <v>4190064</v>
      </c>
      <c r="BR19" s="1238" t="s">
        <v>1506</v>
      </c>
      <c r="BS19" s="1599"/>
      <c r="BT19" s="1451">
        <v>4189671</v>
      </c>
      <c r="BU19" s="1238" t="s">
        <v>1507</v>
      </c>
      <c r="BV19" s="1240"/>
      <c r="BW19" s="1865">
        <v>4189706</v>
      </c>
      <c r="BX19" s="1863" t="s">
        <v>1508</v>
      </c>
      <c r="BZ19" s="1451">
        <v>4189714</v>
      </c>
      <c r="CA19" s="1238" t="s">
        <v>1509</v>
      </c>
      <c r="CC19" s="1451">
        <v>4189708</v>
      </c>
      <c r="CD19" s="1238" t="s">
        <v>1510</v>
      </c>
    </row>
    <row r="20" ht="21" customHeight="1">
      <c r="A20" s="1244" t="s">
        <v>1511</v>
      </c>
      <c r="B20" s="1245">
        <v>2018</v>
      </c>
      <c r="E20" s="1244" t="s">
        <v>1260</v>
      </c>
      <c r="I20" s="1246" t="s">
        <v>1512</v>
      </c>
      <c r="N20" s="1328" t="s">
        <v>1513</v>
      </c>
      <c r="AW20" s="1290" t="s">
        <v>1500</v>
      </c>
      <c r="AX20" s="1290" t="s">
        <v>1500</v>
      </c>
      <c r="AZ20" s="1290" t="s">
        <v>1514</v>
      </c>
      <c r="BB20" s="1290" t="s">
        <v>1515</v>
      </c>
      <c r="BC20" s="1290" t="s">
        <v>1446</v>
      </c>
      <c r="BE20" s="1290">
        <v>2018</v>
      </c>
      <c r="BH20" s="1238" t="s">
        <v>1442</v>
      </c>
      <c r="BJ20" s="1238" t="s">
        <v>1369</v>
      </c>
      <c r="BL20" s="1238" t="s">
        <v>1369</v>
      </c>
      <c r="BQ20" s="1451">
        <v>4190065</v>
      </c>
      <c r="BR20" s="1238" t="s">
        <v>1516</v>
      </c>
      <c r="BS20" s="1599"/>
      <c r="BT20" s="1451">
        <v>4189672</v>
      </c>
      <c r="BU20" s="1238" t="s">
        <v>1517</v>
      </c>
      <c r="BV20" s="1240"/>
      <c r="BW20" s="1865">
        <v>4189705</v>
      </c>
      <c r="BX20" s="1863" t="s">
        <v>1518</v>
      </c>
      <c r="BZ20" s="1451">
        <v>4189713</v>
      </c>
      <c r="CA20" s="1238" t="s">
        <v>1518</v>
      </c>
      <c r="CC20" s="1451">
        <v>4189709</v>
      </c>
      <c r="CD20" s="1238" t="s">
        <v>1519</v>
      </c>
    </row>
    <row r="21" ht="21" customHeight="1">
      <c r="A21" s="1244" t="s">
        <v>1520</v>
      </c>
      <c r="B21" s="1245">
        <v>2019</v>
      </c>
      <c r="I21" s="1246" t="s">
        <v>1521</v>
      </c>
      <c r="N21" s="1328" t="s">
        <v>1522</v>
      </c>
      <c r="AW21" s="1290" t="s">
        <v>1512</v>
      </c>
      <c r="AX21" s="1290" t="s">
        <v>1512</v>
      </c>
      <c r="AZ21" s="1290" t="s">
        <v>1523</v>
      </c>
      <c r="BB21" s="1290" t="s">
        <v>1524</v>
      </c>
      <c r="BC21" s="1290" t="s">
        <v>1329</v>
      </c>
      <c r="BE21" s="1290">
        <v>2019</v>
      </c>
      <c r="BH21" s="1238" t="s">
        <v>1449</v>
      </c>
      <c r="BJ21" s="1238" t="s">
        <v>1385</v>
      </c>
      <c r="BL21" s="1238" t="s">
        <v>1385</v>
      </c>
      <c r="BQ21" s="1451">
        <v>4190066</v>
      </c>
      <c r="BR21" s="1238" t="s">
        <v>1525</v>
      </c>
      <c r="BS21" s="1599"/>
      <c r="BT21" s="1451">
        <v>4189673</v>
      </c>
      <c r="BU21" s="1238" t="s">
        <v>1526</v>
      </c>
      <c r="BV21" s="1240"/>
      <c r="BW21" s="1865">
        <v>4189707</v>
      </c>
      <c r="BX21" s="1863" t="s">
        <v>1527</v>
      </c>
      <c r="BZ21" s="1451">
        <v>4189712</v>
      </c>
      <c r="CA21" s="1238" t="s">
        <v>1528</v>
      </c>
      <c r="CC21" s="1451">
        <v>4189710</v>
      </c>
      <c r="CD21" s="1238" t="s">
        <v>1529</v>
      </c>
    </row>
    <row r="22" ht="21" customHeight="1">
      <c r="A22" s="1244" t="s">
        <v>1530</v>
      </c>
      <c r="B22" s="1245">
        <v>2020</v>
      </c>
      <c r="N22" s="1328" t="s">
        <v>1531</v>
      </c>
      <c r="AW22" s="1290" t="s">
        <v>1521</v>
      </c>
      <c r="AX22" s="1290" t="s">
        <v>1521</v>
      </c>
      <c r="AZ22" s="1290" t="s">
        <v>1532</v>
      </c>
      <c r="BB22" s="1290" t="s">
        <v>1533</v>
      </c>
      <c r="BC22" s="1290" t="s">
        <v>1329</v>
      </c>
      <c r="BE22" s="1290">
        <v>2020</v>
      </c>
      <c r="BH22" s="1238" t="s">
        <v>1456</v>
      </c>
      <c r="BJ22" s="1238" t="s">
        <v>1401</v>
      </c>
      <c r="BL22" s="1238" t="s">
        <v>1401</v>
      </c>
      <c r="BQ22" s="1451">
        <v>4190067</v>
      </c>
      <c r="BR22" s="1238" t="s">
        <v>1534</v>
      </c>
      <c r="BS22" s="1599"/>
      <c r="BT22" s="1451">
        <v>4189674</v>
      </c>
      <c r="BU22" s="1238" t="s">
        <v>1535</v>
      </c>
      <c r="BV22" s="1240"/>
      <c r="BW22" s="1240"/>
      <c r="CC22" s="1451">
        <v>4189711</v>
      </c>
      <c r="CD22" s="1238" t="s">
        <v>300</v>
      </c>
    </row>
    <row r="23" ht="21" customHeight="1">
      <c r="A23" s="1244" t="s">
        <v>1536</v>
      </c>
      <c r="B23" s="1245">
        <v>2021</v>
      </c>
      <c r="AW23" s="1290" t="s">
        <v>1537</v>
      </c>
      <c r="AX23" s="1290" t="s">
        <v>1537</v>
      </c>
      <c r="AZ23" s="1290" t="s">
        <v>1538</v>
      </c>
      <c r="BB23" s="1290" t="s">
        <v>1539</v>
      </c>
      <c r="BC23" s="1290" t="s">
        <v>1239</v>
      </c>
      <c r="BE23" s="1290">
        <v>2021</v>
      </c>
      <c r="BH23" s="1238" t="s">
        <v>1464</v>
      </c>
      <c r="BJ23" s="1238" t="s">
        <v>1417</v>
      </c>
      <c r="BL23" s="1238" t="s">
        <v>1417</v>
      </c>
      <c r="BQ23" s="1451">
        <v>4190068</v>
      </c>
      <c r="BR23" s="1238" t="s">
        <v>1540</v>
      </c>
      <c r="BS23" s="1599"/>
      <c r="BT23" s="1451">
        <v>4189675</v>
      </c>
      <c r="BU23" s="1238" t="s">
        <v>1541</v>
      </c>
      <c r="BV23" s="1240"/>
      <c r="BW23" s="1240"/>
      <c r="CC23" s="1451">
        <v>5110778</v>
      </c>
      <c r="CD23" s="1238" t="s">
        <v>1542</v>
      </c>
    </row>
    <row r="24" ht="21" customHeight="1">
      <c r="A24" s="1244" t="s">
        <v>1543</v>
      </c>
      <c r="B24" s="1245">
        <v>2022</v>
      </c>
      <c r="AW24" s="1290" t="s">
        <v>1544</v>
      </c>
      <c r="AX24" s="1290" t="s">
        <v>1544</v>
      </c>
      <c r="AZ24" s="1290" t="s">
        <v>1545</v>
      </c>
      <c r="BB24" s="1290" t="s">
        <v>1546</v>
      </c>
      <c r="BC24" s="1290" t="s">
        <v>1547</v>
      </c>
      <c r="BE24" s="1290">
        <v>2022</v>
      </c>
      <c r="BH24" s="1238" t="s">
        <v>1473</v>
      </c>
      <c r="BJ24" s="1238" t="s">
        <v>1431</v>
      </c>
      <c r="BL24" s="1238" t="s">
        <v>1431</v>
      </c>
      <c r="BQ24" s="1451">
        <v>4190069</v>
      </c>
      <c r="BR24" s="1238" t="s">
        <v>1548</v>
      </c>
      <c r="BS24" s="1599"/>
      <c r="BT24" s="1451">
        <v>4189676</v>
      </c>
      <c r="BU24" s="1238" t="s">
        <v>1549</v>
      </c>
      <c r="BV24" s="1240"/>
      <c r="BW24" s="1240"/>
      <c r="CC24" s="1451">
        <v>25575374</v>
      </c>
      <c r="CD24" s="1238" t="s">
        <v>1550</v>
      </c>
    </row>
    <row r="25" ht="11.25" customHeight="1">
      <c r="A25" s="1244" t="s">
        <v>1551</v>
      </c>
      <c r="B25" s="1245">
        <v>2023</v>
      </c>
      <c r="AW25" s="1290" t="s">
        <v>1552</v>
      </c>
      <c r="AX25" s="1290" t="s">
        <v>1552</v>
      </c>
      <c r="AZ25" s="1290" t="s">
        <v>1553</v>
      </c>
      <c r="BB25" s="1290" t="s">
        <v>1554</v>
      </c>
      <c r="BC25" s="1290" t="s">
        <v>1547</v>
      </c>
      <c r="BE25" s="1290">
        <v>2023</v>
      </c>
      <c r="BH25" s="1238" t="s">
        <v>1479</v>
      </c>
      <c r="BJ25" s="1238" t="s">
        <v>1504</v>
      </c>
      <c r="BL25" s="1238" t="s">
        <v>1504</v>
      </c>
      <c r="BQ25" s="1451">
        <v>4190070</v>
      </c>
      <c r="BR25" s="1238" t="s">
        <v>1555</v>
      </c>
      <c r="BS25" s="1599"/>
      <c r="BT25" s="1451">
        <v>4189677</v>
      </c>
      <c r="BU25" s="1238" t="s">
        <v>1556</v>
      </c>
      <c r="BV25" s="1240"/>
      <c r="BW25" s="1240"/>
    </row>
    <row r="26" ht="11.25" customHeight="1">
      <c r="A26" s="1244" t="s">
        <v>1557</v>
      </c>
      <c r="B26" s="1245">
        <v>2024</v>
      </c>
      <c r="J26" s="1901" t="s">
        <v>1558</v>
      </c>
      <c r="AX26" s="1290" t="s">
        <v>1559</v>
      </c>
      <c r="AZ26" s="1290" t="s">
        <v>1424</v>
      </c>
      <c r="BB26" s="1290" t="s">
        <v>1560</v>
      </c>
      <c r="BC26" s="1290" t="s">
        <v>1547</v>
      </c>
      <c r="BE26" s="1290">
        <v>2024</v>
      </c>
      <c r="BH26" s="1238" t="s">
        <v>1490</v>
      </c>
      <c r="BJ26" s="1238" t="s">
        <v>1442</v>
      </c>
      <c r="BL26" s="1238" t="s">
        <v>1442</v>
      </c>
      <c r="BQ26" s="1451">
        <v>4190071</v>
      </c>
      <c r="BR26" s="1238" t="s">
        <v>1561</v>
      </c>
      <c r="BS26" s="1599"/>
      <c r="BV26" s="1240"/>
      <c r="BW26" s="1240"/>
    </row>
    <row r="27" ht="11.25" customHeight="1">
      <c r="A27" s="1244" t="s">
        <v>1562</v>
      </c>
      <c r="B27" s="1245">
        <v>2025</v>
      </c>
      <c r="J27" s="346" t="s">
        <v>432</v>
      </c>
      <c r="AX27" s="1290" t="s">
        <v>1563</v>
      </c>
      <c r="BB27" s="1290" t="s">
        <v>1564</v>
      </c>
      <c r="BC27" s="1290" t="s">
        <v>1547</v>
      </c>
      <c r="BE27" s="1290">
        <v>2025</v>
      </c>
      <c r="BH27" s="1240" t="s">
        <v>28</v>
      </c>
      <c r="BJ27" s="1238" t="s">
        <v>1449</v>
      </c>
      <c r="BL27" s="1238" t="s">
        <v>1449</v>
      </c>
      <c r="BN27" s="1240" t="s">
        <v>28</v>
      </c>
      <c r="BQ27" s="1451">
        <v>4190072</v>
      </c>
      <c r="BR27" s="1238" t="s">
        <v>1565</v>
      </c>
      <c r="BS27" s="1599"/>
      <c r="BV27" s="1240"/>
      <c r="BW27" s="1240"/>
    </row>
    <row r="28" ht="11.25" customHeight="1">
      <c r="A28" s="1244" t="s">
        <v>1566</v>
      </c>
      <c r="D28" s="1271"/>
      <c r="E28" s="1272"/>
      <c r="F28" s="1272"/>
      <c r="H28" s="1273" t="s">
        <v>1567</v>
      </c>
      <c r="AX28" s="1290" t="s">
        <v>1568</v>
      </c>
      <c r="AZ28" s="1237" t="s">
        <v>1569</v>
      </c>
      <c r="BB28" s="1290" t="s">
        <v>1570</v>
      </c>
      <c r="BC28" s="1290" t="s">
        <v>1571</v>
      </c>
      <c r="BE28" s="1290">
        <v>2026</v>
      </c>
      <c r="BH28" s="1240" t="s">
        <v>28</v>
      </c>
      <c r="BJ28" s="1238" t="s">
        <v>1456</v>
      </c>
      <c r="BL28" s="1238" t="s">
        <v>1456</v>
      </c>
      <c r="BN28" s="1240" t="s">
        <v>28</v>
      </c>
      <c r="BQ28" s="1451">
        <v>4190073</v>
      </c>
      <c r="BR28" s="1238" t="s">
        <v>1572</v>
      </c>
      <c r="BS28" s="1599"/>
      <c r="BV28" s="1240"/>
      <c r="BW28" s="1240"/>
    </row>
    <row r="29" ht="11.25" customHeight="1">
      <c r="A29" s="1244" t="s">
        <v>1573</v>
      </c>
      <c r="D29" s="1274" t="s">
        <v>1574</v>
      </c>
      <c r="E29" s="1275" t="str">
        <f>IF(TEMPLATE_GROUP="","",INDEX(StartDateList,MATCH(TEMPLATE_GROUP,CodeTemplateList,0),1))</f>
        <v>01.01.2024</v>
      </c>
      <c r="F29" s="1275" t="str">
        <f>IF(TEMPLATE_GROUP="","",INDEX(EndDateList,MATCH(TEMPLATE_GROUP,CodeTemplateList,0),1))</f>
        <v>31.12.2028</v>
      </c>
      <c r="H29" s="1276" t="s">
        <v>1575</v>
      </c>
      <c r="AX29" s="1290" t="s">
        <v>1576</v>
      </c>
      <c r="AZ29" s="1290" t="s">
        <v>1224</v>
      </c>
      <c r="BB29" s="1290" t="s">
        <v>1424</v>
      </c>
      <c r="BC29" s="1261"/>
      <c r="BE29" s="1290">
        <v>2027</v>
      </c>
      <c r="BJ29" s="1238" t="s">
        <v>1464</v>
      </c>
      <c r="BL29" s="1238" t="s">
        <v>1464</v>
      </c>
    </row>
    <row r="30" ht="11.25" customHeight="1">
      <c r="A30" s="1244" t="s">
        <v>1577</v>
      </c>
      <c r="D30" s="1277"/>
      <c r="E30" s="1278"/>
      <c r="F30" s="1278"/>
      <c r="AX30" s="1290" t="s">
        <v>1578</v>
      </c>
      <c r="AZ30" s="1290" t="s">
        <v>1249</v>
      </c>
      <c r="BE30" s="1290">
        <v>2028</v>
      </c>
      <c r="BJ30" s="1238" t="s">
        <v>1579</v>
      </c>
      <c r="BL30" s="1238" t="s">
        <v>1579</v>
      </c>
    </row>
    <row r="31" ht="12.75" customHeight="1">
      <c r="A31" s="1244" t="s">
        <v>1580</v>
      </c>
      <c r="D31" s="1271"/>
      <c r="E31" s="1272"/>
      <c r="F31" s="1272"/>
      <c r="H31" s="1279"/>
      <c r="AX31" s="1290" t="s">
        <v>1581</v>
      </c>
      <c r="AZ31" s="1290" t="s">
        <v>1582</v>
      </c>
      <c r="BE31" s="1290">
        <v>2029</v>
      </c>
      <c r="BJ31" s="1238" t="s">
        <v>1583</v>
      </c>
      <c r="BL31" s="1238" t="s">
        <v>1583</v>
      </c>
    </row>
    <row r="32" ht="11.25" customHeight="1">
      <c r="A32" s="1244" t="s">
        <v>1584</v>
      </c>
      <c r="D32" s="1274" t="s">
        <v>1585</v>
      </c>
      <c r="E32" s="1275" t="str">
        <f>IF(TEMPLATE_GROUP="","",INDEX(StartDateList,MATCH(TEMPLATE_GROUP,CodeTemplateList,0),1))</f>
        <v>01.01.2024</v>
      </c>
      <c r="F32" s="1275" t="str">
        <f>IF(TEMPLATE_GROUP="","",INDEX(EndDateList,MATCH(TEMPLATE_GROUP,CodeTemplateList,0),1))</f>
        <v>31.12.2028</v>
      </c>
      <c r="H32" s="1280" t="s">
        <v>1586</v>
      </c>
      <c r="O32" s="1244" t="s">
        <v>454</v>
      </c>
      <c r="AX32" s="1290" t="s">
        <v>1587</v>
      </c>
      <c r="AZ32" s="1290" t="s">
        <v>1317</v>
      </c>
      <c r="BE32" s="1290">
        <v>2030</v>
      </c>
      <c r="BJ32" s="1238" t="s">
        <v>1473</v>
      </c>
      <c r="BL32" s="1238" t="s">
        <v>1473</v>
      </c>
    </row>
    <row r="33" ht="11.25" customHeight="1">
      <c r="A33" s="1244" t="s">
        <v>1588</v>
      </c>
      <c r="O33" s="1244" t="s">
        <v>1247</v>
      </c>
      <c r="AX33" s="1290" t="s">
        <v>1589</v>
      </c>
      <c r="AZ33" s="1290" t="s">
        <v>453</v>
      </c>
      <c r="BE33" s="1290">
        <v>2031</v>
      </c>
      <c r="BJ33" s="1238" t="s">
        <v>1479</v>
      </c>
      <c r="BL33" s="1238" t="s">
        <v>1479</v>
      </c>
    </row>
    <row r="34" ht="11.25" customHeight="1">
      <c r="A34" s="1244" t="s">
        <v>1590</v>
      </c>
      <c r="O34" s="1244" t="s">
        <v>1282</v>
      </c>
      <c r="AX34" s="1290" t="s">
        <v>1591</v>
      </c>
      <c r="BE34" s="1290">
        <v>2032</v>
      </c>
      <c r="BJ34" s="1238" t="s">
        <v>1490</v>
      </c>
      <c r="BL34" s="1238" t="s">
        <v>1490</v>
      </c>
    </row>
    <row r="35" ht="11.25" customHeight="1">
      <c r="A35" s="1244" t="s">
        <v>1592</v>
      </c>
      <c r="O35" s="1244" t="s">
        <v>1315</v>
      </c>
      <c r="AX35" s="1290" t="s">
        <v>1593</v>
      </c>
      <c r="AZ35" s="1237" t="s">
        <v>1594</v>
      </c>
      <c r="BE35" s="1290">
        <v>2033</v>
      </c>
      <c r="BL35" s="1238" t="s">
        <v>1595</v>
      </c>
    </row>
    <row r="36" ht="11.25" customHeight="1">
      <c r="A36" s="2040" t="s">
        <v>1596</v>
      </c>
      <c r="D36" s="1281" t="s">
        <v>1597</v>
      </c>
      <c r="E36" s="1282" t="s">
        <v>813</v>
      </c>
      <c r="F36" s="1283" t="str">
        <f>INDEX(E37:E41,MATCH(TEMPLATE_SPHERE,F37:F41,0))</f>
        <v>теплоснабжения</v>
      </c>
      <c r="G36" s="1283" t="str">
        <f>INDEX(G37:G41,MATCH(TEMPLATE_SPHERE,F37:F41,0))</f>
        <v>теплоснабжение</v>
      </c>
      <c r="O36" s="1244" t="s">
        <v>1340</v>
      </c>
      <c r="AX36" s="1290" t="s">
        <v>1598</v>
      </c>
      <c r="AZ36" s="1290" t="s">
        <v>453</v>
      </c>
      <c r="BE36" s="1290">
        <v>2034</v>
      </c>
      <c r="BL36" s="1238" t="s">
        <v>1599</v>
      </c>
    </row>
    <row r="37" ht="11.25" customHeight="1">
      <c r="A37" s="1244" t="s">
        <v>1600</v>
      </c>
      <c r="E37" s="577" t="s">
        <v>1601</v>
      </c>
      <c r="F37" s="1284" t="s">
        <v>813</v>
      </c>
      <c r="G37" s="577" t="s">
        <v>1602</v>
      </c>
      <c r="O37" s="1244" t="s">
        <v>1359</v>
      </c>
      <c r="AX37" s="1290" t="s">
        <v>1603</v>
      </c>
      <c r="AZ37" s="1290" t="s">
        <v>1248</v>
      </c>
      <c r="BE37" s="1290">
        <v>2035</v>
      </c>
    </row>
    <row r="38" ht="11.25" customHeight="1">
      <c r="A38" s="1244" t="s">
        <v>1604</v>
      </c>
      <c r="E38" s="577" t="s">
        <v>1605</v>
      </c>
      <c r="F38" s="1285" t="s">
        <v>859</v>
      </c>
      <c r="G38" s="577" t="s">
        <v>1606</v>
      </c>
      <c r="O38" s="1244" t="s">
        <v>1376</v>
      </c>
      <c r="AX38" s="1290" t="s">
        <v>1607</v>
      </c>
      <c r="AZ38" s="1290" t="s">
        <v>1283</v>
      </c>
      <c r="BE38" s="1290">
        <v>2036</v>
      </c>
      <c r="BH38" s="1237" t="s">
        <v>1608</v>
      </c>
      <c r="BJ38" s="1237" t="s">
        <v>1609</v>
      </c>
      <c r="BL38" s="1237" t="s">
        <v>1610</v>
      </c>
      <c r="BN38" s="1237" t="s">
        <v>1611</v>
      </c>
    </row>
    <row r="39" ht="11.25" customHeight="1">
      <c r="A39" s="1244" t="s">
        <v>1612</v>
      </c>
      <c r="E39" s="577" t="s">
        <v>1613</v>
      </c>
      <c r="F39" s="1285" t="s">
        <v>912</v>
      </c>
      <c r="G39" s="577" t="s">
        <v>1614</v>
      </c>
      <c r="O39" s="1244" t="s">
        <v>1392</v>
      </c>
      <c r="AX39" s="1290" t="s">
        <v>1615</v>
      </c>
      <c r="AZ39" s="1290" t="s">
        <v>1316</v>
      </c>
      <c r="BE39" s="1290">
        <v>2037</v>
      </c>
      <c r="BH39" s="1238" t="s">
        <v>1616</v>
      </c>
      <c r="BJ39" s="1387" t="s">
        <v>1616</v>
      </c>
      <c r="BL39" s="1387" t="s">
        <v>1616</v>
      </c>
      <c r="BN39" s="1238" t="s">
        <v>1617</v>
      </c>
    </row>
    <row r="40" ht="11.25" customHeight="1">
      <c r="A40" s="1244" t="s">
        <v>1618</v>
      </c>
      <c r="E40" s="577" t="s">
        <v>1619</v>
      </c>
      <c r="F40" s="1285" t="s">
        <v>899</v>
      </c>
      <c r="G40" s="577" t="s">
        <v>1620</v>
      </c>
      <c r="O40" s="1244" t="s">
        <v>1408</v>
      </c>
      <c r="AX40" s="1290" t="s">
        <v>1621</v>
      </c>
      <c r="BE40" s="1290">
        <v>2038</v>
      </c>
      <c r="BH40" s="1238" t="s">
        <v>1622</v>
      </c>
      <c r="BJ40" s="1387" t="s">
        <v>1032</v>
      </c>
      <c r="BL40" s="1387" t="s">
        <v>1032</v>
      </c>
      <c r="BN40" s="1238" t="s">
        <v>1066</v>
      </c>
    </row>
    <row r="41" ht="11.25" customHeight="1">
      <c r="A41" s="1244" t="s">
        <v>1623</v>
      </c>
      <c r="E41" s="577" t="s">
        <v>1624</v>
      </c>
      <c r="F41" s="1285" t="s">
        <v>1625</v>
      </c>
      <c r="G41" s="577" t="s">
        <v>1624</v>
      </c>
      <c r="O41" s="1244" t="s">
        <v>1424</v>
      </c>
      <c r="AX41" s="1290" t="s">
        <v>1626</v>
      </c>
      <c r="AZ41" s="1237" t="s">
        <v>1627</v>
      </c>
      <c r="BE41" s="1290">
        <v>2039</v>
      </c>
      <c r="BH41" s="1238" t="s">
        <v>1628</v>
      </c>
      <c r="BJ41" s="1387" t="s">
        <v>1028</v>
      </c>
      <c r="BL41" s="1387" t="s">
        <v>1028</v>
      </c>
      <c r="BN41" s="1238" t="s">
        <v>1053</v>
      </c>
    </row>
    <row r="42" ht="11.25" customHeight="1">
      <c r="A42" s="1244" t="s">
        <v>1629</v>
      </c>
      <c r="AX42" s="1290" t="s">
        <v>1630</v>
      </c>
      <c r="AZ42" s="1290" t="s">
        <v>454</v>
      </c>
      <c r="BE42" s="1290">
        <v>2040</v>
      </c>
      <c r="BH42" s="1238" t="s">
        <v>1050</v>
      </c>
      <c r="BJ42" s="1387" t="s">
        <v>1030</v>
      </c>
      <c r="BL42" s="1387" t="s">
        <v>1030</v>
      </c>
      <c r="BN42" s="1238" t="s">
        <v>1631</v>
      </c>
    </row>
    <row r="43" ht="11.25" customHeight="1">
      <c r="A43" s="1244" t="s">
        <v>1632</v>
      </c>
      <c r="AX43" s="1290" t="s">
        <v>1633</v>
      </c>
      <c r="AZ43" s="1290" t="s">
        <v>1247</v>
      </c>
      <c r="BE43" s="1290">
        <v>2041</v>
      </c>
      <c r="BH43" s="1238" t="s">
        <v>1634</v>
      </c>
      <c r="BJ43" s="1387" t="s">
        <v>1628</v>
      </c>
      <c r="BL43" s="1387" t="s">
        <v>1628</v>
      </c>
      <c r="BN43" s="1238" t="s">
        <v>1635</v>
      </c>
    </row>
    <row r="44" ht="11.25" customHeight="1">
      <c r="A44" s="1244" t="s">
        <v>1636</v>
      </c>
      <c r="G44" s="1264">
        <f>YEAR(TODAY())</f>
        <v>2024</v>
      </c>
      <c r="I44" s="969" t="s">
        <v>1637</v>
      </c>
      <c r="J44" s="1259" t="s">
        <v>1638</v>
      </c>
      <c r="K44" s="1259" t="s">
        <v>1639</v>
      </c>
      <c r="AX44" s="1290" t="s">
        <v>1640</v>
      </c>
      <c r="AZ44" s="1290" t="s">
        <v>1282</v>
      </c>
      <c r="BE44" s="1290">
        <v>2042</v>
      </c>
      <c r="BH44" s="1238" t="s">
        <v>1641</v>
      </c>
      <c r="BJ44" s="1387" t="s">
        <v>1050</v>
      </c>
      <c r="BL44" s="1387" t="s">
        <v>1050</v>
      </c>
      <c r="BN44" s="1238" t="s">
        <v>1642</v>
      </c>
    </row>
    <row r="45" ht="11.25" customHeight="1">
      <c r="A45" s="1244" t="s">
        <v>1643</v>
      </c>
      <c r="D45" s="1281" t="s">
        <v>1644</v>
      </c>
      <c r="E45" s="1282" t="s">
        <v>1645</v>
      </c>
      <c r="F45" s="967" t="s">
        <v>1646</v>
      </c>
      <c r="G45" s="966" t="s">
        <v>1647</v>
      </c>
      <c r="H45" s="969" t="s">
        <v>1648</v>
      </c>
      <c r="I45" s="1911">
        <f>INDEX(PeriodIsEmptyList,MATCH(TEMPLATE_GROUP,CodeTemplateList,0),1)</f>
        <v>0</v>
      </c>
      <c r="J45" s="1914" t="str">
        <f>INDEX(NameTemplatesInTitleList,MATCH(TEMPLATE_GROUP,CodeTemplateList,0),1)</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14" t="str">
        <f>"Перечень муниципальных районов и муниципальных образований (территорий "&amp;IF(OR(TEMPLATE_GROUP="P",TEMPLATE_GROUP="R",TEMPLATE_GROUP="Q"),"действия тарифа","оказания услуг")&amp;")"</f>
        <v xml:space="preserve">Перечень муниципальных районов и муниципальных образований (территорий действия тарифа)</v>
      </c>
      <c r="AX45" s="1290" t="s">
        <v>1649</v>
      </c>
      <c r="AZ45" s="1290" t="s">
        <v>1315</v>
      </c>
      <c r="BE45" s="1290">
        <v>2043</v>
      </c>
      <c r="BH45" s="1238" t="s">
        <v>1650</v>
      </c>
      <c r="BJ45" s="1387" t="s">
        <v>1044</v>
      </c>
      <c r="BL45" s="1387" t="s">
        <v>1044</v>
      </c>
      <c r="BN45" s="1238" t="s">
        <v>1651</v>
      </c>
    </row>
    <row r="46" ht="11.25" customHeight="1">
      <c r="A46" s="1244" t="s">
        <v>1652</v>
      </c>
      <c r="E46" s="577" t="s">
        <v>26</v>
      </c>
      <c r="F46" s="1284" t="s">
        <v>1653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 xml:space="preserve">Общая информация о регулируемой организации (теплоснабжения)</v>
      </c>
      <c r="K46" s="1916"/>
      <c r="AX46" s="1290" t="s">
        <v>1654</v>
      </c>
      <c r="AZ46" s="1290" t="s">
        <v>1340</v>
      </c>
      <c r="BE46" s="1290">
        <v>2044</v>
      </c>
      <c r="BH46" s="1238" t="s">
        <v>1053</v>
      </c>
      <c r="BJ46" s="1387" t="s">
        <v>1034</v>
      </c>
      <c r="BL46" s="1387" t="s">
        <v>1034</v>
      </c>
      <c r="BN46" s="1238" t="s">
        <v>1655</v>
      </c>
    </row>
    <row r="47" ht="11.25" customHeight="1">
      <c r="A47" s="1244" t="s">
        <v>1656</v>
      </c>
      <c r="E47" s="577" t="s">
        <v>33</v>
      </c>
      <c r="F47" s="1285" t="s">
        <v>1657</v>
      </c>
      <c r="G47" s="1286" t="str">
        <f>_xlfn.IFERROR(IF(f_year="","01.01."&amp;CURRENT_YEAR,IF(LEN(f_quart)=0,"01.01."&amp;f_year,IF(f_quart="I квартал","01.01."&amp;f_year,IF(f_quart="II квартал","01.04."&amp;f_year,(IF(f_quart="III квартал","01.07."&amp;f_year,"01.10."&amp;f_year)))))),"01.01."&amp;CURRENT_YEAR)</f>
        <v>01.01.2024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1</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 xml:space="preserve">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16"/>
      <c r="AX47" s="1290" t="s">
        <v>1658</v>
      </c>
      <c r="AZ47" s="1290" t="s">
        <v>1359</v>
      </c>
      <c r="BE47" s="1290">
        <v>2045</v>
      </c>
      <c r="BH47" s="1238" t="s">
        <v>1631</v>
      </c>
      <c r="BJ47" s="1387" t="s">
        <v>1036</v>
      </c>
      <c r="BL47" s="1387" t="s">
        <v>1036</v>
      </c>
      <c r="BN47" s="1238" t="s">
        <v>1659</v>
      </c>
    </row>
    <row r="48" ht="11.25" customHeight="1">
      <c r="A48" s="1244" t="s">
        <v>1660</v>
      </c>
      <c r="E48" s="577" t="s">
        <v>1661</v>
      </c>
      <c r="F48" s="1285" t="s">
        <v>1662</v>
      </c>
      <c r="G48" s="1286" t="str">
        <f>_xlfn.IFERROR(IF(f_year="","01.01."&amp;CURRENT_YEAR,"01.01."&amp;f_year),"01.01."&amp;CURRENT_YEAR)</f>
        <v>01.01.2024</v>
      </c>
      <c r="H48" s="1286" t="str">
        <f>_xlfn.IFERROR(IF(f_year="","31.12."&amp;CURRENT_YEAR,"31.12."&amp;f_year),"31.12."&amp;CURRENT_YEAR)</f>
        <v>31.12.2024</v>
      </c>
      <c r="I48" s="1912">
        <f>IF(f_year="",TRUE,FALSE)</f>
        <v>1</v>
      </c>
      <c r="J48" s="1915" t="s">
        <v>1663</v>
      </c>
      <c r="K48" s="1916"/>
      <c r="AX48" s="1290" t="s">
        <v>1664</v>
      </c>
      <c r="AZ48" s="1290" t="s">
        <v>1376</v>
      </c>
      <c r="BE48" s="1290">
        <v>2046</v>
      </c>
      <c r="BH48" s="1238" t="s">
        <v>1635</v>
      </c>
      <c r="BJ48" s="1387" t="s">
        <v>1038</v>
      </c>
      <c r="BL48" s="1387" t="s">
        <v>1038</v>
      </c>
      <c r="BN48" s="1238" t="s">
        <v>1665</v>
      </c>
    </row>
    <row r="49" ht="11.25" customHeight="1">
      <c r="A49" s="1244" t="s">
        <v>1666</v>
      </c>
      <c r="E49" s="577" t="s">
        <v>1667</v>
      </c>
      <c r="F49" s="1285" t="s">
        <v>1668</v>
      </c>
      <c r="G49" s="1286" t="str">
        <f>_xlfn.IFERROR(IF(f_year="","01.01."&amp;CURRENT_YEAR,"01.01."&amp;f_year),"01.01."&amp;CURRENT_YEAR)</f>
        <v>01.01.2024</v>
      </c>
      <c r="H49" s="1286" t="str">
        <f>_xlfn.IFERROR(IF(f_year="","31.12."&amp;CURRENT_YEAR,"31.12."&amp;f_year),"31.12."&amp;CURRENT_YEAR)</f>
        <v>31.12.2024</v>
      </c>
      <c r="I49" s="1912">
        <f>IF(f_year="",TRUE,FALSE)</f>
        <v>1</v>
      </c>
      <c r="J49" s="1915" t="str">
        <f>"Информация об условиях, на которых осуществляется поставка товаров (оказание услуг) в сфере "&amp;TEMPLATE_SPHERE_RUS</f>
        <v xml:space="preserve">Информация об условиях, на которых осуществляется поставка товаров (оказание услуг) в сфере теплоснабжения</v>
      </c>
      <c r="K49" s="1916"/>
      <c r="AX49" s="1290" t="s">
        <v>1669</v>
      </c>
      <c r="AZ49" s="1290" t="s">
        <v>1392</v>
      </c>
      <c r="BE49" s="1290">
        <v>2047</v>
      </c>
      <c r="BH49" s="1238" t="s">
        <v>1054</v>
      </c>
      <c r="BJ49" s="1387" t="s">
        <v>1040</v>
      </c>
      <c r="BL49" s="1387" t="s">
        <v>1040</v>
      </c>
    </row>
    <row r="50" ht="11.25" customHeight="1">
      <c r="A50" s="1244" t="s">
        <v>1670</v>
      </c>
      <c r="E50" s="577" t="s">
        <v>1671</v>
      </c>
      <c r="F50" s="1285" t="s">
        <v>1024</v>
      </c>
      <c r="G50" s="1286" t="str">
        <f>_xlfn.IFERROR(IF(f_year="","01.01."&amp;CURRENT_YEAR,"01.01."&amp;f_year),"01.01."&amp;CURRENT_YEAR)</f>
        <v>01.01.2024</v>
      </c>
      <c r="H50" s="1286" t="str">
        <f>_xlfn.IFERROR(IF(f_year="","31.12."&amp;CURRENT_YEAR,"31.12."&amp;f_year),"31.12."&amp;CURRENT_YEAR)</f>
        <v>31.12.2024</v>
      </c>
      <c r="I50" s="1912">
        <f>IF(f_year="",TRUE,FALSE)</f>
        <v>1</v>
      </c>
      <c r="J50" s="1915" t="str">
        <f>"Информация об инвестиционных программах регулируемой организации в области "&amp;TEMPLATE_SPHERE_RUS</f>
        <v xml:space="preserve">Информация об инвестиционных программах регулируемой организации в области теплоснабжения</v>
      </c>
      <c r="K50" s="1916"/>
      <c r="AX50" s="1290" t="s">
        <v>1672</v>
      </c>
      <c r="AZ50" s="1290" t="s">
        <v>1408</v>
      </c>
      <c r="BE50" s="1290">
        <v>2048</v>
      </c>
      <c r="BH50" s="1238" t="s">
        <v>1642</v>
      </c>
      <c r="BJ50" s="1387" t="s">
        <v>1042</v>
      </c>
      <c r="BL50" s="1387" t="s">
        <v>1042</v>
      </c>
    </row>
    <row r="51" ht="11.25" customHeight="1">
      <c r="A51" s="1244" t="s">
        <v>1673</v>
      </c>
      <c r="E51" s="577" t="s">
        <v>1674</v>
      </c>
      <c r="F51" s="1285" t="s">
        <v>1645</v>
      </c>
      <c r="G51" s="1286" t="str">
        <f>_xlfn.IFERROR(IF(TITLE_PERIOD_START="","01.01."&amp;CURRENT_YEAR,"01.01."&amp;YEAR(TITLE_PERIOD_START)),"01.01."&amp;CURRENT_YEAR)</f>
        <v>01.01.2024</v>
      </c>
      <c r="H51" s="1286" t="str">
        <f>_xlfn.IFERROR(IF(TITLE_PERIOD_END="","31.12."&amp;CURRENT_YEAR,"31.12."&amp;YEAR(TITLE_PERIOD_END)),"31.12."&amp;CURRENT_YEAR)</f>
        <v>31.12.2028</v>
      </c>
      <c r="I51" s="1913">
        <f>IF(OR(TITLE_PERIOD_START="",TITLE_PERIOD_END=""),TRUE,FALSE)</f>
        <v>0</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 xml:space="preserve">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1675</v>
      </c>
      <c r="AZ51" s="1290" t="s">
        <v>1424</v>
      </c>
      <c r="BE51" s="1290">
        <v>2049</v>
      </c>
      <c r="BH51" s="1238" t="s">
        <v>1651</v>
      </c>
      <c r="BJ51" s="1387" t="s">
        <v>1676</v>
      </c>
      <c r="BL51" s="1387" t="s">
        <v>1676</v>
      </c>
    </row>
    <row r="52" ht="11.25" customHeight="1">
      <c r="A52" s="1244" t="s">
        <v>1677</v>
      </c>
      <c r="E52" s="577" t="s">
        <v>1678</v>
      </c>
      <c r="F52" s="1285" t="s">
        <v>1679</v>
      </c>
      <c r="G52" s="1286" t="str">
        <f>_xlfn.IFERROR(IF(TITLE_PERIOD_START="","01.01."&amp;CURRENT_YEAR,"01.01."&amp;YEAR(TITLE_PERIOD_START)),"01.01."&amp;CURRENT_YEAR)</f>
        <v>01.01.2024</v>
      </c>
      <c r="H52" s="1286" t="str">
        <f>_xlfn.IFERROR(IF(TITLE_PERIOD_END="","31.12."&amp;CURRENT_YEAR,"31.12."&amp;YEAR(TITLE_PERIOD_END)),"31.12."&amp;CURRENT_YEAR)</f>
        <v>31.12.2028</v>
      </c>
      <c r="I52" s="1913">
        <f>IF(OR(TITLE_PERIOD_START="",TITLE_PERIOD_END=""),TRUE,FALSE)</f>
        <v>0</v>
      </c>
      <c r="J52" s="1915" t="str">
        <f>"Показатели, подлежащие раскрытию в сфере "&amp;TEMPLATE_SPHERE_RUS&amp;" (цены и тарифы)"</f>
        <v xml:space="preserve">Показатели, подлежащие раскрытию в сфере теплоснабжения (цены и тарифы)</v>
      </c>
      <c r="K52" s="1916"/>
      <c r="AX52" s="1290" t="s">
        <v>1680</v>
      </c>
      <c r="AZ52" s="1290" t="s">
        <v>453</v>
      </c>
      <c r="BE52" s="1290">
        <v>2050</v>
      </c>
      <c r="BH52" s="1238" t="s">
        <v>1655</v>
      </c>
      <c r="BJ52" s="1387" t="s">
        <v>1053</v>
      </c>
      <c r="BL52" s="1387" t="s">
        <v>1053</v>
      </c>
    </row>
    <row r="53" ht="11.25" customHeight="1">
      <c r="A53" s="1244" t="s">
        <v>1681</v>
      </c>
      <c r="E53" s="577" t="s">
        <v>1682</v>
      </c>
      <c r="F53" s="1285" t="s">
        <v>1682</v>
      </c>
      <c r="G53" s="1286" t="str">
        <f>_xlfn.IFERROR(IF(f_year="","01.01."&amp;CURRENT_YEAR,"01.01."&amp;f_year),"01.01."&amp;CURRENT_YEAR)</f>
        <v>01.01.2024</v>
      </c>
      <c r="H53" s="1286" t="str">
        <f>_xlfn.IFERROR(IF(f_year="","31.12."&amp;CURRENT_YEAR,"31.12."&amp;f_year),"31.12."&amp;CURRENT_YEAR)</f>
        <v>31.12.2024</v>
      </c>
      <c r="I53" s="1912">
        <f>IF(AND(f_year="",TITLE_DATE_FIL=""),TRUE,FALSE)</f>
        <v>1</v>
      </c>
      <c r="J53" s="1915" t="s">
        <v>1683</v>
      </c>
      <c r="K53" s="1916"/>
      <c r="AX53" s="1290" t="s">
        <v>1684</v>
      </c>
      <c r="BE53" s="1290">
        <v>2051</v>
      </c>
      <c r="BH53" s="1238" t="s">
        <v>1659</v>
      </c>
      <c r="BJ53" s="1387" t="s">
        <v>1631</v>
      </c>
      <c r="BL53" s="1387" t="s">
        <v>1631</v>
      </c>
    </row>
    <row r="54" ht="11.25" customHeight="1">
      <c r="A54" s="1244" t="s">
        <v>1685</v>
      </c>
      <c r="AX54" s="1290" t="s">
        <v>1686</v>
      </c>
      <c r="AZ54" s="1237" t="s">
        <v>1687</v>
      </c>
      <c r="BE54" s="1290">
        <v>2052</v>
      </c>
      <c r="BH54" s="1238" t="s">
        <v>1665</v>
      </c>
      <c r="BJ54" s="1387" t="s">
        <v>1635</v>
      </c>
      <c r="BL54" s="1387" t="s">
        <v>1635</v>
      </c>
    </row>
    <row r="55" ht="11.25" customHeight="1">
      <c r="A55" s="1244" t="s">
        <v>1688</v>
      </c>
      <c r="AX55" s="1290" t="s">
        <v>1689</v>
      </c>
      <c r="AZ55" s="1290" t="s">
        <v>1225</v>
      </c>
      <c r="BE55" s="1290">
        <v>2053</v>
      </c>
      <c r="BH55" s="1240" t="s">
        <v>28</v>
      </c>
      <c r="BJ55" s="1387" t="s">
        <v>1054</v>
      </c>
      <c r="BL55" s="1387" t="s">
        <v>1054</v>
      </c>
    </row>
    <row r="56" ht="11.25" customHeight="1">
      <c r="A56" s="1244" t="s">
        <v>1690</v>
      </c>
      <c r="D56" s="1288" t="s">
        <v>1691</v>
      </c>
      <c r="E56" s="1265" t="s">
        <v>112</v>
      </c>
      <c r="F56" s="1244" t="s">
        <v>1692</v>
      </c>
      <c r="AX56" s="1290" t="s">
        <v>1693</v>
      </c>
      <c r="AZ56" s="1290" t="s">
        <v>1250</v>
      </c>
      <c r="BE56" s="1290">
        <v>2054</v>
      </c>
      <c r="BH56" s="1240" t="s">
        <v>28</v>
      </c>
      <c r="BJ56" s="1387" t="s">
        <v>1642</v>
      </c>
      <c r="BL56" s="1387" t="s">
        <v>1642</v>
      </c>
    </row>
    <row r="57" ht="11.25" customHeight="1">
      <c r="A57" s="1244" t="s">
        <v>1694</v>
      </c>
      <c r="D57" s="1288" t="s">
        <v>1695</v>
      </c>
      <c r="E57" s="1265" t="s">
        <v>112</v>
      </c>
      <c r="F57" s="1244" t="s">
        <v>1692</v>
      </c>
      <c r="AX57" s="1290" t="s">
        <v>1696</v>
      </c>
      <c r="AZ57" s="1290" t="s">
        <v>1285</v>
      </c>
      <c r="BE57" s="1290">
        <v>2055</v>
      </c>
      <c r="BJ57" s="1387" t="s">
        <v>1651</v>
      </c>
      <c r="BL57" s="1387" t="s">
        <v>1651</v>
      </c>
    </row>
    <row r="58" ht="11.25" customHeight="1">
      <c r="A58" s="1244" t="s">
        <v>1697</v>
      </c>
      <c r="D58" s="1288" t="s">
        <v>1698</v>
      </c>
      <c r="E58" s="1265" t="s">
        <v>112</v>
      </c>
      <c r="F58" s="1244" t="s">
        <v>1692</v>
      </c>
      <c r="AX58" s="1290" t="s">
        <v>1699</v>
      </c>
      <c r="BE58" s="1290">
        <v>2056</v>
      </c>
      <c r="BJ58" s="1387" t="s">
        <v>1655</v>
      </c>
      <c r="BL58" s="1387" t="s">
        <v>1655</v>
      </c>
    </row>
    <row r="59" ht="11.25" customHeight="1">
      <c r="A59" s="1244" t="s">
        <v>1700</v>
      </c>
      <c r="D59" s="1288" t="s">
        <v>131</v>
      </c>
      <c r="E59" s="1265" t="s">
        <v>1587</v>
      </c>
      <c r="F59" s="1244" t="s">
        <v>1701</v>
      </c>
      <c r="AX59" s="1290" t="s">
        <v>1702</v>
      </c>
      <c r="AZ59" s="1237" t="s">
        <v>1703</v>
      </c>
      <c r="BE59" s="1290">
        <v>2057</v>
      </c>
      <c r="BJ59" s="1387" t="s">
        <v>1659</v>
      </c>
      <c r="BL59" s="1387" t="s">
        <v>1659</v>
      </c>
    </row>
    <row r="60" ht="11.25" customHeight="1">
      <c r="A60" s="1244" t="s">
        <v>1704</v>
      </c>
      <c r="D60" s="1288" t="s">
        <v>1705</v>
      </c>
      <c r="E60" s="1265" t="s">
        <v>1587</v>
      </c>
      <c r="F60" s="1244" t="s">
        <v>1701</v>
      </c>
      <c r="AX60" s="1290" t="s">
        <v>1706</v>
      </c>
      <c r="AZ60" s="1290" t="s">
        <v>1226</v>
      </c>
      <c r="BE60" s="1290">
        <v>2058</v>
      </c>
      <c r="BJ60" s="1387" t="s">
        <v>1665</v>
      </c>
      <c r="BL60" s="1387" t="s">
        <v>1665</v>
      </c>
    </row>
    <row r="61" ht="11.25" customHeight="1">
      <c r="A61" s="1244" t="s">
        <v>1707</v>
      </c>
      <c r="D61" s="1288" t="s">
        <v>1708</v>
      </c>
      <c r="E61" s="1265" t="s">
        <v>1587</v>
      </c>
      <c r="F61" s="1244" t="s">
        <v>1701</v>
      </c>
      <c r="AX61" s="1290" t="s">
        <v>1709</v>
      </c>
      <c r="AZ61" s="1290" t="s">
        <v>1251</v>
      </c>
      <c r="BE61" s="1290">
        <v>2059</v>
      </c>
      <c r="BL61" s="1387" t="s">
        <v>1046</v>
      </c>
    </row>
    <row r="62" ht="11.25" customHeight="1">
      <c r="A62" s="1244" t="s">
        <v>1710</v>
      </c>
      <c r="D62" s="1288" t="s">
        <v>130</v>
      </c>
      <c r="E62" s="1265">
        <v>30</v>
      </c>
      <c r="F62" s="1244" t="s">
        <v>1701</v>
      </c>
      <c r="AZ62" s="1290" t="s">
        <v>1286</v>
      </c>
      <c r="BE62" s="1290">
        <v>2060</v>
      </c>
      <c r="BL62" s="1387" t="s">
        <v>1048</v>
      </c>
    </row>
    <row r="63" ht="11.25" customHeight="1">
      <c r="A63" s="1244" t="s">
        <v>1711</v>
      </c>
      <c r="D63" s="1288" t="s">
        <v>1712</v>
      </c>
      <c r="E63" s="1265">
        <v>30</v>
      </c>
      <c r="F63" s="1244" t="s">
        <v>1701</v>
      </c>
      <c r="AZ63" s="1290" t="s">
        <v>1318</v>
      </c>
      <c r="BE63" s="1290">
        <v>2061</v>
      </c>
    </row>
    <row r="64" ht="11.25" customHeight="1">
      <c r="A64" s="1244" t="s">
        <v>1713</v>
      </c>
      <c r="D64" s="1288" t="s">
        <v>1714</v>
      </c>
      <c r="E64" s="1265">
        <v>30</v>
      </c>
      <c r="F64" s="1244" t="s">
        <v>1701</v>
      </c>
      <c r="AZ64" s="1290" t="s">
        <v>1341</v>
      </c>
      <c r="BE64" s="1290">
        <v>2062</v>
      </c>
    </row>
    <row r="65" ht="11.25" customHeight="1">
      <c r="A65" s="1244" t="s">
        <v>1715</v>
      </c>
      <c r="D65" s="1244"/>
      <c r="BE65" s="1290">
        <v>2063</v>
      </c>
    </row>
    <row r="66" ht="11.25" customHeight="1">
      <c r="A66" s="1244" t="s">
        <v>1716</v>
      </c>
      <c r="AZ66" s="1237" t="s">
        <v>1717</v>
      </c>
      <c r="BE66" s="1290">
        <v>2064</v>
      </c>
    </row>
    <row r="67" ht="11.25" customHeight="1">
      <c r="A67" s="1244" t="s">
        <v>1718</v>
      </c>
      <c r="AZ67" s="1290" t="s">
        <v>1227</v>
      </c>
      <c r="BE67" s="1290">
        <v>2065</v>
      </c>
    </row>
    <row r="68" ht="11.25" customHeight="1">
      <c r="A68" s="1244" t="s">
        <v>1719</v>
      </c>
      <c r="AZ68" s="1290" t="s">
        <v>1252</v>
      </c>
      <c r="BE68" s="1290">
        <v>2066</v>
      </c>
      <c r="BH68" s="1237" t="s">
        <v>1720</v>
      </c>
      <c r="BJ68" s="1237" t="s">
        <v>1721</v>
      </c>
      <c r="BL68" s="1237" t="s">
        <v>1722</v>
      </c>
      <c r="BN68" s="1237" t="s">
        <v>1723</v>
      </c>
    </row>
    <row r="69" ht="11.25" customHeight="1">
      <c r="A69" s="1244" t="s">
        <v>1724</v>
      </c>
      <c r="AZ69" s="1290" t="s">
        <v>1287</v>
      </c>
      <c r="BE69" s="1290">
        <v>2067</v>
      </c>
      <c r="BH69" s="1238" t="s">
        <v>1725</v>
      </c>
      <c r="BI69" s="1287" t="s">
        <v>110</v>
      </c>
      <c r="BJ69" s="1238" t="s">
        <v>1726</v>
      </c>
      <c r="BK69" s="1287" t="s">
        <v>110</v>
      </c>
      <c r="BL69" s="1238" t="s">
        <v>1727</v>
      </c>
      <c r="BM69" s="1240" t="s">
        <v>110</v>
      </c>
      <c r="BN69" s="1238" t="s">
        <v>1728</v>
      </c>
    </row>
    <row r="70" ht="11.25" customHeight="1">
      <c r="A70" s="1244" t="s">
        <v>1729</v>
      </c>
      <c r="AZ70" s="1290" t="s">
        <v>1319</v>
      </c>
      <c r="BE70" s="1290">
        <v>2068</v>
      </c>
      <c r="BH70" s="1238" t="s">
        <v>1730</v>
      </c>
      <c r="BJ70" s="1238" t="s">
        <v>1731</v>
      </c>
      <c r="BL70" s="1238" t="s">
        <v>1732</v>
      </c>
      <c r="BN70" s="1238" t="s">
        <v>1733</v>
      </c>
    </row>
    <row r="71" ht="11.25" customHeight="1">
      <c r="A71" s="1244" t="s">
        <v>1734</v>
      </c>
      <c r="AZ71" s="1290" t="s">
        <v>1321</v>
      </c>
      <c r="BE71" s="1290">
        <v>2069</v>
      </c>
      <c r="BH71" s="1238" t="s">
        <v>1735</v>
      </c>
      <c r="BI71" s="1287" t="s">
        <v>91</v>
      </c>
      <c r="BJ71" s="1238" t="s">
        <v>1736</v>
      </c>
      <c r="BK71" s="1287" t="s">
        <v>91</v>
      </c>
      <c r="BL71" s="1238" t="s">
        <v>1737</v>
      </c>
      <c r="BM71" s="1240" t="s">
        <v>91</v>
      </c>
      <c r="BN71" s="1238" t="s">
        <v>1738</v>
      </c>
    </row>
    <row r="72" ht="11.25" customHeight="1">
      <c r="A72" s="1244" t="s">
        <v>1739</v>
      </c>
      <c r="AZ72" s="1290" t="s">
        <v>19</v>
      </c>
      <c r="BE72" s="1290">
        <v>2070</v>
      </c>
      <c r="BH72" s="1238" t="s">
        <v>1740</v>
      </c>
      <c r="BJ72" s="1238" t="s">
        <v>1740</v>
      </c>
      <c r="BL72" s="1238" t="s">
        <v>1740</v>
      </c>
      <c r="BN72" s="1238" t="s">
        <v>1741</v>
      </c>
    </row>
    <row r="73" ht="11.25" customHeight="1">
      <c r="A73" s="1244" t="s">
        <v>1742</v>
      </c>
      <c r="BH73" s="1238" t="s">
        <v>1743</v>
      </c>
      <c r="BI73" s="1287" t="s">
        <v>112</v>
      </c>
      <c r="BJ73" s="1238" t="s">
        <v>1744</v>
      </c>
      <c r="BK73" s="1287" t="s">
        <v>112</v>
      </c>
      <c r="BL73" s="1238" t="s">
        <v>1745</v>
      </c>
      <c r="BM73" s="1240" t="s">
        <v>112</v>
      </c>
      <c r="BN73" s="1238" t="s">
        <v>1746</v>
      </c>
    </row>
    <row r="74" ht="11.25" customHeight="1">
      <c r="A74" s="1244" t="s">
        <v>1747</v>
      </c>
      <c r="BH74" s="1238" t="s">
        <v>1748</v>
      </c>
      <c r="BJ74" s="1238" t="s">
        <v>1749</v>
      </c>
      <c r="BL74" s="1238" t="s">
        <v>1750</v>
      </c>
      <c r="BN74" s="1238" t="s">
        <v>1751</v>
      </c>
    </row>
    <row r="75" ht="11.25" customHeight="1">
      <c r="A75" s="1244" t="s">
        <v>1752</v>
      </c>
      <c r="AZ75" s="1237" t="s">
        <v>1753</v>
      </c>
      <c r="BH75" s="1238" t="s">
        <v>1754</v>
      </c>
      <c r="BJ75" s="1238" t="s">
        <v>1754</v>
      </c>
      <c r="BL75" s="1238" t="s">
        <v>1754</v>
      </c>
    </row>
    <row r="76" ht="11.25" customHeight="1">
      <c r="A76" s="1244" t="s">
        <v>1755</v>
      </c>
      <c r="AZ76" s="1290" t="s">
        <v>1236</v>
      </c>
      <c r="BH76" s="1238" t="s">
        <v>1756</v>
      </c>
      <c r="BJ76" s="1238" t="s">
        <v>1757</v>
      </c>
      <c r="BL76" s="1238" t="s">
        <v>1758</v>
      </c>
    </row>
    <row r="77" ht="11.25" customHeight="1">
      <c r="A77" s="1244" t="s">
        <v>1759</v>
      </c>
      <c r="AZ77" s="1290" t="s">
        <v>1262</v>
      </c>
    </row>
    <row r="78" ht="11.25" customHeight="1">
      <c r="A78" s="1244" t="s">
        <v>1760</v>
      </c>
      <c r="AZ78" s="1290" t="s">
        <v>1294</v>
      </c>
    </row>
    <row r="79" ht="11.25" customHeight="1">
      <c r="A79" s="1244" t="s">
        <v>1761</v>
      </c>
      <c r="AZ79" s="1290" t="s">
        <v>1325</v>
      </c>
      <c r="BH79" s="1237" t="s">
        <v>1762</v>
      </c>
      <c r="BJ79" s="1237" t="s">
        <v>1763</v>
      </c>
      <c r="BL79" s="1237" t="s">
        <v>1764</v>
      </c>
    </row>
    <row r="80" ht="11.25" customHeight="1">
      <c r="A80" s="1244" t="s">
        <v>1765</v>
      </c>
      <c r="AZ80" s="1290" t="s">
        <v>1346</v>
      </c>
      <c r="BH80" s="1238" t="s">
        <v>1766</v>
      </c>
      <c r="BJ80" s="1238" t="s">
        <v>1767</v>
      </c>
      <c r="BL80" s="1238" t="s">
        <v>1768</v>
      </c>
    </row>
    <row r="81" ht="11.25" customHeight="1">
      <c r="A81" s="1244" t="s">
        <v>1769</v>
      </c>
      <c r="AZ81" s="1290" t="s">
        <v>1363</v>
      </c>
      <c r="BH81" s="1238" t="s">
        <v>1770</v>
      </c>
      <c r="BJ81" s="1238" t="s">
        <v>1771</v>
      </c>
      <c r="BL81" s="1238" t="s">
        <v>1772</v>
      </c>
    </row>
    <row r="82" ht="11.25" customHeight="1">
      <c r="A82" s="1244" t="s">
        <v>1773</v>
      </c>
      <c r="AZ82" s="1290" t="s">
        <v>1378</v>
      </c>
      <c r="BH82" s="1238" t="s">
        <v>1774</v>
      </c>
      <c r="BJ82" s="1238" t="s">
        <v>1775</v>
      </c>
      <c r="BL82" s="1238" t="s">
        <v>1776</v>
      </c>
    </row>
    <row r="83" ht="11.25" customHeight="1">
      <c r="A83" s="1244" t="s">
        <v>1777</v>
      </c>
      <c r="BH83" s="1238" t="s">
        <v>1778</v>
      </c>
      <c r="BJ83" s="1238" t="s">
        <v>1779</v>
      </c>
      <c r="BL83" s="1238" t="s">
        <v>1780</v>
      </c>
    </row>
    <row r="84" ht="11.25" customHeight="1">
      <c r="A84" s="1244" t="s">
        <v>1781</v>
      </c>
      <c r="AZ84" s="1237" t="s">
        <v>1782</v>
      </c>
    </row>
    <row r="85" ht="11.25" customHeight="1">
      <c r="A85" s="2040" t="s">
        <v>1783</v>
      </c>
      <c r="AZ85" s="1290" t="s">
        <v>1784</v>
      </c>
    </row>
    <row r="86" ht="11.25" customHeight="1">
      <c r="A86" s="1244" t="s">
        <v>1785</v>
      </c>
      <c r="AZ86" s="1290" t="s">
        <v>1786</v>
      </c>
      <c r="BH86" s="1237" t="s">
        <v>1787</v>
      </c>
      <c r="BJ86" s="1237" t="s">
        <v>1788</v>
      </c>
      <c r="BL86" s="1237" t="s">
        <v>1789</v>
      </c>
    </row>
    <row r="87" ht="11.25" customHeight="1">
      <c r="A87" s="1244" t="s">
        <v>1790</v>
      </c>
      <c r="AZ87" s="1290" t="s">
        <v>1791</v>
      </c>
      <c r="BH87" s="1238" t="s">
        <v>1792</v>
      </c>
      <c r="BJ87" s="1238" t="s">
        <v>1793</v>
      </c>
      <c r="BL87" s="1238" t="s">
        <v>1794</v>
      </c>
    </row>
    <row r="88" ht="11.25" customHeight="1">
      <c r="A88" s="1244" t="s">
        <v>1795</v>
      </c>
      <c r="AZ88" s="1776"/>
      <c r="BH88" s="1238" t="s">
        <v>1796</v>
      </c>
      <c r="BJ88" s="1238" t="s">
        <v>1797</v>
      </c>
      <c r="BL88" s="1238" t="s">
        <v>1798</v>
      </c>
    </row>
    <row r="89" ht="11.25" customHeight="1">
      <c r="A89" s="1244" t="s">
        <v>1799</v>
      </c>
      <c r="AZ89" s="1237" t="s">
        <v>1800</v>
      </c>
    </row>
    <row r="90" ht="11.25" customHeight="1">
      <c r="A90" s="1244" t="s">
        <v>1801</v>
      </c>
      <c r="AZ90" s="1290" t="s">
        <v>1024</v>
      </c>
    </row>
    <row r="91" ht="11.25" customHeight="1">
      <c r="A91" s="1244" t="s">
        <v>1802</v>
      </c>
      <c r="AZ91" s="1290" t="s">
        <v>1060</v>
      </c>
      <c r="BH91" s="1237" t="s">
        <v>1803</v>
      </c>
      <c r="BJ91" s="1237" t="s">
        <v>1804</v>
      </c>
      <c r="BL91" s="1237" t="s">
        <v>1805</v>
      </c>
    </row>
    <row r="92" ht="11.25" customHeight="1">
      <c r="AZ92" s="1290" t="s">
        <v>1806</v>
      </c>
      <c r="BH92" s="1238" t="s">
        <v>1807</v>
      </c>
      <c r="BJ92" s="1238" t="s">
        <v>1808</v>
      </c>
      <c r="BL92" s="1238" t="s">
        <v>1809</v>
      </c>
    </row>
    <row r="93" ht="11.25" customHeight="1">
      <c r="AZ93" s="1290" t="s">
        <v>1810</v>
      </c>
      <c r="BH93" s="1238" t="s">
        <v>1811</v>
      </c>
      <c r="BJ93" s="1238" t="s">
        <v>1812</v>
      </c>
      <c r="BL93" s="1238" t="s">
        <v>1813</v>
      </c>
    </row>
    <row r="94" ht="11.25" customHeight="1">
      <c r="AZ94" s="1290" t="s">
        <v>1814</v>
      </c>
    </row>
    <row r="96" ht="11.25" customHeight="1">
      <c r="AZ96" s="1237" t="s">
        <v>1815</v>
      </c>
      <c r="BH96" s="1237" t="s">
        <v>1816</v>
      </c>
      <c r="BJ96" s="1237" t="s">
        <v>1817</v>
      </c>
      <c r="BL96" s="1237" t="s">
        <v>1818</v>
      </c>
      <c r="BN96" s="1237" t="s">
        <v>1819</v>
      </c>
    </row>
    <row r="97" ht="11.25" customHeight="1">
      <c r="AZ97" s="2071" t="s">
        <v>1820</v>
      </c>
      <c r="BA97" s="2072" t="s">
        <v>1821</v>
      </c>
      <c r="BH97" s="1238" t="s">
        <v>1822</v>
      </c>
      <c r="BJ97" s="1238" t="s">
        <v>1823</v>
      </c>
      <c r="BL97" s="1238" t="s">
        <v>1824</v>
      </c>
      <c r="BN97" s="1238" t="s">
        <v>1825</v>
      </c>
    </row>
    <row r="98" ht="11.25" customHeight="1">
      <c r="AZ98" s="2071" t="s">
        <v>1826</v>
      </c>
      <c r="BA98" s="2072" t="s">
        <v>1827</v>
      </c>
      <c r="BH98" s="1238" t="s">
        <v>1828</v>
      </c>
      <c r="BJ98" s="1238" t="s">
        <v>1829</v>
      </c>
      <c r="BL98" s="1238" t="s">
        <v>1830</v>
      </c>
      <c r="BN98" s="1238" t="s">
        <v>1831</v>
      </c>
    </row>
    <row r="99" ht="22.5" customHeight="1">
      <c r="AZ99" s="2071" t="s">
        <v>1832</v>
      </c>
      <c r="BA99" s="2072"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c r="BH99" s="1238" t="s">
        <v>1833</v>
      </c>
      <c r="BJ99" s="1238" t="s">
        <v>1834</v>
      </c>
      <c r="BL99" s="1238" t="s">
        <v>1835</v>
      </c>
      <c r="BN99" s="1238" t="s">
        <v>1836</v>
      </c>
    </row>
    <row r="100" ht="22.5" customHeight="1">
      <c r="AZ100" s="2071" t="s">
        <v>1837</v>
      </c>
      <c r="BA100"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J100" s="1238" t="s">
        <v>1424</v>
      </c>
      <c r="BL100" s="1238" t="s">
        <v>1424</v>
      </c>
      <c r="BN100" s="1238" t="s">
        <v>1838</v>
      </c>
    </row>
    <row r="101" ht="22.5" customHeight="1">
      <c r="AZ101" s="2071" t="s">
        <v>1839</v>
      </c>
      <c r="BA101" s="2072" t="s">
        <v>1840</v>
      </c>
      <c r="BN101" s="1238" t="s">
        <v>1841</v>
      </c>
    </row>
    <row r="102" ht="22.5" customHeight="1">
      <c r="AZ102" s="2071" t="s">
        <v>1842</v>
      </c>
      <c r="BA102"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N102" s="1238" t="s">
        <v>1843</v>
      </c>
    </row>
    <row r="103" ht="11.25" customHeight="1">
      <c r="AZ103" s="2071" t="s">
        <v>1844</v>
      </c>
      <c r="BA103" s="2072" t="s">
        <v>1845</v>
      </c>
      <c r="BN103" s="1238" t="s">
        <v>1846</v>
      </c>
    </row>
    <row r="104" ht="11.25" customHeight="1">
      <c r="BN104" s="1238" t="s">
        <v>1847</v>
      </c>
    </row>
    <row r="105" ht="11.25" customHeight="1">
      <c r="AZ105" s="1862" t="s">
        <v>1848</v>
      </c>
    </row>
    <row r="106" ht="11.25" customHeight="1">
      <c r="AZ106" s="1290" t="s">
        <v>1849</v>
      </c>
    </row>
    <row r="107" ht="11.25" customHeight="1">
      <c r="AZ107" s="1290" t="s">
        <v>1850</v>
      </c>
      <c r="BH107" s="1237" t="s">
        <v>1851</v>
      </c>
      <c r="BJ107" s="1237" t="s">
        <v>1852</v>
      </c>
      <c r="BL107" s="1237" t="s">
        <v>1853</v>
      </c>
      <c r="BN107" s="1237" t="s">
        <v>1854</v>
      </c>
    </row>
    <row r="108" ht="11.25" customHeight="1">
      <c r="AZ108" s="1290" t="s">
        <v>577</v>
      </c>
      <c r="BH108" s="1238" t="s">
        <v>1855</v>
      </c>
      <c r="BJ108" s="1238" t="s">
        <v>1856</v>
      </c>
      <c r="BL108" s="1238" t="s">
        <v>1509</v>
      </c>
      <c r="BN108" s="1238" t="s">
        <v>1857</v>
      </c>
    </row>
    <row r="109" ht="11.25" customHeight="1">
      <c r="BH109" s="1238" t="s">
        <v>1858</v>
      </c>
    </row>
    <row r="110" ht="11.25" customHeight="1">
      <c r="AZ110" s="1862" t="s">
        <v>1859</v>
      </c>
      <c r="BH110" s="1238" t="s">
        <v>1858</v>
      </c>
    </row>
    <row r="111" ht="11.25" customHeight="1">
      <c r="AZ111" s="2071" t="s">
        <v>1820</v>
      </c>
      <c r="BA111" s="2072" t="s">
        <v>1821</v>
      </c>
    </row>
    <row r="112" ht="11.25" customHeight="1">
      <c r="AZ112" s="2071" t="s">
        <v>1826</v>
      </c>
      <c r="BA112" s="2072" t="s">
        <v>1827</v>
      </c>
    </row>
    <row r="113" ht="22.5" customHeight="1">
      <c r="AZ113" s="2071" t="s">
        <v>1832</v>
      </c>
      <c r="BA113" s="2072" t="str">
        <f>"не позднее чем за "&amp;IF(TEMPLATE_SPHERE="TKO","3","10")&amp;" дней до дня проведения заседания правления"</f>
        <v xml:space="preserve">не позднее чем за 10 дней до дня проведения заседания правления</v>
      </c>
    </row>
    <row r="114" ht="22.5" customHeight="1">
      <c r="AZ114" s="2071" t="s">
        <v>1837</v>
      </c>
      <c r="BA114"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4" s="1237" t="s">
        <v>1860</v>
      </c>
    </row>
    <row r="115" ht="22.5" customHeight="1">
      <c r="AZ115" s="2071" t="s">
        <v>1842</v>
      </c>
      <c r="BA115" s="2072" t="str">
        <f>"в течение "&amp;IF(TEMPLATE_SPHERE="HEAT","5","7")&amp;" рабочих дней со дня принятия соответствующего решения"</f>
        <v xml:space="preserve">в течение 5 рабочих дней со дня принятия соответствующего решения</v>
      </c>
      <c r="BH115" s="1238" t="s">
        <v>453</v>
      </c>
    </row>
    <row r="116" ht="11.25" customHeight="1">
      <c r="AZ116" s="2071" t="s">
        <v>1844</v>
      </c>
      <c r="BA116" s="2072" t="s">
        <v>1845</v>
      </c>
      <c r="BH116" s="1238" t="s">
        <v>1248</v>
      </c>
    </row>
    <row r="117" ht="11.25" customHeight="1">
      <c r="BH117" s="1238" t="s">
        <v>1283</v>
      </c>
    </row>
    <row r="118" ht="11.25" customHeight="1">
      <c r="BH118" s="1238" t="s">
        <v>1316</v>
      </c>
    </row>
  </sheetData>
  <sheetProtection autoFilter="0" deleteColumns="1" deleteRows="1" formatColumns="0" formatRows="0"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defaultRowHeight="11.25" customHeight="1"/>
  <cols>
    <col customWidth="1" hidden="1" min="1" max="2" style="9742" width="15.00390625"/>
    <col customWidth="1" min="3" max="3" style="9786" width="3.00390625"/>
    <col customWidth="1" min="4" max="4" style="9787" width="6.00390625"/>
    <col customWidth="1" min="5" max="5" style="9786" width="52.00390625"/>
    <col customWidth="1" min="6" max="6" style="9786" width="48.00390625"/>
    <col customWidth="1" min="7" max="7" style="9786" width="93.00390625"/>
    <col customWidth="1" min="8" max="8" style="9786" width="8.00390625"/>
    <col customWidth="1" min="9" max="9" style="9786" width="64.00390625"/>
    <col hidden="1" min="10" max="10" style="9786" width="9.140625"/>
  </cols>
  <sheetData>
    <row r="1" ht="11.25" hidden="1" customHeight="1">
      <c r="A1" s="671" t="s">
        <v>306</v>
      </c>
      <c r="J1" s="625" t="s">
        <v>14</v>
      </c>
    </row>
    <row r="2" ht="22.5" hidden="1" customHeight="1">
      <c r="A2" s="672"/>
      <c r="B2" s="672"/>
      <c r="C2" s="1900" t="s">
        <v>432</v>
      </c>
      <c r="D2" s="1690"/>
      <c r="E2" s="1696"/>
      <c r="F2" s="1719"/>
      <c r="H2" s="645"/>
      <c r="J2" s="625">
        <v>0</v>
      </c>
    </row>
    <row r="3" ht="11.25" hidden="1" customHeight="1">
      <c r="J3" s="625">
        <v>0</v>
      </c>
    </row>
    <row r="4" ht="11.5" customHeight="1">
      <c r="A4" s="1720"/>
      <c r="B4" s="1720"/>
      <c r="J4" s="625">
        <v>11</v>
      </c>
    </row>
    <row r="5" ht="27.300000000000001" customHeight="1">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 xml:space="preserve">Форма 2. Информация об органе регулирования тарифов в сфере теплоснабжения (далее – орган регулирования тарифов)</v>
      </c>
      <c r="E5" s="2409"/>
      <c r="F5" s="2410"/>
      <c r="I5" s="885"/>
      <c r="J5" s="625">
        <v>26</v>
      </c>
    </row>
    <row r="6" ht="18" customHeight="1">
      <c r="D6" s="2346" t="str">
        <f>IF(region_name=0,"Не определено",region_name)</f>
        <v xml:space="preserve">Еврейская автономная область</v>
      </c>
      <c r="E6" s="2346"/>
      <c r="F6" s="2346"/>
      <c r="I6" s="885"/>
      <c r="J6" s="625">
        <v>17</v>
      </c>
    </row>
    <row r="7" s="9700" customFormat="1" ht="11.5" customHeight="1">
      <c r="A7" s="671"/>
      <c r="B7" s="671"/>
      <c r="D7" s="884"/>
      <c r="E7" s="884"/>
      <c r="F7" s="922"/>
      <c r="G7" s="884"/>
      <c r="J7" s="647">
        <v>11</v>
      </c>
    </row>
    <row r="8" ht="11.25" hidden="1" customHeight="1">
      <c r="A8" s="672"/>
      <c r="B8" s="672"/>
      <c r="C8" s="627"/>
      <c r="D8" s="633"/>
      <c r="E8" s="2377"/>
      <c r="F8" s="2377"/>
      <c r="J8" s="625">
        <v>0</v>
      </c>
    </row>
    <row r="9" ht="11.5" customHeight="1">
      <c r="A9" s="672"/>
      <c r="B9" s="672"/>
      <c r="C9" s="627"/>
      <c r="D9" s="2374" t="s">
        <v>307</v>
      </c>
      <c r="E9" s="2375"/>
      <c r="F9" s="2375"/>
      <c r="G9" s="2378" t="s">
        <v>308</v>
      </c>
      <c r="J9" s="625">
        <v>11</v>
      </c>
    </row>
    <row r="10" ht="11.5" customHeight="1">
      <c r="A10" s="672"/>
      <c r="B10" s="672"/>
      <c r="C10" s="627"/>
      <c r="D10" s="1644" t="s">
        <v>89</v>
      </c>
      <c r="E10" s="1646" t="s">
        <v>309</v>
      </c>
      <c r="F10" s="1646" t="s">
        <v>310</v>
      </c>
      <c r="G10" s="2379"/>
      <c r="J10" s="625">
        <v>11</v>
      </c>
    </row>
    <row r="11" ht="1.05" customHeight="1">
      <c r="A11" s="672"/>
      <c r="B11" s="672"/>
      <c r="C11" s="627"/>
      <c r="D11" s="634"/>
      <c r="E11" s="634"/>
      <c r="F11" s="634"/>
      <c r="G11" s="634"/>
      <c r="J11" s="625">
        <v>1</v>
      </c>
    </row>
    <row r="12" ht="24" customHeight="1">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v>
      </c>
      <c r="F12" s="2078" t="str">
        <f>IF(org="","",org)</f>
        <v xml:space="preserve">АО "ДГК" СП "Биробиджанская ТЭЦ"</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 xml:space="preserve">Указывается в соответствии с нормативным правовым актом, на основании которого орган тарифного  регулирования  образован.</v>
      </c>
      <c r="H12" s="1703"/>
      <c r="J12" s="625">
        <v>23</v>
      </c>
    </row>
    <row r="13" ht="19.949999999999999" customHeight="1">
      <c r="A13" s="672"/>
      <c r="B13" s="672"/>
      <c r="C13" s="627"/>
      <c r="D13" s="1690">
        <v>2</v>
      </c>
      <c r="E13" s="1697" t="s">
        <v>1861</v>
      </c>
      <c r="F13" s="1691" t="s">
        <v>313</v>
      </c>
      <c r="G13" s="644"/>
      <c r="H13" s="1703"/>
      <c r="J13" s="625">
        <v>19</v>
      </c>
    </row>
    <row r="14" ht="19.949999999999999" customHeight="1">
      <c r="A14" s="672"/>
      <c r="B14" s="672"/>
      <c r="C14" s="627"/>
      <c r="D14" s="1693" t="s">
        <v>714</v>
      </c>
      <c r="E14" s="1694" t="s">
        <v>1862</v>
      </c>
      <c r="F14" s="1696"/>
      <c r="G14" s="1695" t="s">
        <v>1863</v>
      </c>
      <c r="H14" s="1703"/>
      <c r="J14" s="625">
        <v>19</v>
      </c>
    </row>
    <row r="15" ht="19.949999999999999" customHeight="1">
      <c r="A15" s="672"/>
      <c r="B15" s="672"/>
      <c r="C15" s="627"/>
      <c r="D15" s="1693" t="s">
        <v>314</v>
      </c>
      <c r="E15" s="1694" t="s">
        <v>1864</v>
      </c>
      <c r="F15" s="1696"/>
      <c r="G15" s="1695" t="s">
        <v>1865</v>
      </c>
      <c r="H15" s="1703"/>
      <c r="J15" s="625">
        <v>19</v>
      </c>
    </row>
    <row r="16" ht="24" customHeight="1">
      <c r="A16" s="672"/>
      <c r="B16" s="672"/>
      <c r="C16" s="627"/>
      <c r="D16" s="1693" t="s">
        <v>317</v>
      </c>
      <c r="E16" s="1692" t="s">
        <v>1866</v>
      </c>
      <c r="F16" s="1701"/>
      <c r="G16" s="644" t="s">
        <v>1867</v>
      </c>
      <c r="H16" s="1703"/>
      <c r="J16" s="625">
        <v>23</v>
      </c>
    </row>
    <row r="17" ht="48.25" customHeight="1">
      <c r="A17" s="672"/>
      <c r="B17" s="672"/>
      <c r="C17" s="627"/>
      <c r="D17" s="1690">
        <v>3</v>
      </c>
      <c r="E17" s="1697" t="s">
        <v>1868</v>
      </c>
      <c r="F17" s="1696"/>
      <c r="G17" s="644" t="s">
        <v>1869</v>
      </c>
      <c r="H17" s="1703"/>
      <c r="J17" s="625">
        <v>46</v>
      </c>
    </row>
    <row r="18" ht="48.25" customHeight="1">
      <c r="A18" s="1645">
        <v>1</v>
      </c>
      <c r="B18" s="672"/>
      <c r="C18" s="1647"/>
      <c r="D18" s="1690" t="s">
        <v>92</v>
      </c>
      <c r="E18" s="1697" t="s">
        <v>1870</v>
      </c>
      <c r="F18" s="1696"/>
      <c r="G18" s="644" t="s">
        <v>1869</v>
      </c>
      <c r="H18" s="1703"/>
      <c r="I18" s="1022"/>
      <c r="J18" s="625">
        <v>46</v>
      </c>
    </row>
    <row r="19" ht="23.25" customHeight="1">
      <c r="A19" s="672"/>
      <c r="B19" s="672"/>
      <c r="C19" s="627"/>
      <c r="D19" s="1690" t="s">
        <v>112</v>
      </c>
      <c r="E19" s="1697" t="s">
        <v>1871</v>
      </c>
      <c r="F19" s="1691" t="s">
        <v>313</v>
      </c>
      <c r="G19" s="2641" t="s">
        <v>1872</v>
      </c>
      <c r="H19" s="645"/>
      <c r="J19" s="625">
        <v>22</v>
      </c>
    </row>
    <row r="20" s="11629" customFormat="1" ht="5.25" hidden="1" customHeight="1">
      <c r="A20" s="672"/>
      <c r="B20" s="672"/>
      <c r="C20" s="1699"/>
      <c r="D20" s="1698" t="s">
        <v>1121</v>
      </c>
      <c r="E20" s="1184"/>
      <c r="F20" s="1183"/>
      <c r="G20" s="2642"/>
      <c r="J20" s="1700">
        <v>0</v>
      </c>
    </row>
    <row r="21" ht="15.75" customHeight="1">
      <c r="A21" s="672"/>
      <c r="B21" s="672"/>
      <c r="C21" s="627"/>
      <c r="D21" s="637"/>
      <c r="E21" s="585" t="s">
        <v>346</v>
      </c>
      <c r="F21" s="639"/>
      <c r="G21" s="2643"/>
      <c r="H21" s="1703"/>
      <c r="J21" s="625">
        <v>15</v>
      </c>
    </row>
    <row r="22" s="9742" customFormat="1" ht="26.25" customHeight="1">
      <c r="A22" s="672"/>
      <c r="B22" s="672"/>
      <c r="C22" s="672"/>
      <c r="D22" s="1690" t="s">
        <v>93</v>
      </c>
      <c r="E22" s="644" t="s">
        <v>1873</v>
      </c>
      <c r="F22" s="1696"/>
      <c r="G22" s="644" t="s">
        <v>1874</v>
      </c>
      <c r="H22" s="1702"/>
      <c r="J22" s="671">
        <v>25</v>
      </c>
    </row>
    <row r="23" s="9742" customFormat="1" ht="19.949999999999999" customHeight="1">
      <c r="A23" s="672"/>
      <c r="B23" s="672"/>
      <c r="C23" s="672"/>
      <c r="D23" s="1690" t="s">
        <v>94</v>
      </c>
      <c r="E23" s="1697" t="s">
        <v>1875</v>
      </c>
      <c r="F23" s="1701"/>
      <c r="G23" s="644" t="s">
        <v>1876</v>
      </c>
      <c r="H23" s="1702"/>
      <c r="J23" s="671">
        <v>19</v>
      </c>
    </row>
    <row r="24" s="9742" customFormat="1" ht="144" hidden="1" customHeight="1">
      <c r="A24" s="672"/>
      <c r="B24" s="672"/>
      <c r="C24" s="672"/>
      <c r="D24" s="1690" t="s">
        <v>100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 xml:space="preserv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 xml:space="preserve">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02"/>
      <c r="J24" s="671">
        <v>0</v>
      </c>
    </row>
    <row r="25" ht="11.25" hidden="1" customHeight="1">
      <c r="A25" s="671" t="s">
        <v>83</v>
      </c>
      <c r="B25" s="671">
        <v>0</v>
      </c>
      <c r="C25" s="625">
        <v>3</v>
      </c>
      <c r="D25" s="626">
        <v>6</v>
      </c>
      <c r="E25" s="625">
        <v>52</v>
      </c>
      <c r="F25" s="625">
        <v>48</v>
      </c>
      <c r="G25" s="625">
        <v>93</v>
      </c>
      <c r="H25" s="625">
        <v>8</v>
      </c>
      <c r="I25" s="625">
        <v>64</v>
      </c>
      <c r="J25" s="625">
        <v>11</v>
      </c>
    </row>
  </sheetData>
  <sheetProtection autoFilter="0" deleteColumns="1" deleteRows="1" formatColumns="0" formatRows="0" insertColumns="1" insertRows="1" sheet="1" sort="1"/>
  <mergeCells count="6">
    <mergeCell ref="G19:G21"/>
    <mergeCell ref="D5:F5"/>
    <mergeCell ref="D6:F6"/>
    <mergeCell ref="E8:F8"/>
    <mergeCell ref="D9:F9"/>
    <mergeCell ref="G9:G10"/>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EC0054-0014-4A25-B1AA-00060087002A}" type="textLength" allowBlank="1" error="Допускается ввод не более 900 символов!" errorTitle="Ошибка" operator="lessThanOrEqual" showErrorMessage="1" showInputMessage="1">
          <x14:formula1>
            <xm:f>900</xm:f>
          </x14:formula1>
          <xm:sqref>F12 F14:F18 F22:F23</xm:sqref>
        </x14:dataValidation>
        <x14:dataValidation xr:uid="{00E600D4-0070-40F5-BBEC-006C00DC004A}"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F24</xm:sqref>
        </x14:dataValidation>
      </x14:dataValidations>
    </ext>
  </extLs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defaultRowHeight="14.25" customHeight="1"/>
  <cols>
    <col hidden="1" min="1" max="1" style="9138" width="9.140625"/>
    <col hidden="1" min="2" max="2" style="9217" width="9.140625"/>
    <col customWidth="1" hidden="1" min="3" max="3" style="9138" width="3.7109375"/>
    <col customWidth="1" min="4" max="4" style="9306" width="3.00390625"/>
    <col customWidth="1" min="5" max="5" style="9138" width="6.00390625"/>
    <col customWidth="1" min="6" max="6" style="9138" width="46.00390625"/>
    <col customWidth="1" min="7" max="8" style="9138" width="16.00390625"/>
    <col customWidth="1" min="9" max="9" style="9138" width="35.00390625"/>
    <col customWidth="1" min="10" max="10" style="9138" width="89.00390625"/>
    <col customWidth="1" min="11" max="11" style="9307" width="3.00390625"/>
    <col customWidth="1" min="12" max="14" style="9307" width="8.00390625"/>
    <col customWidth="1" min="15" max="15" style="9307" width="25.00390625"/>
    <col customWidth="1" min="16" max="16" style="9307" width="14.00390625"/>
    <col customWidth="1" min="17" max="20" style="9308" width="8.00390625"/>
    <col customWidth="1" min="21" max="254" style="9138" width="8.00390625"/>
    <col hidden="1" min="255" max="255" style="9138" width="9.140625"/>
  </cols>
  <sheetData>
    <row r="1" ht="22.5" hidden="1" customHeight="1">
      <c r="F1" s="1801" t="s">
        <v>1877</v>
      </c>
      <c r="G1" s="1801" t="s">
        <v>49</v>
      </c>
      <c r="H1" s="1801" t="s">
        <v>51</v>
      </c>
      <c r="IU1" s="1325" t="s">
        <v>14</v>
      </c>
    </row>
    <row r="2" s="9278" customFormat="1" ht="22.5" hidden="1" customHeight="1">
      <c r="A2" s="1001"/>
      <c r="B2" s="1330">
        <v>1</v>
      </c>
      <c r="C2" s="1330"/>
      <c r="D2" s="2098" t="s">
        <v>432</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r="3" s="9218" customFormat="1" ht="4.2000000000000002" customHeight="1">
      <c r="A3" s="666"/>
      <c r="D3" s="664"/>
      <c r="F3" s="417" t="s">
        <v>84</v>
      </c>
      <c r="G3" s="664" t="s">
        <v>85</v>
      </c>
      <c r="H3" s="664"/>
      <c r="I3" s="664"/>
      <c r="J3" s="397" t="s">
        <v>86</v>
      </c>
      <c r="K3" s="417" t="s">
        <v>84</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r="4" s="9233" customFormat="1" ht="14.65" customHeight="1">
      <c r="A4" s="1325"/>
      <c r="B4" s="1330"/>
      <c r="C4" s="1325"/>
      <c r="D4" s="1665"/>
      <c r="E4" s="679"/>
      <c r="F4" s="1812"/>
      <c r="G4" s="679"/>
      <c r="H4" s="679"/>
      <c r="I4" s="679"/>
      <c r="J4" s="336"/>
      <c r="K4" s="417"/>
      <c r="L4" s="670"/>
      <c r="M4" s="670"/>
      <c r="N4" s="670"/>
      <c r="O4" s="396"/>
      <c r="P4" s="670"/>
      <c r="Q4" s="395"/>
      <c r="R4" s="395"/>
      <c r="S4" s="395"/>
      <c r="T4" s="395"/>
      <c r="IU4" s="677">
        <v>14</v>
      </c>
    </row>
    <row r="5" s="9233" customFormat="1" ht="27.300000000000001" customHeight="1">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 xml:space="preserve">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70"/>
      <c r="G5" s="2270"/>
      <c r="H5" s="2270"/>
      <c r="I5" s="2270"/>
      <c r="J5" s="2270"/>
      <c r="K5" s="417"/>
      <c r="L5" s="670"/>
      <c r="M5" s="670"/>
      <c r="N5" s="670"/>
      <c r="O5" s="396"/>
      <c r="P5" s="670"/>
      <c r="Q5" s="395"/>
      <c r="R5" s="395"/>
      <c r="S5" s="395"/>
      <c r="T5" s="395"/>
      <c r="IU5" s="677">
        <v>26</v>
      </c>
    </row>
    <row r="6" s="9233" customFormat="1" ht="14.65" customHeight="1">
      <c r="A6" s="1325"/>
      <c r="B6" s="1330"/>
      <c r="C6" s="1325"/>
      <c r="D6" s="1665"/>
      <c r="E6" s="679"/>
      <c r="F6" s="337"/>
      <c r="G6" s="337"/>
      <c r="H6" s="337"/>
      <c r="I6" s="337"/>
      <c r="J6" s="338"/>
      <c r="K6" s="670"/>
      <c r="L6" s="670"/>
      <c r="M6" s="670"/>
      <c r="N6" s="670"/>
      <c r="O6" s="396"/>
      <c r="P6" s="670"/>
      <c r="Q6" s="395"/>
      <c r="R6" s="395"/>
      <c r="S6" s="395"/>
      <c r="T6" s="395"/>
      <c r="IU6" s="677">
        <v>14</v>
      </c>
    </row>
    <row r="7" s="9233" customFormat="1" ht="14.65" customHeight="1">
      <c r="A7" s="1325"/>
      <c r="B7" s="1330"/>
      <c r="C7" s="1325"/>
      <c r="D7" s="1665"/>
      <c r="E7" s="2271" t="s">
        <v>307</v>
      </c>
      <c r="F7" s="2272"/>
      <c r="G7" s="2272"/>
      <c r="H7" s="2272"/>
      <c r="I7" s="2272"/>
      <c r="J7" s="2644" t="s">
        <v>308</v>
      </c>
      <c r="K7" s="670"/>
      <c r="L7" s="670"/>
      <c r="M7" s="670"/>
      <c r="N7" s="670"/>
      <c r="O7" s="396"/>
      <c r="P7" s="670"/>
      <c r="Q7" s="395"/>
      <c r="R7" s="395"/>
      <c r="S7" s="395"/>
      <c r="T7" s="395"/>
      <c r="IU7" s="677">
        <v>14</v>
      </c>
    </row>
    <row r="8" s="9233" customFormat="1" ht="21" customHeight="1">
      <c r="A8" s="1325"/>
      <c r="B8" s="1330"/>
      <c r="C8" s="1325"/>
      <c r="D8" s="1665"/>
      <c r="E8" s="1718" t="s">
        <v>89</v>
      </c>
      <c r="F8" s="1710" t="s">
        <v>1877</v>
      </c>
      <c r="G8" s="1710" t="s">
        <v>49</v>
      </c>
      <c r="H8" s="1710" t="s">
        <v>51</v>
      </c>
      <c r="I8" s="1710" t="s">
        <v>1878</v>
      </c>
      <c r="J8" s="2645"/>
      <c r="K8" s="670"/>
      <c r="L8" s="670"/>
      <c r="M8" s="670"/>
      <c r="N8" s="670"/>
      <c r="O8" s="396"/>
      <c r="P8" s="670"/>
      <c r="Q8" s="395"/>
      <c r="R8" s="395"/>
      <c r="S8" s="395"/>
      <c r="T8" s="395"/>
      <c r="IU8" s="677">
        <v>20</v>
      </c>
    </row>
    <row r="9" s="9278" customFormat="1" ht="23.25" customHeight="1">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r="10" s="9278" customFormat="1" ht="15.75" customHeight="1">
      <c r="A10" s="1801"/>
      <c r="B10" s="1330"/>
      <c r="C10" s="582"/>
      <c r="D10" s="971"/>
      <c r="E10" s="1711"/>
      <c r="F10" s="1670" t="s">
        <v>1879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r="11" s="9233" customFormat="1" ht="22" customHeight="1">
      <c r="A11" s="1325"/>
      <c r="B11" s="1330"/>
      <c r="C11" s="1325"/>
      <c r="D11" s="621"/>
      <c r="E11" s="350"/>
      <c r="F11" s="350"/>
      <c r="G11" s="350"/>
      <c r="H11" s="350"/>
      <c r="I11" s="350"/>
      <c r="J11" s="350"/>
      <c r="K11" s="670"/>
      <c r="L11" s="670"/>
      <c r="M11" s="670"/>
      <c r="N11" s="670"/>
      <c r="O11" s="396"/>
      <c r="P11" s="670"/>
      <c r="Q11" s="395"/>
      <c r="R11" s="395"/>
      <c r="S11" s="395"/>
      <c r="T11" s="395"/>
      <c r="IU11" s="677">
        <v>21</v>
      </c>
    </row>
    <row r="12" s="9233" customFormat="1" ht="14.65" customHeight="1">
      <c r="A12" s="1325"/>
      <c r="B12" s="1330"/>
      <c r="C12" s="1325"/>
      <c r="D12" s="621"/>
      <c r="E12" s="1325"/>
      <c r="F12" s="1325"/>
      <c r="G12" s="1325"/>
      <c r="H12" s="1325"/>
      <c r="I12" s="1325"/>
      <c r="J12" s="1325"/>
      <c r="K12" s="670"/>
      <c r="L12" s="670"/>
      <c r="M12" s="670"/>
      <c r="N12" s="670"/>
      <c r="O12" s="396"/>
      <c r="P12" s="670"/>
      <c r="Q12" s="395"/>
      <c r="R12" s="395"/>
      <c r="S12" s="395"/>
      <c r="T12" s="395"/>
      <c r="IU12" s="677">
        <v>14</v>
      </c>
    </row>
    <row r="13" s="9233" customFormat="1" ht="1.05" customHeight="1">
      <c r="A13" s="1325"/>
      <c r="B13" s="1330"/>
      <c r="C13" s="1325"/>
      <c r="D13" s="621"/>
      <c r="E13" s="1325"/>
      <c r="F13" s="1325"/>
      <c r="G13" s="1325"/>
      <c r="H13" s="1325"/>
      <c r="I13" s="1325"/>
      <c r="J13" s="1325"/>
      <c r="K13" s="670"/>
      <c r="L13" s="670"/>
      <c r="M13" s="670"/>
      <c r="N13" s="670"/>
      <c r="O13" s="396"/>
      <c r="P13" s="670"/>
      <c r="Q13" s="395"/>
      <c r="R13" s="395"/>
      <c r="S13" s="395"/>
      <c r="T13" s="395"/>
      <c r="IU13" s="677">
        <v>1</v>
      </c>
    </row>
    <row r="14" s="9301" customFormat="1" ht="10.5" customHeight="1">
      <c r="B14" s="1004"/>
      <c r="D14" s="352"/>
      <c r="K14" s="670"/>
      <c r="L14" s="670"/>
      <c r="M14" s="670"/>
      <c r="N14" s="670"/>
      <c r="O14" s="396"/>
      <c r="P14" s="670"/>
      <c r="Q14" s="395"/>
      <c r="R14" s="395"/>
      <c r="S14" s="395"/>
      <c r="T14" s="395"/>
      <c r="IU14" s="351">
        <v>10</v>
      </c>
    </row>
    <row r="15" s="9301" customFormat="1" ht="10.5" customHeight="1">
      <c r="B15" s="1004"/>
      <c r="D15" s="352"/>
      <c r="K15" s="670"/>
      <c r="L15" s="670"/>
      <c r="M15" s="670"/>
      <c r="N15" s="670"/>
      <c r="O15" s="396"/>
      <c r="P15" s="670"/>
      <c r="Q15" s="395"/>
      <c r="R15" s="395"/>
      <c r="S15" s="395"/>
      <c r="T15" s="395"/>
      <c r="IU15" s="351">
        <v>10</v>
      </c>
    </row>
    <row r="16" ht="14.65" customHeight="1">
      <c r="IU16" s="1325">
        <v>14</v>
      </c>
    </row>
    <row r="17" ht="14.65" customHeight="1">
      <c r="IU17" s="1325">
        <v>14</v>
      </c>
    </row>
    <row r="18" ht="14.65" customHeight="1">
      <c r="IU18" s="1325">
        <v>14</v>
      </c>
    </row>
    <row r="19" ht="14.65" customHeight="1">
      <c r="G19" s="543"/>
      <c r="H19" s="543"/>
      <c r="I19" s="543"/>
      <c r="IU19" s="1325">
        <v>14</v>
      </c>
    </row>
    <row r="20" ht="14.65" customHeight="1">
      <c r="IU20" s="1325">
        <v>14</v>
      </c>
    </row>
    <row r="21" ht="14.65" customHeight="1">
      <c r="IU21" s="1325">
        <v>14</v>
      </c>
    </row>
    <row r="22" ht="14.65" customHeight="1">
      <c r="IU22" s="1325">
        <v>14</v>
      </c>
    </row>
    <row r="23" ht="14.65" customHeight="1">
      <c r="K23" s="1325"/>
      <c r="L23" s="1325"/>
      <c r="M23" s="1325"/>
      <c r="IU23" s="1325">
        <v>14</v>
      </c>
    </row>
    <row r="24" ht="22.5" hidden="1" customHeight="1">
      <c r="A24" s="1325" t="s">
        <v>83</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autoFilter="0" deleteColumns="1" deleteRows="1" formatColumns="0" formatRows="0" insertColumns="1" insertRows="1" sheet="1" sort="1"/>
  <mergeCells count="4">
    <mergeCell ref="E5:J5"/>
    <mergeCell ref="E7:I7"/>
    <mergeCell ref="J7:J8"/>
    <mergeCell ref="J9:J10"/>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570070-002C-41C4-A5D4-00B100390065}" type="textLength" allowBlank="1" showErrorMessage="1" showInputMessage="1">
          <x14:formula1>
            <xm:f>13</xm:f>
          </x14:formula1>
          <x14:formula2>
            <xm:f>15</xm:f>
          </x14:formula2>
          <xm:sqref>I3</xm:sqref>
        </x14:dataValidation>
        <x14:dataValidation xr:uid="{00FB0020-00FE-40D0-932C-00E1003C00D1}" type="textLength" allowBlank="1" prompt="ОГРН состоит из 13 цифр, ОГРНИП - из 15" showErrorMessage="1" showInputMessage="1">
          <x14:formula1>
            <xm:f>13</xm:f>
          </x14:formula1>
          <x14:formula2>
            <xm:f>15</xm:f>
          </x14:formula2>
          <xm:sqref>I9 I2</xm:sqref>
        </x14:dataValidation>
      </x14:dataValidations>
    </ext>
  </extLst>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defaultRowHeight="14.25" customHeight="1"/>
  <cols>
    <col hidden="1" min="1" max="1" style="9138" width="9.140625"/>
    <col hidden="1" min="2" max="2" style="9217" width="9.140625"/>
    <col customWidth="1" hidden="1" min="3" max="3" style="9138" width="3.7109375"/>
    <col customWidth="1" min="4" max="4" style="9306" width="3.00390625"/>
    <col customWidth="1" min="5" max="5" style="9138" width="6.00390625"/>
    <col customWidth="1" min="6" max="6" style="9138" width="27.00390625"/>
    <col customWidth="1" min="7" max="7" style="9138" width="16.00390625"/>
    <col customWidth="1" min="8" max="8" style="9138" width="12.00390625"/>
    <col customWidth="1" min="9" max="9" style="9138" width="32.00390625"/>
    <col customWidth="1" min="10" max="11" style="9138" width="41.00390625"/>
    <col customWidth="1" min="12" max="12" style="9138" width="89.00390625"/>
    <col customWidth="1" min="13" max="13" style="9307" width="3.00390625"/>
    <col customWidth="1" min="14" max="16" style="9307" width="8.00390625"/>
    <col customWidth="1" min="17" max="17" style="9307" width="25.00390625"/>
    <col customWidth="1" min="18" max="18" style="9307" width="14.00390625"/>
    <col customWidth="1" min="19" max="22" style="9308" width="8.00390625"/>
    <col customWidth="1" min="23" max="256" style="9138" width="8.00390625"/>
    <col hidden="1" min="257" max="257" style="9138" width="9.140625"/>
  </cols>
  <sheetData>
    <row r="1" ht="22.5" hidden="1" customHeight="1">
      <c r="IW1" s="1325" t="s">
        <v>14</v>
      </c>
    </row>
    <row r="2" s="9278" customFormat="1" ht="22.5" hidden="1" customHeight="1">
      <c r="A2" s="1001"/>
      <c r="B2" s="1330">
        <v>1</v>
      </c>
      <c r="C2" s="1330"/>
      <c r="D2" s="2098" t="s">
        <v>432</v>
      </c>
      <c r="E2" s="2059"/>
      <c r="F2" s="2062" t="str">
        <f>IF(ROIV_INFO_NAME="","",ROIV_INFO_NAME)</f>
        <v xml:space="preserve">АО "ДГК" СП "Биробиджанская ТЭЦ"</v>
      </c>
      <c r="G2" s="2087" t="s">
        <v>28</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r="3" s="9218" customFormat="1" ht="5.25" hidden="1" customHeight="1">
      <c r="A3" s="666"/>
      <c r="D3" s="664"/>
      <c r="F3" s="417" t="s">
        <v>84</v>
      </c>
      <c r="G3" s="1905" t="s">
        <v>85</v>
      </c>
      <c r="H3" s="664"/>
      <c r="I3" s="664"/>
      <c r="J3" s="664"/>
      <c r="K3" s="664"/>
      <c r="L3" s="397" t="s">
        <v>86</v>
      </c>
      <c r="M3" s="417" t="s">
        <v>84</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r="4" s="9233" customFormat="1" ht="14.65" customHeight="1">
      <c r="A4" s="1325"/>
      <c r="B4" s="1330"/>
      <c r="C4" s="1325"/>
      <c r="D4" s="1665"/>
      <c r="E4" s="679"/>
      <c r="F4" s="679"/>
      <c r="G4" s="679"/>
      <c r="H4" s="679"/>
      <c r="I4" s="679"/>
      <c r="J4" s="679"/>
      <c r="K4" s="679"/>
      <c r="L4" s="336"/>
      <c r="M4" s="417"/>
      <c r="N4" s="670"/>
      <c r="O4" s="670"/>
      <c r="P4" s="670"/>
      <c r="Q4" s="396"/>
      <c r="R4" s="670"/>
      <c r="S4" s="395"/>
      <c r="T4" s="395"/>
      <c r="U4" s="395"/>
      <c r="V4" s="395"/>
      <c r="IW4" s="677">
        <v>14</v>
      </c>
    </row>
    <row r="5" s="9233" customFormat="1" ht="27.300000000000001" customHeight="1">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2270"/>
      <c r="G5" s="2270"/>
      <c r="H5" s="2270"/>
      <c r="I5" s="2270"/>
      <c r="J5" s="2270"/>
      <c r="K5" s="2270"/>
      <c r="L5" s="758"/>
      <c r="M5" s="417"/>
      <c r="N5" s="670"/>
      <c r="O5" s="670"/>
      <c r="P5" s="670"/>
      <c r="Q5" s="396"/>
      <c r="R5" s="670"/>
      <c r="S5" s="395"/>
      <c r="T5" s="395"/>
      <c r="U5" s="395"/>
      <c r="V5" s="395"/>
      <c r="IW5" s="677">
        <v>26</v>
      </c>
    </row>
    <row r="6" s="9233" customFormat="1" ht="14.65" customHeight="1">
      <c r="A6" s="1325"/>
      <c r="B6" s="1330"/>
      <c r="C6" s="1325"/>
      <c r="D6" s="1665"/>
      <c r="E6" s="679"/>
      <c r="F6" s="337"/>
      <c r="G6" s="337"/>
      <c r="H6" s="337"/>
      <c r="I6" s="337"/>
      <c r="J6" s="337"/>
      <c r="K6" s="337"/>
      <c r="L6" s="338"/>
      <c r="M6" s="670"/>
      <c r="N6" s="670"/>
      <c r="O6" s="670"/>
      <c r="P6" s="670"/>
      <c r="Q6" s="396"/>
      <c r="R6" s="670"/>
      <c r="S6" s="395"/>
      <c r="T6" s="395"/>
      <c r="U6" s="395"/>
      <c r="V6" s="395"/>
      <c r="IW6" s="677">
        <v>14</v>
      </c>
    </row>
    <row r="7" s="9233" customFormat="1" ht="14.65" customHeight="1">
      <c r="A7" s="1325"/>
      <c r="B7" s="1330"/>
      <c r="C7" s="1325"/>
      <c r="D7" s="1665"/>
      <c r="E7" s="2271" t="s">
        <v>307</v>
      </c>
      <c r="F7" s="2272"/>
      <c r="G7" s="2272"/>
      <c r="H7" s="2272"/>
      <c r="I7" s="2272"/>
      <c r="J7" s="2272"/>
      <c r="K7" s="2272"/>
      <c r="L7" s="2644" t="s">
        <v>308</v>
      </c>
      <c r="M7" s="670"/>
      <c r="N7" s="670"/>
      <c r="O7" s="670"/>
      <c r="P7" s="670"/>
      <c r="Q7" s="396"/>
      <c r="R7" s="670"/>
      <c r="S7" s="395"/>
      <c r="T7" s="395"/>
      <c r="U7" s="395"/>
      <c r="V7" s="395"/>
      <c r="IW7" s="677">
        <v>14</v>
      </c>
    </row>
    <row r="8" s="9233" customFormat="1" ht="67.200000000000003" customHeight="1">
      <c r="A8" s="1325"/>
      <c r="B8" s="1330"/>
      <c r="C8" s="1325"/>
      <c r="D8" s="1665"/>
      <c r="E8" s="2648" t="s">
        <v>89</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 xml:space="preserve">Наименование органа тарифного регулирования</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 xml:space="preserve">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 xml:space="preserve">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670"/>
      <c r="N8" s="670"/>
      <c r="O8" s="670"/>
      <c r="P8" s="670"/>
      <c r="Q8" s="396"/>
      <c r="R8" s="670"/>
      <c r="S8" s="395"/>
      <c r="T8" s="395"/>
      <c r="U8" s="395"/>
      <c r="V8" s="395"/>
      <c r="IW8" s="677">
        <v>64</v>
      </c>
    </row>
    <row r="9" s="9233" customFormat="1" ht="29.25" customHeight="1">
      <c r="A9" s="1325"/>
      <c r="B9" s="1330"/>
      <c r="C9" s="1325"/>
      <c r="D9" s="1665"/>
      <c r="E9" s="2649"/>
      <c r="F9" s="2649"/>
      <c r="G9" s="1707" t="s">
        <v>1880</v>
      </c>
      <c r="H9" s="1707" t="s">
        <v>1881</v>
      </c>
      <c r="I9" s="1707" t="s">
        <v>1882</v>
      </c>
      <c r="J9" s="2649"/>
      <c r="K9" s="2649"/>
      <c r="L9" s="2645"/>
      <c r="M9" s="670"/>
      <c r="N9" s="670"/>
      <c r="O9" s="670"/>
      <c r="P9" s="670"/>
      <c r="Q9" s="396"/>
      <c r="R9" s="670"/>
      <c r="S9" s="395"/>
      <c r="T9" s="395"/>
      <c r="U9" s="395"/>
      <c r="V9" s="395"/>
      <c r="IW9" s="677">
        <v>28</v>
      </c>
    </row>
    <row r="10" s="9278" customFormat="1" ht="23.25" customHeight="1">
      <c r="A10" s="2269"/>
      <c r="B10" s="1330">
        <v>1</v>
      </c>
      <c r="C10" s="1330"/>
      <c r="D10" s="970"/>
      <c r="E10" s="968">
        <v>1</v>
      </c>
      <c r="F10" s="1709" t="str">
        <f>IF(ROIV_INFO_NAME="","",ROIV_INFO_NAME)</f>
        <v xml:space="preserve">АО "ДГК" СП "Биробиджанская ТЭЦ"</v>
      </c>
      <c r="G10" s="1902" t="s">
        <v>28</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r="11" s="9278" customFormat="1" ht="15.75" customHeight="1">
      <c r="A11" s="2269"/>
      <c r="B11" s="1330"/>
      <c r="C11" s="582"/>
      <c r="D11" s="971"/>
      <c r="E11" s="591"/>
      <c r="F11" s="586" t="s">
        <v>1883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r="12" s="9233" customFormat="1" ht="22" customHeight="1">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r="13" s="9233" customFormat="1" ht="14.65" customHeight="1">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r="14" s="9233" customFormat="1" ht="1.05" customHeight="1">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r="15" ht="22.5" hidden="1" customHeight="1">
      <c r="A15" s="1325" t="s">
        <v>83</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autoFilter="0" deleteColumns="1" deleteRows="1" formatColumns="0" formatRows="0" insertColumns="1" insertRows="1" sheet="1" sort="1"/>
  <mergeCells count="10">
    <mergeCell ref="L7:L9"/>
    <mergeCell ref="E7:K7"/>
    <mergeCell ref="A10:A11"/>
    <mergeCell ref="L10:L11"/>
    <mergeCell ref="E5:K5"/>
    <mergeCell ref="F8:F9"/>
    <mergeCell ref="E8:E9"/>
    <mergeCell ref="G8:I8"/>
    <mergeCell ref="J8:J9"/>
    <mergeCell ref="K8:K9"/>
  </mergeCells>
  <dataValidations count="1">
    <dataValidation sqref="G2:G3 G10"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850097-0081-493A-8EDB-002D00260085}" type="textLength" allowBlank="1" showErrorMessage="1" showInputMessage="1">
          <x14:formula1>
            <xm:f>13</xm:f>
          </x14:formula1>
          <x14:formula2>
            <xm:f>15</xm:f>
          </x14:formula2>
          <xm:sqref>H3:I3</xm:sqref>
        </x14:dataValidation>
        <x14:dataValidation xr:uid="{00D90038-00D1-4A74-A919-00FD0003005D}"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J10:K10 J2:K3</xm:sqref>
        </x14:dataValidation>
        <x14:dataValidation xr:uid="{00E60027-0095-4C15-BAA9-002500E9000B}" type="time" allowBlank="1" prompt="Укажите время в формате ЧЧ:ММ" showErrorMessage="1" showInputMessage="1">
          <x14:formula1>
            <xm:f>0</xm:f>
          </x14:formula1>
          <x14:formula2>
            <xm:f>0.9993055555555556</xm:f>
          </x14:formula2>
          <xm:sqref>H10 H2</xm:sqref>
        </x14:dataValidation>
        <x14:dataValidation xr:uid="{008C009D-00DF-4007-8C3D-00BF000800D2}" type="textLength" allowBlank="1" operator="lessThanOrEqual" showErrorMessage="1" showInputMessage="1">
          <x14:formula1>
            <xm:f>990</xm:f>
          </x14:formula1>
          <xm:sqref>I10 I2</xm:sqref>
        </x14:dataValidation>
      </x14:dataValidations>
    </ext>
  </extLs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defaultRowHeight="14.25" customHeight="1"/>
  <cols>
    <col hidden="1" min="1" max="1" style="9138" width="9.140625"/>
    <col hidden="1" min="2" max="2" style="9217" width="9.140625"/>
    <col customWidth="1" hidden="1" min="3" max="3" style="9138" width="3.7109375"/>
    <col customWidth="1" min="4" max="4" style="9306" width="3.00390625"/>
    <col customWidth="1" min="5" max="5" style="9138" width="6.00390625"/>
    <col customWidth="1" min="6" max="6" style="9138" width="27.00390625"/>
    <col customWidth="1" min="7" max="7" style="9138" width="16.00390625"/>
    <col customWidth="1" min="8" max="8" style="9138" width="12.00390625"/>
    <col customWidth="1" min="9" max="9" style="9138" width="32.00390625"/>
    <col customWidth="1" min="10" max="11" style="9138" width="41.00390625"/>
    <col customWidth="1" min="12" max="12" style="9138" width="89.00390625"/>
    <col customWidth="1" min="13" max="13" style="9307" width="3.00390625"/>
    <col customWidth="1" min="14" max="16" style="9307" width="8.00390625"/>
    <col customWidth="1" min="17" max="17" style="9307" width="25.00390625"/>
    <col customWidth="1" min="18" max="18" style="9307" width="14.00390625"/>
    <col customWidth="1" min="19" max="22" style="9308" width="8.00390625"/>
    <col customWidth="1" min="23" max="256" style="9138" width="8.00390625"/>
    <col hidden="1" min="257" max="257" style="9138" width="9.140625"/>
  </cols>
  <sheetData>
    <row r="1" ht="22.5" hidden="1" customHeight="1">
      <c r="IW1" s="1801" t="s">
        <v>14</v>
      </c>
    </row>
    <row r="2" s="9278" customFormat="1" ht="22.5" hidden="1" customHeight="1">
      <c r="A2" s="1001"/>
      <c r="B2" s="1536">
        <v>1</v>
      </c>
      <c r="C2" s="1536"/>
      <c r="D2" s="2098" t="s">
        <v>432</v>
      </c>
      <c r="E2" s="2074"/>
      <c r="F2" s="2076" t="str">
        <f>IF(ROIV_INFO_NAME="","",ROIV_INFO_NAME)</f>
        <v xml:space="preserve">АО "ДГК" СП "Биробиджанская ТЭЦ"</v>
      </c>
      <c r="G2" s="1902" t="s">
        <v>28</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r="3" s="9218" customFormat="1" ht="5.25" hidden="1" customHeight="1">
      <c r="A3" s="1811"/>
      <c r="D3" s="2063"/>
      <c r="F3" s="418" t="s">
        <v>84</v>
      </c>
      <c r="G3" s="1905" t="s">
        <v>85</v>
      </c>
      <c r="H3" s="2063"/>
      <c r="I3" s="2063"/>
      <c r="J3" s="2063"/>
      <c r="K3" s="2063"/>
      <c r="L3" s="397" t="s">
        <v>86</v>
      </c>
      <c r="M3" s="418" t="s">
        <v>84</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r="4" s="9233" customFormat="1" ht="14.65" customHeight="1">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r="5" s="9233" customFormat="1" ht="27.300000000000001" customHeight="1">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 xml:space="preserve">Форма 4. Информация о рассмотрении дел об установлении тарифов в сфере теплоснабжения</v>
      </c>
      <c r="F5" s="2270"/>
      <c r="G5" s="2270"/>
      <c r="H5" s="2270"/>
      <c r="I5" s="2270"/>
      <c r="J5" s="2270"/>
      <c r="K5" s="2270"/>
      <c r="L5" s="1805"/>
      <c r="M5" s="418"/>
      <c r="N5" s="1794"/>
      <c r="O5" s="1794"/>
      <c r="P5" s="1794"/>
      <c r="Q5" s="1794"/>
      <c r="R5" s="1794"/>
      <c r="S5" s="395"/>
      <c r="T5" s="395"/>
      <c r="U5" s="395"/>
      <c r="V5" s="395"/>
      <c r="IW5" s="1779">
        <v>26</v>
      </c>
    </row>
    <row r="6" s="9233" customFormat="1" ht="14.65" customHeight="1">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r="7" s="9233" customFormat="1" ht="14.65" customHeight="1">
      <c r="A7" s="1801"/>
      <c r="B7" s="1536"/>
      <c r="C7" s="1801"/>
      <c r="D7" s="1685"/>
      <c r="E7" s="2271" t="s">
        <v>307</v>
      </c>
      <c r="F7" s="2272"/>
      <c r="G7" s="2272"/>
      <c r="H7" s="2272"/>
      <c r="I7" s="2272"/>
      <c r="J7" s="2272"/>
      <c r="K7" s="2272"/>
      <c r="L7" s="2644" t="s">
        <v>308</v>
      </c>
      <c r="M7" s="1794"/>
      <c r="N7" s="1794"/>
      <c r="O7" s="1794"/>
      <c r="P7" s="1794"/>
      <c r="Q7" s="1794"/>
      <c r="R7" s="1794"/>
      <c r="S7" s="395"/>
      <c r="T7" s="395"/>
      <c r="U7" s="395"/>
      <c r="V7" s="395"/>
      <c r="IW7" s="1779">
        <v>14</v>
      </c>
    </row>
    <row r="8" s="9233" customFormat="1" ht="67.200000000000003" customHeight="1">
      <c r="A8" s="1801"/>
      <c r="B8" s="1536"/>
      <c r="C8" s="1801"/>
      <c r="D8" s="1685"/>
      <c r="E8" s="2648" t="s">
        <v>89</v>
      </c>
      <c r="F8" s="2648" t="s">
        <v>1884</v>
      </c>
      <c r="G8" s="2650" t="s">
        <v>1885</v>
      </c>
      <c r="H8" s="2651"/>
      <c r="I8" s="2652"/>
      <c r="J8" s="2648" t="s">
        <v>1886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 xml:space="preserve">Протокол заседания правления (коллегии) органа тарифного регулирования, оформленный в соответствии с законодательством Российской Федерации</v>
      </c>
      <c r="L8" s="2646"/>
      <c r="M8" s="1794"/>
      <c r="N8" s="1794"/>
      <c r="O8" s="1794"/>
      <c r="P8" s="1794"/>
      <c r="Q8" s="1794"/>
      <c r="R8" s="1794"/>
      <c r="S8" s="395"/>
      <c r="T8" s="395"/>
      <c r="U8" s="395"/>
      <c r="V8" s="395"/>
      <c r="IW8" s="1779">
        <v>64</v>
      </c>
    </row>
    <row r="9" s="9233" customFormat="1" ht="29.25" customHeight="1">
      <c r="A9" s="1801"/>
      <c r="B9" s="1536"/>
      <c r="C9" s="1801"/>
      <c r="D9" s="1685"/>
      <c r="E9" s="2649"/>
      <c r="F9" s="2649"/>
      <c r="G9" s="2064" t="s">
        <v>1880</v>
      </c>
      <c r="H9" s="2064" t="s">
        <v>1881</v>
      </c>
      <c r="I9" s="2064" t="s">
        <v>1882</v>
      </c>
      <c r="J9" s="2649"/>
      <c r="K9" s="2649"/>
      <c r="L9" s="2645"/>
      <c r="M9" s="1794"/>
      <c r="N9" s="1794"/>
      <c r="O9" s="1794"/>
      <c r="P9" s="1794"/>
      <c r="Q9" s="1794"/>
      <c r="R9" s="1794"/>
      <c r="S9" s="395"/>
      <c r="T9" s="395"/>
      <c r="U9" s="395"/>
      <c r="V9" s="395"/>
      <c r="IW9" s="1779">
        <v>28</v>
      </c>
    </row>
    <row r="10" s="9278" customFormat="1" ht="1.05" customHeight="1">
      <c r="A10" s="2269"/>
      <c r="B10" s="1536">
        <v>1</v>
      </c>
      <c r="C10" s="1536"/>
      <c r="D10" s="970"/>
      <c r="E10" s="965">
        <v>0</v>
      </c>
      <c r="F10" s="2061" t="str">
        <f>IF(ROIV_INFO_NAME="","",ROIV_INFO_NAME)</f>
        <v xml:space="preserve">АО "ДГК" СП "Биробиджанская ТЭЦ"</v>
      </c>
      <c r="G10" s="1903" t="s">
        <v>28</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 xml:space="preserve">(В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r="11" s="9278" customFormat="1" ht="15.75" customHeight="1">
      <c r="A11" s="2269"/>
      <c r="B11" s="1536"/>
      <c r="C11" s="582"/>
      <c r="D11" s="971"/>
      <c r="E11" s="591"/>
      <c r="F11" s="821" t="s">
        <v>1883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r="12" s="9233" customFormat="1" ht="22" customHeight="1">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r="13" s="9233" customFormat="1" ht="14.65" customHeight="1">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r="14" s="9233" customFormat="1" ht="1.05" customHeight="1">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r="15" ht="22.5" hidden="1" customHeight="1">
      <c r="A15" s="1801" t="s">
        <v>83</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autoFilter="0" deleteColumns="1" deleteRows="1" insertColumns="1" insertRows="1" sheet="1" sort="1"/>
  <mergeCells count="10">
    <mergeCell ref="A10:A11"/>
    <mergeCell ref="L10:L11"/>
    <mergeCell ref="E5:K5"/>
    <mergeCell ref="E7:K7"/>
    <mergeCell ref="L7:L9"/>
    <mergeCell ref="E8:E9"/>
    <mergeCell ref="F8:F9"/>
    <mergeCell ref="G8:I8"/>
    <mergeCell ref="J8:J9"/>
    <mergeCell ref="K8:K9"/>
  </mergeCells>
  <dataValidations count="1">
    <dataValidation sqref="G2:G3"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A800C5-00CF-434B-B0C4-003700CA0005}"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J2:K3</xm:sqref>
        </x14:dataValidation>
        <x14:dataValidation xr:uid="{009F0020-0032-4A94-BC26-00FA00C200D2}" type="textLength" allowBlank="1" showErrorMessage="1" showInputMessage="1">
          <x14:formula1>
            <xm:f>13</xm:f>
          </x14:formula1>
          <x14:formula2>
            <xm:f>15</xm:f>
          </x14:formula2>
          <xm:sqref>H3:I3</xm:sqref>
        </x14:dataValidation>
        <x14:dataValidation xr:uid="{00AC0017-0095-4BDA-9C17-006E0045001B}" type="textLength" allowBlank="1" operator="lessThanOrEqual" showErrorMessage="1" showInputMessage="1">
          <x14:formula1>
            <xm:f>990</xm:f>
          </x14:formula1>
          <xm:sqref>I2</xm:sqref>
        </x14:dataValidation>
        <x14:dataValidation xr:uid="{00BB0031-00EC-46B5-A83F-004F00D6009E}" type="time" allowBlank="1" prompt="Укажите время в формате ЧЧ:ММ" showErrorMessage="1" showInputMessage="1">
          <x14:formula1>
            <xm:f>0</xm:f>
          </x14:formula1>
          <x14:formula2>
            <xm:f>0.9993055555555556</xm:f>
          </x14:formula2>
          <xm:sqref>H2</xm:sqref>
        </x14:dataValidation>
      </x14:dataValidations>
    </ext>
  </extLs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defaultRowHeight="14.25" customHeight="1"/>
  <cols>
    <col hidden="1" min="1" max="1" style="9138" width="9.140625"/>
    <col hidden="1" min="2" max="2" style="9217" width="9.140625"/>
    <col customWidth="1" hidden="1" min="3" max="3" style="9138" width="3.7109375"/>
    <col customWidth="1" min="4" max="4" style="9306" width="3.00390625"/>
    <col customWidth="1" min="5" max="5" style="9138" width="6.00390625"/>
    <col customWidth="1" min="6" max="6" style="9138" width="27.00390625"/>
    <col customWidth="1" min="7" max="7" style="9138" width="29.00390625"/>
    <col customWidth="1" min="8" max="8" style="9138" width="25.00390625"/>
    <col customWidth="1" min="9" max="9" style="9138" width="5.00390625"/>
    <col customWidth="1" min="10" max="10" style="9138" width="6.00390625"/>
    <col customWidth="1" min="11" max="11" style="9138" width="41.00390625"/>
    <col customWidth="1" min="12" max="12" style="9138" width="42.00390625"/>
    <col customWidth="1" min="13" max="13" style="9138" width="41.00390625"/>
    <col customWidth="1" min="14" max="14" style="9138" width="89.00390625"/>
    <col customWidth="1" min="15" max="15" style="9307" width="3.00390625"/>
    <col customWidth="1" min="16" max="16" style="9307" width="8.00390625"/>
    <col hidden="1" min="17" max="17" style="9138" width="9.140625"/>
  </cols>
  <sheetData>
    <row r="1" ht="22.5" hidden="1" customHeight="1">
      <c r="Q1" s="1325" t="s">
        <v>14</v>
      </c>
    </row>
    <row r="2" s="9278" customFormat="1" ht="22.5" hidden="1" customHeight="1">
      <c r="A2" s="666"/>
      <c r="B2" s="1330">
        <v>1</v>
      </c>
      <c r="C2" s="1330"/>
      <c r="D2" s="2098" t="s">
        <v>432</v>
      </c>
      <c r="E2" s="2297">
        <v>1</v>
      </c>
      <c r="F2" s="2473" t="str">
        <f>IF(region_name="","",region_name)</f>
        <v xml:space="preserve">Еврейская автономная область</v>
      </c>
      <c r="G2" s="2653"/>
      <c r="H2" s="2654"/>
      <c r="I2" s="644"/>
      <c r="J2" s="2080">
        <v>1</v>
      </c>
      <c r="K2" s="2082"/>
      <c r="L2" s="2082"/>
      <c r="M2" s="2082"/>
      <c r="N2" s="662"/>
      <c r="O2" s="1705"/>
      <c r="P2" s="681"/>
      <c r="Q2" s="593">
        <v>0</v>
      </c>
    </row>
    <row r="3" s="9278" customFormat="1" ht="22.5" hidden="1" customHeight="1">
      <c r="A3" s="1001"/>
      <c r="B3" s="1330"/>
      <c r="C3" s="1330"/>
      <c r="D3" s="971"/>
      <c r="E3" s="2297"/>
      <c r="F3" s="2473"/>
      <c r="G3" s="2653"/>
      <c r="H3" s="2655"/>
      <c r="I3" s="591"/>
      <c r="J3" s="1670"/>
      <c r="K3" s="1670" t="s">
        <v>1887</v>
      </c>
      <c r="L3" s="1713"/>
      <c r="M3" s="2090"/>
      <c r="N3" s="2083"/>
      <c r="O3" s="1705"/>
      <c r="P3" s="681"/>
      <c r="Q3" s="593">
        <v>0</v>
      </c>
    </row>
    <row r="4" s="9218" customFormat="1" ht="5.25" hidden="1" customHeight="1">
      <c r="A4" s="666"/>
      <c r="D4" s="664"/>
      <c r="F4" s="417" t="s">
        <v>84</v>
      </c>
      <c r="G4" s="664" t="s">
        <v>85</v>
      </c>
      <c r="H4" s="664"/>
      <c r="I4" s="2093"/>
      <c r="J4" s="1714"/>
      <c r="K4" s="2081"/>
      <c r="L4" s="2081"/>
      <c r="M4" s="2081"/>
      <c r="N4" s="2077"/>
      <c r="O4" s="417" t="s">
        <v>84</v>
      </c>
      <c r="P4" s="417"/>
      <c r="Q4" s="681">
        <v>0</v>
      </c>
    </row>
    <row r="5" s="9278" customFormat="1" ht="22.5" hidden="1" customHeight="1">
      <c r="A5" s="1811"/>
      <c r="B5" s="1536">
        <v>1</v>
      </c>
      <c r="C5" s="1536"/>
      <c r="D5" s="971"/>
      <c r="E5" s="2083"/>
      <c r="F5" s="2083"/>
      <c r="G5" s="2083"/>
      <c r="H5" s="2094"/>
      <c r="I5" s="2099" t="s">
        <v>432</v>
      </c>
      <c r="J5" s="2092">
        <v>1</v>
      </c>
      <c r="K5" s="2082"/>
      <c r="L5" s="2082"/>
      <c r="M5" s="2082"/>
      <c r="N5" s="662"/>
      <c r="O5" s="1705"/>
      <c r="P5" s="1806"/>
      <c r="Q5" s="794">
        <v>0</v>
      </c>
    </row>
    <row r="6" s="9233" customFormat="1" ht="14.65" customHeight="1">
      <c r="A6" s="1325"/>
      <c r="B6" s="1330"/>
      <c r="C6" s="1325"/>
      <c r="D6" s="1665"/>
      <c r="E6" s="679"/>
      <c r="F6" s="679"/>
      <c r="G6" s="679"/>
      <c r="H6" s="679"/>
      <c r="I6" s="679"/>
      <c r="J6" s="679"/>
      <c r="K6" s="679"/>
      <c r="L6" s="679"/>
      <c r="M6" s="679"/>
      <c r="N6" s="1805"/>
      <c r="O6" s="417"/>
      <c r="P6" s="670"/>
      <c r="Q6" s="677">
        <v>14</v>
      </c>
    </row>
    <row r="7" s="9233" customFormat="1" ht="27.300000000000001" customHeight="1">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 xml:space="preserve">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r="8" s="9233" customFormat="1" ht="14.65" customHeight="1">
      <c r="A8" s="1325"/>
      <c r="B8" s="1330"/>
      <c r="C8" s="1325"/>
      <c r="D8" s="1665"/>
      <c r="E8" s="679"/>
      <c r="F8" s="337"/>
      <c r="G8" s="337"/>
      <c r="H8" s="337"/>
      <c r="I8" s="337"/>
      <c r="J8" s="337"/>
      <c r="K8" s="337"/>
      <c r="L8" s="337"/>
      <c r="M8" s="337"/>
      <c r="N8" s="786"/>
      <c r="O8" s="670"/>
      <c r="P8" s="670"/>
      <c r="Q8" s="677">
        <v>14</v>
      </c>
    </row>
    <row r="9" s="11696" customFormat="1" ht="14.25" hidden="1" customHeight="1">
      <c r="A9" s="1638"/>
      <c r="B9" s="1648"/>
      <c r="C9" s="1638"/>
      <c r="D9" s="1665"/>
      <c r="E9" s="2084"/>
      <c r="F9" s="2084"/>
      <c r="G9" s="2084"/>
      <c r="H9" s="2084"/>
      <c r="I9" s="2663"/>
      <c r="J9" s="2663"/>
      <c r="K9" s="2663"/>
      <c r="L9" s="2084"/>
      <c r="M9" s="2085"/>
      <c r="O9" s="1715"/>
      <c r="P9" s="1715"/>
      <c r="Q9" s="1716">
        <v>0</v>
      </c>
    </row>
    <row r="10" s="9233" customFormat="1" ht="14.65" customHeight="1">
      <c r="A10" s="1325"/>
      <c r="B10" s="1330"/>
      <c r="C10" s="1325"/>
      <c r="D10" s="1665"/>
      <c r="E10" s="2297" t="s">
        <v>307</v>
      </c>
      <c r="F10" s="2297"/>
      <c r="G10" s="2297"/>
      <c r="H10" s="2297"/>
      <c r="I10" s="2297"/>
      <c r="J10" s="2297"/>
      <c r="K10" s="2297"/>
      <c r="L10" s="2297"/>
      <c r="M10" s="2271"/>
      <c r="N10" s="2648" t="s">
        <v>308</v>
      </c>
      <c r="O10" s="670"/>
      <c r="P10" s="670"/>
      <c r="Q10" s="677">
        <v>14</v>
      </c>
    </row>
    <row r="11" s="9233" customFormat="1" ht="44.25" customHeight="1">
      <c r="A11" s="1801"/>
      <c r="B11" s="1536"/>
      <c r="C11" s="1801"/>
      <c r="D11" s="1685"/>
      <c r="E11" s="2662" t="s">
        <v>89</v>
      </c>
      <c r="F11" s="2662" t="s">
        <v>311</v>
      </c>
      <c r="G11" s="2662" t="s">
        <v>1888</v>
      </c>
      <c r="H11" s="2662"/>
      <c r="I11" s="2662" t="s">
        <v>1889</v>
      </c>
      <c r="J11" s="2662"/>
      <c r="K11" s="2662"/>
      <c r="L11" s="2662" t="s">
        <v>1890</v>
      </c>
      <c r="M11" s="2650" t="s">
        <v>1891</v>
      </c>
      <c r="N11" s="2661"/>
      <c r="O11" s="1794"/>
      <c r="P11" s="1794"/>
      <c r="Q11" s="1779">
        <v>42</v>
      </c>
    </row>
    <row r="12" s="9233" customFormat="1" ht="29.25" customHeight="1">
      <c r="A12" s="1325"/>
      <c r="B12" s="1330"/>
      <c r="C12" s="1325"/>
      <c r="D12" s="1665"/>
      <c r="E12" s="2648"/>
      <c r="F12" s="2662"/>
      <c r="G12" s="2079" t="s">
        <v>1892</v>
      </c>
      <c r="H12" s="2079" t="s">
        <v>315</v>
      </c>
      <c r="I12" s="2662"/>
      <c r="J12" s="2662"/>
      <c r="K12" s="2662"/>
      <c r="L12" s="2662"/>
      <c r="M12" s="2650"/>
      <c r="N12" s="2649"/>
      <c r="O12" s="670"/>
      <c r="P12" s="670"/>
      <c r="Q12" s="677">
        <v>28</v>
      </c>
    </row>
    <row r="13" s="9278" customFormat="1" ht="23.25" customHeight="1">
      <c r="A13" s="2269">
        <v>26379339</v>
      </c>
      <c r="B13" s="1330">
        <v>1</v>
      </c>
      <c r="C13" s="1330"/>
      <c r="D13" s="971"/>
      <c r="E13" s="2297">
        <v>1</v>
      </c>
      <c r="F13" s="2656" t="str">
        <f>IF(region_name="","",region_name)</f>
        <v xml:space="preserve">Еврейская автономная область</v>
      </c>
      <c r="G13" s="2657"/>
      <c r="H13" s="2664"/>
      <c r="I13" s="644"/>
      <c r="J13" s="2075">
        <v>1</v>
      </c>
      <c r="K13" s="2088"/>
      <c r="L13" s="2089"/>
      <c r="M13" s="2089"/>
      <c r="N13" s="2658" t="s">
        <v>1893</v>
      </c>
      <c r="O13" s="1705"/>
      <c r="P13" s="681"/>
      <c r="Q13" s="593">
        <v>22</v>
      </c>
    </row>
    <row r="14" s="9278" customFormat="1" ht="23.25" customHeight="1">
      <c r="A14" s="2269"/>
      <c r="B14" s="1330"/>
      <c r="C14" s="1330"/>
      <c r="D14" s="971"/>
      <c r="E14" s="2297"/>
      <c r="F14" s="2656"/>
      <c r="G14" s="2657"/>
      <c r="H14" s="2665"/>
      <c r="I14" s="591"/>
      <c r="J14" s="1670"/>
      <c r="K14" s="1670" t="s">
        <v>1887</v>
      </c>
      <c r="L14" s="1713"/>
      <c r="M14" s="1713"/>
      <c r="N14" s="2659"/>
      <c r="O14" s="1705"/>
      <c r="P14" s="681"/>
      <c r="Q14" s="593">
        <v>22</v>
      </c>
    </row>
    <row r="15" s="9278" customFormat="1" ht="23.25" customHeight="1">
      <c r="A15" s="2269"/>
      <c r="B15" s="1330"/>
      <c r="C15" s="582"/>
      <c r="D15" s="971"/>
      <c r="E15" s="591"/>
      <c r="F15" s="1670" t="s">
        <v>1879</v>
      </c>
      <c r="G15" s="1712"/>
      <c r="H15" s="1712"/>
      <c r="I15" s="357"/>
      <c r="J15" s="357"/>
      <c r="K15" s="357"/>
      <c r="L15" s="357"/>
      <c r="M15" s="357"/>
      <c r="N15" s="2659"/>
      <c r="O15" s="1706"/>
      <c r="P15" s="681"/>
      <c r="Q15" s="593">
        <v>22</v>
      </c>
    </row>
    <row r="16" s="9233" customFormat="1" ht="22" customHeight="1">
      <c r="A16" s="1325"/>
      <c r="B16" s="1330"/>
      <c r="C16" s="1325"/>
      <c r="D16" s="621"/>
      <c r="E16" s="350"/>
      <c r="F16" s="350"/>
      <c r="G16" s="350"/>
      <c r="H16" s="350"/>
      <c r="I16" s="350"/>
      <c r="J16" s="350"/>
      <c r="K16" s="350"/>
      <c r="L16" s="350"/>
      <c r="M16" s="679"/>
      <c r="N16" s="1805"/>
      <c r="O16" s="670"/>
      <c r="P16" s="670"/>
      <c r="Q16" s="677">
        <v>21</v>
      </c>
    </row>
    <row r="17" s="9233" customFormat="1" ht="14.65" customHeight="1">
      <c r="A17" s="1325"/>
      <c r="B17" s="1330"/>
      <c r="C17" s="1325"/>
      <c r="D17" s="621"/>
      <c r="E17" s="1325"/>
      <c r="F17" s="1325"/>
      <c r="G17" s="1325"/>
      <c r="H17" s="1325"/>
      <c r="I17" s="1325"/>
      <c r="J17" s="1325"/>
      <c r="K17" s="1325"/>
      <c r="L17" s="1325"/>
      <c r="M17" s="1325"/>
      <c r="N17" s="1801"/>
      <c r="O17" s="670"/>
      <c r="P17" s="670"/>
      <c r="Q17" s="677">
        <v>14</v>
      </c>
    </row>
    <row r="18" s="9233" customFormat="1" ht="1.05" customHeight="1">
      <c r="A18" s="1325"/>
      <c r="B18" s="1330"/>
      <c r="C18" s="1325"/>
      <c r="D18" s="621"/>
      <c r="E18" s="1325"/>
      <c r="F18" s="1325"/>
      <c r="G18" s="1325"/>
      <c r="H18" s="1325"/>
      <c r="I18" s="1325"/>
      <c r="J18" s="1325"/>
      <c r="K18" s="1325"/>
      <c r="L18" s="1325"/>
      <c r="M18" s="1325"/>
      <c r="N18" s="1801"/>
      <c r="O18" s="670"/>
      <c r="P18" s="670"/>
      <c r="Q18" s="677">
        <v>1</v>
      </c>
    </row>
    <row r="19" ht="22.5" hidden="1" customHeight="1">
      <c r="A19" s="1325" t="s">
        <v>83</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autoFilter="0" deleteColumns="1" deleteRows="1" formatColumns="0" formatRows="0" insertColumns="1" insertRows="1" sheet="1" sort="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0A00AB-00C0-4538-9BAC-00FB006900B7}"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 showErrorMessage="1" showInputMessage="1">
          <x14:formula1>
            <xm:f>900</xm:f>
          </x14:formula1>
          <xm:sqref>M4</xm:sqref>
        </x14:dataValidation>
        <x14:dataValidation xr:uid="{00F300B5-0071-49D8-9877-005100A50082}"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L4</xm:sqref>
        </x14:dataValidation>
      </x14:dataValidations>
    </ext>
  </extLs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EAEBEE"/>
    <pageSetUpPr fitToPage="1"/>
  </sheetPr>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defaultRowHeight="14.25" customHeight="1"/>
  <cols>
    <col hidden="1" min="1" max="1" style="9697" width="9.140625"/>
    <col hidden="1" min="2" max="2" style="11442" width="9.140625"/>
    <col customWidth="1" min="3" max="3" style="11736" width="3.00390625"/>
    <col customWidth="1" min="4" max="4" style="11442" width="6.00390625"/>
    <col customWidth="1" min="5" max="5" style="11442" width="22.00390625"/>
    <col customWidth="1" min="6" max="6" style="11442" width="15.00390625"/>
    <col customWidth="1" min="7" max="7" style="11442" width="14.00390625"/>
    <col customWidth="1" min="8" max="8" style="11442" width="47.00390625"/>
    <col customWidth="1" min="9" max="9" style="11442" width="115.00390625"/>
    <col customWidth="1" min="10" max="10" style="11442" width="3.00390625"/>
    <col customWidth="1" min="11" max="12" style="11442" width="8.00390625"/>
    <col hidden="1" min="13" max="13" style="11442" width="9.140625"/>
  </cols>
  <sheetData>
    <row r="1" ht="14.25" hidden="1" customHeight="1">
      <c r="M1" s="291" t="s">
        <v>14</v>
      </c>
    </row>
    <row r="2" ht="14.25" hidden="1" customHeight="1">
      <c r="M2" s="291">
        <v>0</v>
      </c>
    </row>
    <row r="3" ht="14.25" hidden="1" customHeight="1">
      <c r="M3" s="291">
        <v>0</v>
      </c>
    </row>
    <row r="4" ht="3" customHeight="1">
      <c r="M4" s="291">
        <v>3</v>
      </c>
    </row>
    <row r="5" s="9138" customFormat="1" ht="31.5" customHeight="1">
      <c r="A5" s="285"/>
      <c r="C5" s="260"/>
      <c r="D5" s="2270" t="s">
        <v>1894</v>
      </c>
      <c r="E5" s="2270"/>
      <c r="F5" s="2270"/>
      <c r="G5" s="2270"/>
      <c r="H5" s="2270"/>
      <c r="I5" s="435"/>
      <c r="M5" s="253">
        <v>30</v>
      </c>
    </row>
    <row r="6" ht="3" hidden="1" customHeight="1">
      <c r="D6" s="292"/>
      <c r="E6" s="292"/>
      <c r="F6" s="292"/>
      <c r="G6" s="292"/>
      <c r="H6" s="292"/>
      <c r="I6" s="292"/>
      <c r="M6" s="291">
        <v>0</v>
      </c>
    </row>
    <row r="7" s="9697" customFormat="1" ht="14.65" customHeight="1">
      <c r="B7" s="289"/>
      <c r="C7" s="290"/>
      <c r="D7" s="293"/>
      <c r="E7" s="293"/>
      <c r="F7" s="293"/>
      <c r="G7" s="293"/>
      <c r="H7" s="922"/>
      <c r="I7" s="293"/>
      <c r="J7" s="294"/>
      <c r="M7" s="288">
        <v>14</v>
      </c>
    </row>
    <row r="8" ht="14.65" customHeight="1">
      <c r="D8" s="2379" t="s">
        <v>307</v>
      </c>
      <c r="E8" s="2379"/>
      <c r="F8" s="2379"/>
      <c r="G8" s="2379"/>
      <c r="H8" s="2379"/>
      <c r="I8" s="2379" t="s">
        <v>308</v>
      </c>
      <c r="M8" s="291">
        <v>14</v>
      </c>
    </row>
    <row r="9" ht="29.25" customHeight="1">
      <c r="D9" s="2379" t="s">
        <v>89</v>
      </c>
      <c r="E9" s="2379" t="s">
        <v>1895</v>
      </c>
      <c r="F9" s="2379"/>
      <c r="G9" s="2379"/>
      <c r="H9" s="2379"/>
      <c r="I9" s="2379"/>
      <c r="M9" s="291">
        <v>28</v>
      </c>
    </row>
    <row r="10" ht="24" customHeight="1">
      <c r="D10" s="2379"/>
      <c r="E10" s="297" t="s">
        <v>1896</v>
      </c>
      <c r="F10" s="297" t="s">
        <v>1897</v>
      </c>
      <c r="G10" s="297" t="s">
        <v>1898</v>
      </c>
      <c r="H10" s="297" t="s">
        <v>397</v>
      </c>
      <c r="I10" s="2379"/>
      <c r="M10" s="291">
        <v>23</v>
      </c>
    </row>
    <row r="11" ht="12" hidden="1" customHeight="1">
      <c r="D11" s="257" t="s">
        <v>110</v>
      </c>
      <c r="E11" s="257" t="s">
        <v>92</v>
      </c>
      <c r="F11" s="257" t="s">
        <v>112</v>
      </c>
      <c r="G11" s="257" t="s">
        <v>93</v>
      </c>
      <c r="H11" s="257" t="s">
        <v>94</v>
      </c>
      <c r="I11" s="257" t="s">
        <v>100</v>
      </c>
      <c r="M11" s="291">
        <v>0</v>
      </c>
    </row>
    <row r="12" s="11442" customFormat="1" ht="26.25" customHeight="1">
      <c r="A12" s="315" t="s">
        <v>91</v>
      </c>
      <c r="B12" s="295" t="s">
        <v>28</v>
      </c>
      <c r="C12" s="296"/>
      <c r="D12" s="298" t="s">
        <v>110</v>
      </c>
      <c r="E12" s="551"/>
      <c r="F12" s="551"/>
      <c r="G12" s="1904" t="s">
        <v>28</v>
      </c>
      <c r="H12" s="552"/>
      <c r="I12" s="2339" t="s">
        <v>1899</v>
      </c>
      <c r="K12" s="442"/>
      <c r="L12" s="443"/>
      <c r="M12" s="287">
        <v>25</v>
      </c>
    </row>
    <row r="13" ht="15.75" customHeight="1">
      <c r="A13" s="291"/>
      <c r="B13" s="291"/>
      <c r="C13" s="291"/>
      <c r="D13" s="279"/>
      <c r="E13" s="300" t="s">
        <v>474</v>
      </c>
      <c r="F13" s="299"/>
      <c r="G13" s="299"/>
      <c r="H13" s="384"/>
      <c r="I13" s="2341"/>
      <c r="M13" s="291">
        <v>15</v>
      </c>
    </row>
    <row r="14" ht="3" customHeight="1">
      <c r="A14" s="291"/>
      <c r="B14" s="291"/>
      <c r="C14" s="291"/>
      <c r="M14" s="291">
        <v>3</v>
      </c>
    </row>
    <row r="15" ht="29.25" customHeight="1">
      <c r="E15" s="2666" t="s">
        <v>1900</v>
      </c>
      <c r="F15" s="2666"/>
      <c r="G15" s="2666"/>
      <c r="H15" s="2666"/>
      <c r="M15" s="291">
        <v>28</v>
      </c>
    </row>
    <row r="16" ht="14.25" hidden="1" customHeight="1">
      <c r="A16" s="288" t="s">
        <v>83</v>
      </c>
      <c r="B16" s="289">
        <v>0</v>
      </c>
      <c r="C16" s="290">
        <v>3</v>
      </c>
      <c r="D16" s="291">
        <v>6</v>
      </c>
      <c r="E16" s="291">
        <v>22</v>
      </c>
      <c r="F16" s="291">
        <v>15</v>
      </c>
      <c r="G16" s="291">
        <v>14</v>
      </c>
      <c r="H16" s="291">
        <v>47</v>
      </c>
      <c r="I16" s="291">
        <v>115</v>
      </c>
      <c r="J16" s="291">
        <v>3</v>
      </c>
      <c r="K16" s="291">
        <v>8</v>
      </c>
      <c r="L16" s="291">
        <v>8</v>
      </c>
      <c r="M16" s="291">
        <v>14</v>
      </c>
    </row>
  </sheetData>
  <sheetProtection autoFilter="0" deleteColumns="1" deleteRows="1" formatColumns="0" formatRows="0" insertColumns="1" insertRows="1" sheet="1" sort="1"/>
  <mergeCells count="7">
    <mergeCell ref="E15:H15"/>
    <mergeCell ref="D5:H5"/>
    <mergeCell ref="I12:I13"/>
    <mergeCell ref="D8:H8"/>
    <mergeCell ref="I8:I10"/>
    <mergeCell ref="E9:H9"/>
    <mergeCell ref="D9:D10"/>
  </mergeCells>
  <dataValidations count="1">
    <dataValidation sqref="G12"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s>
  <pageMargins left="0.24000000000000002" right="0.24000000000000002" top="0.24000000000000002" bottom="0.24000000000000002" header="0.24000000000000002" footer="0.24000000000000002"/>
  <pageSetup paperSize="9" scale="70" fitToHeight="0" pageOrder="downThenOver" orientation="landscape"/>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2">
        <x14:dataValidation xr:uid="{0057003D-003C-4BB9-9E04-0024002400B6}"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H12</xm:sqref>
        </x14:dataValidation>
        <x14:dataValidation xr:uid="{002F0083-002E-4A78-B4C7-00FC008C0012}" type="textLength" allowBlank="1" error="Допускается ввод не более 900 символов!" errorTitle="Ошибка" operator="lessThanOrEqual" showErrorMessage="1" showInputMessage="1">
          <x14:formula1>
            <xm:f>900</xm:f>
          </x14:formula1>
          <xm:sqref>E12:F12</xm:sqref>
        </x14:dataValidation>
      </x14:dataValidations>
    </ext>
  </extLst>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tabSelected="1"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defaultRowHeight="14.25" customHeight="1"/>
  <cols>
    <col hidden="1" min="1" max="2" style="11755" width="9.140625"/>
    <col customWidth="1" min="3" max="3" style="11756" width="3.00390625"/>
    <col customWidth="1" min="4" max="4" style="11755" width="6.00390625"/>
    <col customWidth="1" min="5" max="5" style="11755" width="94.00390625"/>
    <col customWidth="1" min="6" max="9" style="11755" width="8.00390625"/>
    <col hidden="1" min="10" max="10" style="11755" width="9.140625"/>
  </cols>
  <sheetData>
    <row r="1" ht="14.25" hidden="1" customHeight="1">
      <c r="J1" s="239" t="s">
        <v>14</v>
      </c>
    </row>
    <row r="2" ht="14.25" hidden="1" customHeight="1">
      <c r="J2" s="239">
        <v>0</v>
      </c>
    </row>
    <row r="3" ht="14.25" hidden="1" customHeight="1">
      <c r="J3" s="239">
        <v>0</v>
      </c>
    </row>
    <row r="4" ht="14.25" hidden="1" customHeight="1">
      <c r="J4" s="239">
        <v>0</v>
      </c>
    </row>
    <row r="5" ht="14.25" hidden="1" customHeight="1">
      <c r="J5" s="239">
        <v>0</v>
      </c>
    </row>
    <row r="6" ht="3" customHeight="1">
      <c r="C6" s="262"/>
      <c r="D6" s="240"/>
      <c r="E6" s="240"/>
      <c r="J6" s="239">
        <v>3</v>
      </c>
    </row>
    <row r="7" ht="23.25" customHeight="1">
      <c r="C7" s="262"/>
      <c r="D7" s="2667" t="s">
        <v>1901</v>
      </c>
      <c r="E7" s="2668"/>
      <c r="F7" s="437"/>
      <c r="J7" s="239">
        <v>22</v>
      </c>
    </row>
    <row r="8" ht="3" customHeight="1">
      <c r="C8" s="262"/>
      <c r="D8" s="240"/>
      <c r="E8" s="240"/>
      <c r="J8" s="239">
        <v>3</v>
      </c>
    </row>
    <row r="9" ht="16.800000000000001" customHeight="1">
      <c r="C9" s="262"/>
      <c r="D9" s="275" t="s">
        <v>89</v>
      </c>
      <c r="E9" s="430" t="s">
        <v>1902</v>
      </c>
      <c r="J9" s="239">
        <v>16</v>
      </c>
    </row>
    <row r="10" ht="1.05" customHeight="1">
      <c r="C10" s="262"/>
      <c r="D10" s="257"/>
      <c r="E10" s="257"/>
      <c r="J10" s="239">
        <v>1</v>
      </c>
    </row>
    <row r="11" ht="11.25" hidden="1" customHeight="1">
      <c r="C11" s="262"/>
      <c r="D11" s="320">
        <v>0</v>
      </c>
      <c r="E11" s="431"/>
      <c r="J11" s="239">
        <v>0</v>
      </c>
    </row>
    <row r="12" ht="37.5" customHeight="1">
      <c r="C12" s="306"/>
      <c r="D12" s="283">
        <v>1</v>
      </c>
      <c r="E12" s="547" t="s">
        <v>1903</v>
      </c>
      <c r="J12" s="239">
        <v>15</v>
      </c>
    </row>
    <row r="13" ht="12.75" customHeight="1">
      <c r="C13" s="262"/>
      <c r="D13" s="432"/>
      <c r="E13" s="433" t="s">
        <v>1904</v>
      </c>
      <c r="J13" s="239">
        <v>12</v>
      </c>
    </row>
    <row r="14" ht="3" customHeight="1">
      <c r="J14" s="239">
        <v>3</v>
      </c>
    </row>
    <row r="15" ht="23.25" customHeight="1">
      <c r="C15" s="307"/>
      <c r="D15" s="2669" t="s">
        <v>1905</v>
      </c>
      <c r="E15" s="2669"/>
      <c r="F15" s="308"/>
      <c r="G15" s="308"/>
      <c r="H15" s="308"/>
      <c r="I15" s="308"/>
      <c r="J15" s="239">
        <v>22</v>
      </c>
    </row>
    <row r="16" ht="14.25" hidden="1" customHeight="1">
      <c r="A16" s="239" t="s">
        <v>83</v>
      </c>
      <c r="B16" s="239">
        <v>0</v>
      </c>
      <c r="C16" s="261">
        <v>3</v>
      </c>
      <c r="D16" s="239">
        <v>6</v>
      </c>
      <c r="E16" s="239">
        <v>94</v>
      </c>
      <c r="F16" s="239">
        <v>8</v>
      </c>
      <c r="G16" s="239">
        <v>8</v>
      </c>
      <c r="H16" s="239">
        <v>8</v>
      </c>
      <c r="I16" s="239">
        <v>8</v>
      </c>
      <c r="J16" s="239">
        <v>14</v>
      </c>
    </row>
  </sheetData>
  <sheetProtection autoFilter="0" deleteColumns="1" deleteRows="1" formatColumns="0" formatRows="0" insertColumns="1" insertRows="1" sheet="1" sort="1"/>
  <mergeCells count="2">
    <mergeCell ref="D7:E7"/>
    <mergeCell ref="D15:E15"/>
  </mergeCells>
  <pageMargins left="0.75" right="0.75" top="1" bottom="1" header="0.5" footer="0.5"/>
  <pageSetup paperSize="9" scale="94"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C000D9-00DD-413E-BC21-0032007E0097}" type="textLength" allowBlank="1" error="Допускается ввод не более 900 символов!" errorTitle="Ошибка" operator="lessThanOrEqual" showErrorMessage="1" showInputMessage="1">
          <x14:formula1>
            <xm:f>900</xm:f>
          </x14:formula1>
          <xm:sqref>E11:E12</xm:sqref>
        </x14:dataValidation>
      </x14:dataValidations>
    </ext>
  </extLst>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pageSetUpPr fitToPage="1"/>
  </sheetPr>
  <sheetViews>
    <sheetView showGridLines="0" topLeftCell="C6" zoomScale="90" workbookViewId="0">
      <selection activeCell="A1" sqref="A1"/>
    </sheetView>
  </sheetViews>
  <sheetFormatPr defaultColWidth="9.140625" defaultRowHeight="14.25" customHeight="1"/>
  <cols>
    <col hidden="1" min="1" max="2" style="11755" width="9.140625"/>
    <col customWidth="1" min="3" max="3" style="11756" width="3.00390625"/>
    <col customWidth="1" min="4" max="4" style="11755" width="6.00390625"/>
    <col customWidth="1" min="5" max="5" style="11755" width="94.00390625"/>
    <col customWidth="1" min="6" max="12" style="11755" width="8.00390625"/>
    <col hidden="1" min="13" max="13" style="11755" width="9.140625"/>
  </cols>
  <sheetData>
    <row r="1" ht="14.25" hidden="1" customHeight="1">
      <c r="L1" s="434"/>
      <c r="M1" s="239" t="s">
        <v>14</v>
      </c>
    </row>
    <row r="2" ht="14.25" hidden="1" customHeight="1">
      <c r="M2" s="239">
        <v>0</v>
      </c>
    </row>
    <row r="3" ht="14.25" hidden="1" customHeight="1">
      <c r="M3" s="239">
        <v>0</v>
      </c>
    </row>
    <row r="4" ht="14.25" hidden="1" customHeight="1">
      <c r="M4" s="239">
        <v>0</v>
      </c>
    </row>
    <row r="5" ht="14.25" hidden="1" customHeight="1">
      <c r="M5" s="239">
        <v>0</v>
      </c>
    </row>
    <row r="6" ht="3" customHeight="1">
      <c r="C6" s="262"/>
      <c r="D6" s="240"/>
      <c r="E6" s="240"/>
      <c r="M6" s="239">
        <v>3</v>
      </c>
    </row>
    <row r="7" ht="23.25" customHeight="1">
      <c r="C7" s="262"/>
      <c r="D7" s="2270" t="s">
        <v>1906</v>
      </c>
      <c r="E7" s="2270"/>
      <c r="F7" s="437"/>
      <c r="M7" s="239">
        <v>22</v>
      </c>
    </row>
    <row r="8" ht="3" customHeight="1">
      <c r="C8" s="262"/>
      <c r="D8" s="240"/>
      <c r="E8" s="240"/>
      <c r="M8" s="239">
        <v>3</v>
      </c>
    </row>
    <row r="9" ht="16.800000000000001" customHeight="1">
      <c r="C9" s="262"/>
      <c r="D9" s="275" t="s">
        <v>89</v>
      </c>
      <c r="E9" s="278" t="s">
        <v>294</v>
      </c>
      <c r="M9" s="239">
        <v>16</v>
      </c>
    </row>
    <row r="10" ht="12.75" customHeight="1">
      <c r="C10" s="262"/>
      <c r="D10" s="257" t="s">
        <v>110</v>
      </c>
      <c r="E10" s="257" t="s">
        <v>111</v>
      </c>
      <c r="M10" s="239">
        <v>12</v>
      </c>
    </row>
    <row r="11" ht="15" hidden="1" customHeight="1">
      <c r="C11" s="262"/>
      <c r="D11" s="283">
        <v>0</v>
      </c>
      <c r="E11" s="319"/>
      <c r="M11" s="239">
        <v>0</v>
      </c>
    </row>
    <row r="12" ht="14.65" customHeight="1">
      <c r="C12" s="262"/>
      <c r="D12" s="279"/>
      <c r="E12" s="277" t="s">
        <v>1904</v>
      </c>
      <c r="M12" s="239">
        <v>14</v>
      </c>
    </row>
    <row r="13" ht="14.25" hidden="1" customHeight="1">
      <c r="A13" s="239" t="s">
        <v>83</v>
      </c>
      <c r="B13" s="239">
        <v>0</v>
      </c>
      <c r="C13" s="261">
        <v>3</v>
      </c>
      <c r="D13" s="239">
        <v>6</v>
      </c>
      <c r="E13" s="239">
        <v>94</v>
      </c>
      <c r="F13" s="239">
        <v>8</v>
      </c>
      <c r="G13" s="239">
        <v>8</v>
      </c>
      <c r="H13" s="239">
        <v>8</v>
      </c>
      <c r="I13" s="239">
        <v>8</v>
      </c>
      <c r="J13" s="239">
        <v>8</v>
      </c>
      <c r="K13" s="239">
        <v>8</v>
      </c>
      <c r="L13" s="239">
        <v>8</v>
      </c>
      <c r="M13" s="239">
        <v>14</v>
      </c>
    </row>
  </sheetData>
  <sheetProtection autoFilter="0" deleteColumns="1" deleteRows="1" formatColumns="0" formatRows="0" insertColumns="1" insertRows="1" sheet="1" sort="1"/>
  <mergeCells count="1">
    <mergeCell ref="D7:E7"/>
  </mergeCells>
  <pageMargins left="0.75" right="0.75" top="1" bottom="1" header="0.5" footer="0.5"/>
  <pageSetup paperSize="9" scale="94"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
        <x14:dataValidation xr:uid="{0051004E-008C-439B-AFA3-00D7002A0082}" type="textLength" allowBlank="1" error="Допускается ввод не более 900 символов!" errorTitle="Ошибка" operator="lessThanOrEqual" showErrorMessage="1" showInputMessage="1">
          <x14:formula1>
            <xm:f>900</xm:f>
          </x14:formula1>
          <xm:sqref>E11</xm:sqref>
        </x14:dataValidation>
      </x14:dataValidations>
    </ext>
  </extLst>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31"/>
  </sheetPr>
  <sheetViews>
    <sheetView showGridLines="0" topLeftCell="A1" zoomScale="90" workbookViewId="0">
      <selection activeCell="A1" sqref="A1"/>
    </sheetView>
  </sheetViews>
  <sheetFormatPr defaultColWidth="9.140625" defaultRowHeight="11.25" customHeight="1"/>
  <cols>
    <col customWidth="1" min="1" max="1" style="9278" width="1.7109375"/>
    <col customWidth="1" min="2" max="2" style="9278" width="34.57421875"/>
    <col customWidth="1" min="3" max="3" style="9278" width="85.00390625"/>
    <col customWidth="1" min="4" max="4" style="9278" width="17.00390625"/>
    <col customWidth="1" min="5" max="5" style="9278" width="8.00390625"/>
    <col hidden="1" min="6" max="6" style="9278" width="9.140625"/>
  </cols>
  <sheetData>
    <row r="1" ht="3" customHeight="1">
      <c r="F1" s="259" t="s">
        <v>14</v>
      </c>
    </row>
    <row r="2" ht="22.5" customHeight="1">
      <c r="B2" s="2783" t="s">
        <v>1907</v>
      </c>
      <c r="C2" s="2670"/>
      <c r="D2" s="2670"/>
      <c r="E2" s="438"/>
      <c r="F2" s="259">
        <v>22</v>
      </c>
    </row>
    <row r="3" ht="3" customHeight="1">
      <c r="F3" s="259">
        <v>3</v>
      </c>
    </row>
    <row r="4" ht="23.25" customHeight="1">
      <c r="B4" s="2784" t="s">
        <v>1908</v>
      </c>
      <c r="C4" s="553" t="s">
        <v>1909</v>
      </c>
      <c r="D4" s="553" t="s">
        <v>1910</v>
      </c>
      <c r="F4" s="259">
        <v>22</v>
      </c>
    </row>
    <row r="5" ht="11.25" hidden="1" customHeight="1">
      <c r="A5" s="259" t="s">
        <v>83</v>
      </c>
      <c r="B5" s="259">
        <v>34</v>
      </c>
      <c r="C5" s="259">
        <v>85</v>
      </c>
      <c r="D5" s="259">
        <v>17</v>
      </c>
      <c r="E5" s="259">
        <v>8</v>
      </c>
      <c r="F5" s="259">
        <v>11</v>
      </c>
    </row>
  </sheetData>
  <sheetProtection autoFilter="0" deleteColumns="1" deleteRows="1" formatColumns="0" formatRows="0" insertColumns="1" insertRows="1" sheet="1" sort="1"/>
  <autoFilter ref="B4:D4"/>
  <mergeCells count="1">
    <mergeCell ref="B2:D2"/>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zoomScale="85" workbookViewId="0">
      <selection activeCell="A1" sqref="A1"/>
    </sheetView>
  </sheetViews>
  <sheetFormatPr defaultColWidth="9.140625" defaultRowHeight="17.100000000000001" customHeight="1"/>
  <cols>
    <col customWidth="1" min="1" max="1" style="9278" width="26.57421875"/>
    <col customWidth="1" min="2" max="2" style="9278" width="10.00390625"/>
    <col min="3" max="3" style="9278" width="9.140625"/>
    <col customWidth="1" min="4" max="4" style="9278" width="11.140625"/>
    <col customWidth="1" min="5" max="5" style="9278" width="16.57421875"/>
    <col customWidth="1" min="6" max="6" style="9278" width="16.28125"/>
    <col customWidth="1" min="7" max="7" style="9278" width="19.140625"/>
    <col customWidth="1" min="8" max="11" style="9278" width="10.00390625"/>
    <col customWidth="1" min="12" max="12" style="9278" width="12.7109375"/>
    <col customWidth="1" min="13" max="13" style="9278" width="61.28125"/>
    <col customWidth="1" min="14" max="14" style="9278" width="10.00390625"/>
    <col customWidth="1" min="15" max="17" style="9278" width="23.7109375"/>
    <col customWidth="1" min="18" max="18" style="9278" width="11.7109375"/>
    <col customWidth="1" min="19" max="19" style="9278" width="8.57421875"/>
    <col customWidth="1" min="20" max="20" style="9278" width="11.7109375"/>
    <col customWidth="1" min="21" max="21" style="9278" width="8.57421875"/>
    <col customWidth="1" min="22" max="22" style="9278" width="4.7109375"/>
    <col customWidth="1" min="23" max="23" style="9278" width="115.7109375"/>
    <col customWidth="1" min="24" max="24" style="9278" width="115.28125"/>
    <col min="25" max="27" style="9278" width="9.140625"/>
    <col customWidth="1" min="28" max="28" style="9278" width="115.7109375"/>
    <col min="29" max="29" style="9278" width="9.140625"/>
    <col customWidth="1" min="30" max="90" style="9278" width="115.7109375"/>
    <col min="91" max="184" style="9278" width="9.140625"/>
  </cols>
  <sheetData>
    <row r="2" s="11766" customFormat="1" ht="17.25" customHeight="1">
      <c r="A2" s="1985" t="s">
        <v>1911</v>
      </c>
    </row>
    <row r="4" s="11755" customFormat="1" ht="15" customHeight="1">
      <c r="C4" s="1986"/>
      <c r="D4" s="283"/>
      <c r="E4" s="547"/>
    </row>
    <row r="6" s="11766" customFormat="1" ht="17.25" customHeight="1">
      <c r="A6" s="1985" t="s">
        <v>1912</v>
      </c>
    </row>
    <row r="8" s="11755" customFormat="1" ht="17.25" customHeight="1">
      <c r="C8" s="1987"/>
      <c r="D8" s="283"/>
      <c r="E8" s="284"/>
    </row>
    <row r="11" s="11766" customFormat="1" ht="17.25" customHeight="1">
      <c r="A11" s="1985" t="s">
        <v>1913</v>
      </c>
    </row>
    <row r="13" s="9233" customFormat="1" ht="15" customHeight="1">
      <c r="A13" s="2387">
        <v>1</v>
      </c>
      <c r="B13" s="1330"/>
      <c r="C13" s="971" t="s">
        <v>432</v>
      </c>
      <c r="D13" s="1988"/>
      <c r="E13" s="1975">
        <f>A13</f>
        <v>1</v>
      </c>
      <c r="F13" s="974"/>
      <c r="G13" s="710" t="str">
        <f>"Территория "&amp;E13</f>
        <v xml:space="preserve">Территория 1</v>
      </c>
      <c r="H13" s="962"/>
      <c r="I13" s="962"/>
      <c r="J13" s="959"/>
      <c r="K13" s="1794"/>
      <c r="L13" s="1794"/>
      <c r="M13" s="1794"/>
      <c r="N13" s="396"/>
      <c r="O13" s="1794"/>
      <c r="P13" s="395"/>
      <c r="Q13" s="395"/>
      <c r="R13" s="395"/>
      <c r="S13" s="395"/>
    </row>
    <row r="14" s="9278" customFormat="1" ht="15" customHeight="1">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r="15" s="9278" customFormat="1" ht="15" customHeight="1">
      <c r="A15" s="2387"/>
      <c r="B15" s="1330"/>
      <c r="C15" s="582"/>
      <c r="D15" s="971"/>
      <c r="E15" s="591"/>
      <c r="F15" s="347"/>
      <c r="G15" s="585" t="s">
        <v>103</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766" customFormat="1" ht="17.25" customHeight="1">
      <c r="A17" s="1985" t="s">
        <v>1914</v>
      </c>
    </row>
    <row r="19" s="9278" customFormat="1" ht="15" customHeight="1">
      <c r="A19" s="2052"/>
      <c r="B19" s="1536">
        <v>1</v>
      </c>
      <c r="C19" s="1536"/>
      <c r="D19" s="970" t="s">
        <v>432</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9278" customFormat="1" ht="15" customHeight="1">
      <c r="A21" s="1985" t="s">
        <v>1915</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r="22" s="9278" customFormat="1" ht="15" customHeight="1">
      <c r="U22" s="355"/>
    </row>
    <row r="23" s="9344" customFormat="1" ht="15" customHeight="1">
      <c r="A23" s="593"/>
      <c r="B23" s="593"/>
      <c r="C23" s="1898" t="s">
        <v>432</v>
      </c>
      <c r="D23" s="2278" t="s">
        <v>110</v>
      </c>
      <c r="E23" s="2279"/>
      <c r="F23" s="2277" t="s">
        <v>19</v>
      </c>
      <c r="G23" s="2727"/>
      <c r="H23" s="2297">
        <v>1</v>
      </c>
      <c r="I23" s="2729" t="str">
        <f>IF(U23="","",INDEX(TERRITORY_MR_LIST,MATCH(U23,TERRITORY_LIST_ID,0)))</f>
        <v/>
      </c>
      <c r="J23" s="2277" t="s">
        <v>19</v>
      </c>
      <c r="K23" s="1002"/>
      <c r="L23" s="1952" t="s">
        <v>110</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r="24" s="9344" customFormat="1" ht="15" customHeight="1">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r="25" s="9344" customFormat="1" ht="15" customHeight="1">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r="26" s="9278" customFormat="1" ht="15" customHeight="1">
      <c r="U26" s="355"/>
    </row>
    <row r="27" s="9278" customFormat="1" ht="15" customHeight="1">
      <c r="A27" s="1985" t="s">
        <v>1916</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r="28" s="9278" customFormat="1" ht="15" customHeight="1">
      <c r="U28" s="355"/>
    </row>
    <row r="29" s="9344" customFormat="1" ht="15" customHeight="1">
      <c r="A29" s="593"/>
      <c r="B29" s="593"/>
      <c r="C29" s="346"/>
      <c r="D29" s="1991"/>
      <c r="E29" s="1991"/>
      <c r="F29" s="1991"/>
      <c r="G29" s="2731" t="s">
        <v>432</v>
      </c>
      <c r="H29" s="2273">
        <v>1</v>
      </c>
      <c r="I29" s="2732" t="str">
        <f>IF(U29="","",INDEX(TERRITORY_MR_LIST,MATCH(U29,TERRITORY_LIST_ID,0)))</f>
        <v/>
      </c>
      <c r="J29" s="2277" t="s">
        <v>19</v>
      </c>
      <c r="K29" s="1002"/>
      <c r="L29" s="1952" t="s">
        <v>110</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r="30" s="9344" customFormat="1" ht="15" customHeight="1">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r="31" s="9278" customFormat="1" ht="15" customHeight="1">
      <c r="U31" s="355"/>
    </row>
    <row r="32" s="9278" customFormat="1" ht="15" customHeight="1">
      <c r="A32" s="1985" t="s">
        <v>1917</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r="33" s="9278" customFormat="1" ht="15" customHeight="1">
      <c r="U33" s="355"/>
    </row>
    <row r="34" s="9344" customFormat="1" ht="15" customHeight="1">
      <c r="A34" s="593"/>
      <c r="B34" s="593"/>
      <c r="C34" s="346"/>
      <c r="D34" s="1991"/>
      <c r="E34" s="1991"/>
      <c r="F34" s="1991"/>
      <c r="G34" s="1991"/>
      <c r="H34" s="1991"/>
      <c r="I34" s="1991"/>
      <c r="J34" s="1991"/>
      <c r="K34" s="1969" t="s">
        <v>432</v>
      </c>
      <c r="L34" s="1899" t="s">
        <v>110</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r="35" s="9278" customFormat="1" ht="15" customHeight="1">
      <c r="U35" s="355"/>
    </row>
    <row r="36" s="9278" customFormat="1" ht="15" customHeight="1">
      <c r="U36" s="355"/>
    </row>
    <row r="37" s="11766" customFormat="1" ht="11.25" customHeight="1">
      <c r="A37" s="1985" t="s">
        <v>1918</v>
      </c>
    </row>
    <row r="38" ht="11.25" customHeight="1"/>
    <row r="39" s="9786" customFormat="1" ht="22.5" customHeight="1">
      <c r="A39" s="1961"/>
      <c r="B39" s="627"/>
      <c r="C39" s="1029"/>
      <c r="D39" s="610"/>
      <c r="E39" s="1030"/>
      <c r="F39" s="1982"/>
      <c r="G39" s="1992"/>
      <c r="H39" s="645"/>
    </row>
    <row r="40" ht="11.25" customHeight="1"/>
    <row r="41" s="11766" customFormat="1" ht="11.25" customHeight="1">
      <c r="A41" s="1985" t="s">
        <v>1919</v>
      </c>
    </row>
    <row r="42" ht="11.25" customHeight="1"/>
    <row r="43" s="9786" customFormat="1" ht="22.5" customHeight="1">
      <c r="A43" s="627"/>
      <c r="B43" s="627"/>
      <c r="C43" s="627"/>
      <c r="D43" s="610"/>
      <c r="E43" s="1030"/>
      <c r="F43" s="1031"/>
      <c r="G43" s="1992"/>
      <c r="H43" s="645"/>
    </row>
    <row r="44" ht="11.25" customHeight="1"/>
    <row r="45" s="11766" customFormat="1" ht="11.25" customHeight="1">
      <c r="A45" s="1985" t="s">
        <v>1920</v>
      </c>
    </row>
    <row r="46" ht="11.25" customHeight="1"/>
    <row r="47" s="9786" customFormat="1" ht="24" customHeight="1">
      <c r="A47" s="2372" t="s">
        <v>320</v>
      </c>
      <c r="B47" s="672"/>
      <c r="C47" s="2383"/>
      <c r="D47" s="615" t="str">
        <f>A47</f>
        <v>5.1</v>
      </c>
      <c r="E47" s="612" t="s">
        <v>321</v>
      </c>
      <c r="F47" s="2146" t="s">
        <v>313</v>
      </c>
      <c r="G47" s="614" t="s">
        <v>322</v>
      </c>
      <c r="H47" s="645"/>
      <c r="I47" s="1022"/>
    </row>
    <row r="48" s="9786" customFormat="1" ht="22.5" customHeight="1">
      <c r="A48" s="2372"/>
      <c r="B48" s="672"/>
      <c r="C48" s="2383"/>
      <c r="D48" s="610" t="str">
        <f>D47&amp;".1"</f>
        <v>5.1.1</v>
      </c>
      <c r="E48" s="609" t="s">
        <v>323</v>
      </c>
      <c r="F48" s="2147" t="s">
        <v>28</v>
      </c>
      <c r="G48" s="644"/>
      <c r="H48" s="645"/>
      <c r="I48" s="1022"/>
    </row>
    <row r="49" s="9786" customFormat="1" ht="22.5" customHeight="1">
      <c r="A49" s="2372"/>
      <c r="B49" s="672"/>
      <c r="C49" s="2383"/>
      <c r="D49" s="610" t="str">
        <f>D47&amp;".2"</f>
        <v>5.1.2</v>
      </c>
      <c r="E49" s="609" t="s">
        <v>324</v>
      </c>
      <c r="F49" s="1902" t="s">
        <v>28</v>
      </c>
      <c r="G49" s="614" t="s">
        <v>325</v>
      </c>
      <c r="H49" s="645"/>
      <c r="I49" s="1022"/>
    </row>
    <row r="50" s="9786" customFormat="1" ht="22.5" customHeight="1">
      <c r="A50" s="2372"/>
      <c r="B50" s="672"/>
      <c r="C50" s="2383"/>
      <c r="D50" s="610" t="str">
        <f>D47&amp;".3"</f>
        <v>5.1.3</v>
      </c>
      <c r="E50" s="609" t="s">
        <v>326</v>
      </c>
      <c r="F50" s="2147" t="s">
        <v>28</v>
      </c>
      <c r="G50" s="644"/>
      <c r="H50" s="645"/>
      <c r="I50" s="1022"/>
    </row>
    <row r="51" s="9786" customFormat="1" ht="22.5" customHeight="1">
      <c r="A51" s="2372"/>
      <c r="B51" s="672"/>
      <c r="C51" s="2383"/>
      <c r="D51" s="610" t="str">
        <f>D47&amp;".4"</f>
        <v>5.1.4</v>
      </c>
      <c r="E51" s="609" t="s">
        <v>327</v>
      </c>
      <c r="F51" s="2147" t="s">
        <v>28</v>
      </c>
      <c r="G51" s="614" t="s">
        <v>328</v>
      </c>
      <c r="H51" s="645"/>
      <c r="I51" s="1022"/>
    </row>
    <row r="54" s="11766" customFormat="1" ht="17.25" customHeight="1">
      <c r="A54" s="1985" t="s">
        <v>1921</v>
      </c>
    </row>
    <row r="56" s="9113" customFormat="1" ht="18.75" customHeight="1">
      <c r="A56" s="259"/>
      <c r="B56" s="1993"/>
      <c r="C56" s="1993"/>
      <c r="D56" s="1994"/>
      <c r="E56" s="1979"/>
      <c r="F56" s="1038">
        <v>13</v>
      </c>
      <c r="G56" s="1037"/>
      <c r="H56" s="963"/>
      <c r="I56" s="961"/>
      <c r="J56" s="690" t="s">
        <v>67</v>
      </c>
      <c r="K56" s="1995" t="s">
        <v>28</v>
      </c>
      <c r="L56" s="259"/>
      <c r="M56" s="1806"/>
      <c r="N56" s="1806"/>
      <c r="O56" s="1806"/>
      <c r="P56" s="686" t="s">
        <v>399</v>
      </c>
      <c r="Q56" s="686" t="s">
        <v>400</v>
      </c>
      <c r="R56" s="687" t="s">
        <v>401</v>
      </c>
      <c r="S56" s="1806" t="s">
        <v>402</v>
      </c>
      <c r="T56" s="1806"/>
      <c r="U56" s="1806"/>
      <c r="V56" s="1806"/>
    </row>
    <row r="58" s="11766" customFormat="1" ht="11.25" customHeight="1">
      <c r="A58" s="1985" t="s">
        <v>1922</v>
      </c>
    </row>
    <row r="60" s="9138" customFormat="1" ht="14.25" customHeight="1">
      <c r="C60" s="1858"/>
      <c r="D60" s="2039"/>
      <c r="E60" s="1947" t="s">
        <v>28</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388</v>
      </c>
      <c r="AQ60" s="1794" t="s">
        <v>388</v>
      </c>
      <c r="AR60" s="1806"/>
      <c r="AS60" s="1806"/>
    </row>
    <row r="62" s="11766" customFormat="1" ht="11.25" customHeight="1">
      <c r="A62" s="1985" t="s">
        <v>1923</v>
      </c>
    </row>
    <row r="64" s="11442" customFormat="1" ht="15" customHeight="1">
      <c r="A64" s="315" t="s">
        <v>91</v>
      </c>
      <c r="B64" s="295" t="s">
        <v>28</v>
      </c>
      <c r="C64" s="1996"/>
      <c r="D64" s="298"/>
      <c r="E64" s="551"/>
      <c r="F64" s="551"/>
      <c r="G64" s="1973"/>
      <c r="H64" s="1995"/>
      <c r="I64" s="1974"/>
      <c r="K64" s="442"/>
      <c r="L64" s="443"/>
    </row>
    <row r="66" s="11766" customFormat="1" ht="11.25" customHeight="1">
      <c r="A66" s="1985" t="s">
        <v>1924</v>
      </c>
    </row>
    <row r="68" s="9138" customFormat="1" ht="14.25" customHeight="1">
      <c r="A68" s="513"/>
      <c r="B68" s="1330"/>
      <c r="C68" s="546"/>
      <c r="D68" s="1980"/>
      <c r="E68" s="1056"/>
      <c r="F68" s="1995"/>
      <c r="G68" s="259"/>
      <c r="I68" s="1794"/>
      <c r="J68" s="1794"/>
    </row>
    <row r="70" s="11766" customFormat="1" ht="11.25" customHeight="1">
      <c r="A70" s="1985" t="s">
        <v>1925</v>
      </c>
    </row>
    <row r="72" s="9138" customFormat="1" ht="27" customHeight="1">
      <c r="A72" s="1336"/>
      <c r="B72" s="1336"/>
      <c r="C72" s="1336"/>
      <c r="D72" s="1330"/>
      <c r="E72" s="1997"/>
      <c r="F72" s="2751"/>
      <c r="G72" s="2752"/>
      <c r="H72" s="2753" t="s">
        <v>67</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67</v>
      </c>
      <c r="Z72" s="1978"/>
      <c r="AA72" s="1962">
        <v>1</v>
      </c>
      <c r="AB72" s="1412"/>
      <c r="AD72" s="1806" t="s">
        <v>1926</v>
      </c>
    </row>
    <row r="73" s="9138" customFormat="1" ht="10.5" customHeight="1">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1927</v>
      </c>
    </row>
    <row r="75" s="11766" customFormat="1" ht="11.25" customHeight="1">
      <c r="A75" s="1985" t="s">
        <v>1928</v>
      </c>
    </row>
    <row r="77" s="9138" customFormat="1" ht="27" customHeight="1">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1926</v>
      </c>
    </row>
    <row r="79" s="11766" customFormat="1" ht="11.25" customHeight="1">
      <c r="A79" s="1985" t="s">
        <v>1929</v>
      </c>
    </row>
    <row r="80" ht="17.25" customHeight="1"/>
    <row r="81" s="9138" customFormat="1" ht="21" customHeight="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r="82" s="9138" customFormat="1" ht="0.75" customHeight="1">
      <c r="A82" s="1336"/>
      <c r="B82" s="1336"/>
      <c r="C82" s="1336"/>
      <c r="D82" s="1330"/>
      <c r="E82" s="1340"/>
      <c r="F82" s="2706"/>
      <c r="G82" s="2685"/>
      <c r="H82" s="2710" t="s">
        <v>383</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r="83" s="9138" customFormat="1" ht="0.75" customHeight="1">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r="84" s="9138" customFormat="1" ht="0.75" customHeight="1">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r="85" s="9138" customFormat="1" ht="0.75" customHeight="1">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r="86" s="9138" customFormat="1" ht="0.75" customHeight="1">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r="87" s="9138" customFormat="1" ht="12" customHeight="1">
      <c r="A87" s="1336"/>
      <c r="B87" s="1336"/>
      <c r="C87" s="1336"/>
      <c r="D87" s="1330"/>
      <c r="E87" s="1340"/>
      <c r="F87" s="2707"/>
      <c r="G87" s="1360"/>
      <c r="H87" s="1360"/>
      <c r="I87" s="2705" t="s">
        <v>1930</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766" customFormat="1" ht="11.25" customHeight="1">
      <c r="A89" s="1985" t="s">
        <v>1931</v>
      </c>
    </row>
    <row r="91" s="9138" customFormat="1" ht="11.25" customHeight="1">
      <c r="A91" s="1336"/>
      <c r="B91" s="1336"/>
      <c r="C91" s="1336"/>
      <c r="D91" s="1330"/>
      <c r="E91" s="1340"/>
      <c r="F91" s="1999"/>
      <c r="G91" s="2000"/>
      <c r="H91" s="2000"/>
      <c r="I91" s="1934"/>
      <c r="J91" s="1934"/>
      <c r="K91" s="2001"/>
      <c r="L91" s="1934"/>
      <c r="M91" s="2000"/>
      <c r="N91" s="2678"/>
      <c r="O91" s="2761">
        <v>1</v>
      </c>
      <c r="P91" s="2680" t="s">
        <v>19</v>
      </c>
      <c r="Q91" s="2683" t="s">
        <v>28</v>
      </c>
      <c r="R91" s="2683" t="s">
        <v>28</v>
      </c>
      <c r="S91" s="2683" t="s">
        <v>28</v>
      </c>
      <c r="T91" s="2683" t="s">
        <v>28</v>
      </c>
      <c r="U91" s="2683" t="s">
        <v>28</v>
      </c>
      <c r="V91" s="2683" t="s">
        <v>28</v>
      </c>
      <c r="W91" s="2683" t="s">
        <v>28</v>
      </c>
      <c r="X91" s="2683" t="s">
        <v>28</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r="92" s="9138" customFormat="1" ht="11.25" customHeight="1">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r="93" s="9138" customFormat="1" ht="11.25" customHeight="1">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1932</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766" customFormat="1" ht="11.25" customHeight="1">
      <c r="A95" s="1985" t="s">
        <v>1933</v>
      </c>
    </row>
    <row r="97" s="9138" customFormat="1" ht="11.25" customHeight="1">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766" customFormat="1" ht="11.25" customHeight="1">
      <c r="A99" s="1985" t="s">
        <v>1934</v>
      </c>
    </row>
    <row r="101" s="9138" customFormat="1" ht="11.25" customHeight="1">
      <c r="A101" s="1336"/>
      <c r="B101" s="1336"/>
      <c r="C101" s="1336"/>
      <c r="D101" s="1330"/>
      <c r="E101" s="1340"/>
      <c r="F101" s="1999"/>
      <c r="G101" s="2000"/>
      <c r="H101" s="2685" t="s">
        <v>110</v>
      </c>
      <c r="I101" s="2686"/>
      <c r="J101" s="2655"/>
      <c r="K101" s="2687"/>
      <c r="L101" s="2277" t="s">
        <v>19</v>
      </c>
      <c r="M101" s="2278"/>
      <c r="N101" s="2156"/>
      <c r="O101" s="1347" t="s">
        <v>383</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r="102" s="9138" customFormat="1" ht="11.25" customHeight="1">
      <c r="A102" s="1336"/>
      <c r="B102" s="1336"/>
      <c r="C102" s="1336"/>
      <c r="D102" s="1330"/>
      <c r="E102" s="1340"/>
      <c r="F102" s="1999"/>
      <c r="G102" s="2000"/>
      <c r="H102" s="2685"/>
      <c r="I102" s="2686"/>
      <c r="J102" s="2655"/>
      <c r="K102" s="2687"/>
      <c r="L102" s="2277"/>
      <c r="M102" s="2278"/>
      <c r="N102" s="2678"/>
      <c r="O102" s="2679">
        <v>1</v>
      </c>
      <c r="P102" s="2680" t="s">
        <v>19</v>
      </c>
      <c r="Q102" s="2683" t="s">
        <v>28</v>
      </c>
      <c r="R102" s="2683" t="s">
        <v>28</v>
      </c>
      <c r="S102" s="2683" t="s">
        <v>28</v>
      </c>
      <c r="T102" s="2683" t="s">
        <v>28</v>
      </c>
      <c r="U102" s="2683" t="s">
        <v>28</v>
      </c>
      <c r="V102" s="2683" t="s">
        <v>28</v>
      </c>
      <c r="W102" s="2683" t="s">
        <v>28</v>
      </c>
      <c r="X102" s="2683" t="s">
        <v>28</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r="103" s="9138" customFormat="1" ht="11.25" customHeight="1">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r="104" s="9138" customFormat="1" ht="11.25" customHeight="1">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1932</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r="105" s="9138" customFormat="1" ht="11.25" customHeight="1">
      <c r="A105" s="1336"/>
      <c r="B105" s="1336"/>
      <c r="C105" s="1336"/>
      <c r="D105" s="1330"/>
      <c r="E105" s="1340"/>
      <c r="F105" s="1999"/>
      <c r="G105" s="2000"/>
      <c r="H105" s="2685"/>
      <c r="I105" s="2686"/>
      <c r="J105" s="2655"/>
      <c r="K105" s="2687"/>
      <c r="L105" s="2277"/>
      <c r="M105" s="2278"/>
      <c r="N105" s="1345"/>
      <c r="O105" s="1346"/>
      <c r="P105" s="1338" t="s">
        <v>1935</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766" customFormat="1" ht="11.25" customHeight="1">
      <c r="A107" s="1985" t="s">
        <v>1936</v>
      </c>
    </row>
    <row r="108" ht="17.25" customHeight="1"/>
    <row r="109" s="11289" customFormat="1" ht="21" customHeight="1">
      <c r="A109" s="1337"/>
      <c r="B109" s="1110"/>
      <c r="D109" s="1094"/>
      <c r="E109" s="1109" t="s">
        <v>28</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r="110" s="11289" customFormat="1" ht="24.75" customHeight="1">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r="111" s="11289" customFormat="1" ht="12" customHeight="1">
      <c r="A111" s="1094"/>
      <c r="B111" s="1093"/>
      <c r="C111" s="1094"/>
      <c r="D111" s="1094"/>
      <c r="E111" s="1094"/>
      <c r="F111" s="1383"/>
      <c r="G111" s="1970" t="s">
        <v>1937</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766" customFormat="1" ht="11.25" customHeight="1">
      <c r="A113" s="1985" t="s">
        <v>1938</v>
      </c>
    </row>
    <row r="115" s="9278" customFormat="1" ht="15" customHeight="1">
      <c r="A115" s="793"/>
      <c r="B115" s="794"/>
      <c r="C115" s="794"/>
      <c r="D115" s="2748" t="s">
        <v>110</v>
      </c>
      <c r="E115" s="2547" t="s">
        <v>106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28</v>
      </c>
      <c r="AF115" s="800"/>
      <c r="AG115" s="801" t="s">
        <v>615</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r="116" s="9278" customFormat="1" ht="15" customHeight="1">
      <c r="A116" s="793"/>
      <c r="B116" s="794"/>
      <c r="C116" s="794"/>
      <c r="D116" s="2749"/>
      <c r="E116" s="2547" t="s">
        <v>570</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r="117" s="9278" customFormat="1" ht="15" customHeight="1">
      <c r="A117" s="793"/>
      <c r="B117" s="794"/>
      <c r="C117" s="794"/>
      <c r="D117" s="2749"/>
      <c r="E117" s="2547" t="s">
        <v>571</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r="118" s="9278" customFormat="1" ht="24.75" customHeight="1">
      <c r="A118" s="1976"/>
      <c r="B118" s="1330"/>
      <c r="C118" s="582"/>
      <c r="D118" s="2749"/>
      <c r="E118" s="2546" t="s">
        <v>616</v>
      </c>
      <c r="F118" s="2546"/>
      <c r="G118" s="2546"/>
      <c r="H118" s="2546"/>
      <c r="I118" s="2546"/>
      <c r="J118" s="2546"/>
      <c r="K118" s="2546"/>
      <c r="L118" s="2546"/>
      <c r="M118" s="2546"/>
      <c r="N118" s="2546"/>
      <c r="O118" s="2546"/>
      <c r="P118" s="2546"/>
      <c r="Q118" s="728">
        <f>SUMIF(T119:T120,"i",Q119:Q120)</f>
        <v>0</v>
      </c>
      <c r="R118" s="1187"/>
      <c r="S118" s="1968" t="s">
        <v>617</v>
      </c>
      <c r="T118" s="887" t="s">
        <v>618</v>
      </c>
      <c r="U118" s="2544">
        <v>1</v>
      </c>
      <c r="V118" s="2544" t="s">
        <v>581</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r="119" s="9278" customFormat="1" ht="11.25" hidden="1" customHeight="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r="120" s="9278" customFormat="1" ht="11.25" customHeight="1">
      <c r="A120" s="1976"/>
      <c r="B120" s="1330"/>
      <c r="C120" s="582"/>
      <c r="D120" s="2749"/>
      <c r="E120" s="819" t="s">
        <v>28</v>
      </c>
      <c r="F120" s="1338" t="s">
        <v>28</v>
      </c>
      <c r="G120" s="1338" t="s">
        <v>1939</v>
      </c>
      <c r="H120" s="821" t="s">
        <v>28</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r="121" s="9278" customFormat="1" ht="24.75" customHeight="1">
      <c r="A121" s="1976"/>
      <c r="B121" s="1330"/>
      <c r="C121" s="582"/>
      <c r="D121" s="2749"/>
      <c r="E121" s="2546" t="s">
        <v>619</v>
      </c>
      <c r="F121" s="2546"/>
      <c r="G121" s="2546"/>
      <c r="H121" s="2546"/>
      <c r="I121" s="2546"/>
      <c r="J121" s="2546"/>
      <c r="K121" s="2546"/>
      <c r="L121" s="2546"/>
      <c r="M121" s="2546"/>
      <c r="N121" s="2546"/>
      <c r="O121" s="2546"/>
      <c r="P121" s="2546"/>
      <c r="Q121" s="728">
        <f>SUMIF(T122:T123,"i",Q122:Q123)</f>
        <v>0</v>
      </c>
      <c r="R121" s="1187"/>
      <c r="S121" s="1968" t="s">
        <v>620</v>
      </c>
      <c r="T121" s="887" t="s">
        <v>618</v>
      </c>
      <c r="U121" s="2544">
        <v>1</v>
      </c>
      <c r="V121" s="2544" t="s">
        <v>581</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r="122" s="9278" customFormat="1" ht="11.25" hidden="1" customHeight="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r="123" s="9278" customFormat="1" ht="11.25" customHeight="1">
      <c r="A123" s="1976"/>
      <c r="B123" s="1330"/>
      <c r="C123" s="582"/>
      <c r="D123" s="2750"/>
      <c r="E123" s="819" t="s">
        <v>28</v>
      </c>
      <c r="F123" s="1338" t="s">
        <v>28</v>
      </c>
      <c r="G123" s="1338" t="s">
        <v>1939</v>
      </c>
      <c r="H123" s="821" t="s">
        <v>28</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766" customFormat="1" ht="11.25" customHeight="1">
      <c r="A125" s="1985" t="s">
        <v>1940</v>
      </c>
    </row>
    <row r="127" s="9278" customFormat="1" ht="15" customHeight="1">
      <c r="A127" s="793"/>
      <c r="B127" s="794"/>
      <c r="C127" s="794"/>
      <c r="D127" s="2748" t="s">
        <v>110</v>
      </c>
      <c r="E127" s="2547" t="s">
        <v>106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28</v>
      </c>
      <c r="AF127" s="800"/>
      <c r="AG127" s="801" t="s">
        <v>615</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r="128" s="9278" customFormat="1" ht="15" customHeight="1">
      <c r="A128" s="793"/>
      <c r="B128" s="794"/>
      <c r="C128" s="794"/>
      <c r="D128" s="2749"/>
      <c r="E128" s="2547" t="s">
        <v>570</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r="129" s="9278" customFormat="1" ht="15" customHeight="1">
      <c r="A129" s="793"/>
      <c r="B129" s="794"/>
      <c r="C129" s="794"/>
      <c r="D129" s="2749"/>
      <c r="E129" s="2547" t="s">
        <v>571</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r="130" s="9278" customFormat="1" ht="24.75" customHeight="1">
      <c r="A130" s="1976"/>
      <c r="B130" s="1330"/>
      <c r="C130" s="582"/>
      <c r="D130" s="2749"/>
      <c r="E130" s="2546" t="s">
        <v>616</v>
      </c>
      <c r="F130" s="2546"/>
      <c r="G130" s="2546"/>
      <c r="H130" s="2546"/>
      <c r="I130" s="2546"/>
      <c r="J130" s="2546"/>
      <c r="K130" s="2546"/>
      <c r="L130" s="2546"/>
      <c r="M130" s="2546"/>
      <c r="N130" s="2546"/>
      <c r="O130" s="2546"/>
      <c r="P130" s="2546"/>
      <c r="Q130" s="728">
        <f>SUMIF(T131:T132,"i",Q131:Q132)</f>
        <v>0</v>
      </c>
      <c r="R130" s="1187"/>
      <c r="S130" s="1968" t="s">
        <v>617</v>
      </c>
      <c r="T130" s="887" t="s">
        <v>618</v>
      </c>
      <c r="U130" s="2544">
        <v>1</v>
      </c>
      <c r="V130" s="2544" t="s">
        <v>581</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r="131" s="9278" customFormat="1" ht="11.25" hidden="1" customHeight="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r="132" s="9278" customFormat="1" ht="11.25" customHeight="1">
      <c r="A132" s="1976"/>
      <c r="B132" s="1330"/>
      <c r="C132" s="582"/>
      <c r="D132" s="2749"/>
      <c r="E132" s="819" t="s">
        <v>28</v>
      </c>
      <c r="F132" s="1338" t="s">
        <v>28</v>
      </c>
      <c r="G132" s="1338" t="s">
        <v>1939</v>
      </c>
      <c r="H132" s="821" t="s">
        <v>28</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r="133" s="9621" customFormat="1" ht="5.25" hidden="1" customHeight="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618</v>
      </c>
      <c r="U133" s="2544">
        <v>1</v>
      </c>
      <c r="V133" s="2544" t="s">
        <v>581</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r="134" s="9621" customFormat="1" ht="5.25" hidden="1" customHeight="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r="135" s="9621" customFormat="1" ht="5.25" hidden="1" customHeight="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r="136" ht="17.25" customHeight="1">
      <c r="D136" s="2006"/>
    </row>
    <row r="137" s="11766" customFormat="1" ht="11.25" customHeight="1">
      <c r="A137" s="1985" t="s">
        <v>1941</v>
      </c>
    </row>
    <row r="139" s="9278" customFormat="1" ht="45" customHeight="1">
      <c r="A139" s="1976"/>
      <c r="B139" s="1330"/>
      <c r="C139" s="582"/>
      <c r="D139" s="259"/>
      <c r="E139" s="2742"/>
      <c r="F139" s="2278" t="s">
        <v>110</v>
      </c>
      <c r="G139" s="2745" t="s">
        <v>28</v>
      </c>
      <c r="H139" s="459"/>
      <c r="I139" s="807" t="s">
        <v>110</v>
      </c>
      <c r="J139" s="1977" t="s">
        <v>1942</v>
      </c>
      <c r="K139" s="808" t="s">
        <v>552</v>
      </c>
      <c r="L139" s="2394" t="s">
        <v>552</v>
      </c>
      <c r="M139" s="2747"/>
      <c r="N139" s="808" t="s">
        <v>552</v>
      </c>
      <c r="O139" s="808" t="s">
        <v>552</v>
      </c>
      <c r="P139" s="808" t="s">
        <v>552</v>
      </c>
      <c r="Q139" s="809">
        <f>SUM(Q140:Q142)</f>
        <v>0</v>
      </c>
      <c r="R139" s="809">
        <f>IF(R136=0,0,(Q136/R136)*100)</f>
        <v>0</v>
      </c>
      <c r="S139" s="2349"/>
      <c r="T139" s="887" t="s">
        <v>618</v>
      </c>
      <c r="U139" s="259"/>
      <c r="V139" s="259"/>
      <c r="AC139" s="259"/>
    </row>
    <row r="140" s="9278" customFormat="1" ht="11.25" customHeight="1">
      <c r="A140" s="1976"/>
      <c r="B140" s="1330"/>
      <c r="C140" s="582"/>
      <c r="D140" s="259"/>
      <c r="E140" s="2743"/>
      <c r="F140" s="2278"/>
      <c r="G140" s="2745"/>
      <c r="H140" s="2297"/>
      <c r="I140" s="2685" t="s">
        <v>1027</v>
      </c>
      <c r="J140" s="2739"/>
      <c r="K140" s="2740"/>
      <c r="L140" s="810"/>
      <c r="M140" s="811" t="s">
        <v>110</v>
      </c>
      <c r="N140" s="1965"/>
      <c r="O140" s="812"/>
      <c r="P140" s="813"/>
      <c r="Q140" s="812"/>
      <c r="R140" s="814">
        <v>0</v>
      </c>
      <c r="S140" s="2349"/>
      <c r="T140" s="887"/>
      <c r="U140" s="259"/>
      <c r="V140" s="259"/>
      <c r="AC140" s="259"/>
    </row>
    <row r="141" s="9278" customFormat="1" ht="11.25" customHeight="1">
      <c r="A141" s="1976"/>
      <c r="B141" s="1330"/>
      <c r="C141" s="582"/>
      <c r="D141" s="259"/>
      <c r="E141" s="2743"/>
      <c r="F141" s="2278"/>
      <c r="G141" s="2745"/>
      <c r="H141" s="2297"/>
      <c r="I141" s="2685"/>
      <c r="J141" s="2739"/>
      <c r="K141" s="2741"/>
      <c r="L141" s="815"/>
      <c r="M141" s="816"/>
      <c r="N141" s="817" t="s">
        <v>1943</v>
      </c>
      <c r="O141" s="817"/>
      <c r="P141" s="817"/>
      <c r="Q141" s="817"/>
      <c r="R141" s="818"/>
      <c r="S141" s="2349"/>
      <c r="T141" s="887"/>
      <c r="U141" s="259"/>
      <c r="V141" s="259"/>
      <c r="AC141" s="259"/>
    </row>
    <row r="142" s="9278" customFormat="1" ht="11.25" customHeight="1">
      <c r="A142" s="1976"/>
      <c r="B142" s="1330"/>
      <c r="C142" s="582"/>
      <c r="D142" s="259"/>
      <c r="E142" s="2744"/>
      <c r="F142" s="2278"/>
      <c r="G142" s="2746"/>
      <c r="H142" s="815" t="s">
        <v>28</v>
      </c>
      <c r="I142" s="816"/>
      <c r="J142" s="817" t="s">
        <v>1944</v>
      </c>
      <c r="K142" s="817"/>
      <c r="L142" s="817"/>
      <c r="M142" s="817"/>
      <c r="N142" s="817"/>
      <c r="O142" s="817"/>
      <c r="P142" s="817"/>
      <c r="Q142" s="817"/>
      <c r="R142" s="818"/>
      <c r="S142" s="2349"/>
      <c r="T142" s="887"/>
      <c r="U142" s="259"/>
      <c r="V142" s="259"/>
      <c r="AC142" s="259"/>
    </row>
    <row r="147" s="9278" customFormat="1" ht="11.25" customHeight="1">
      <c r="A147" s="1976"/>
      <c r="B147" s="1330"/>
      <c r="C147" s="582"/>
      <c r="D147" s="259"/>
      <c r="E147" s="2000"/>
      <c r="F147" s="2000"/>
      <c r="G147" s="2000"/>
      <c r="H147" s="2297"/>
      <c r="I147" s="2685" t="s">
        <v>1027</v>
      </c>
      <c r="J147" s="2739"/>
      <c r="K147" s="2740"/>
      <c r="L147" s="810"/>
      <c r="M147" s="811" t="s">
        <v>110</v>
      </c>
      <c r="N147" s="1965"/>
      <c r="O147" s="812"/>
      <c r="P147" s="813"/>
      <c r="Q147" s="812"/>
      <c r="R147" s="814">
        <v>0</v>
      </c>
      <c r="S147" s="259"/>
      <c r="T147" s="887"/>
      <c r="U147" s="259"/>
      <c r="V147" s="259"/>
      <c r="AC147" s="259"/>
    </row>
    <row r="148" s="9278" customFormat="1" ht="11.25" customHeight="1">
      <c r="A148" s="1976"/>
      <c r="B148" s="1330"/>
      <c r="C148" s="582"/>
      <c r="D148" s="259"/>
      <c r="E148" s="2000"/>
      <c r="F148" s="2000"/>
      <c r="G148" s="2000"/>
      <c r="H148" s="2297"/>
      <c r="I148" s="2685"/>
      <c r="J148" s="2739"/>
      <c r="K148" s="2741"/>
      <c r="L148" s="815"/>
      <c r="M148" s="816"/>
      <c r="N148" s="817" t="s">
        <v>1943</v>
      </c>
      <c r="O148" s="817"/>
      <c r="P148" s="817"/>
      <c r="Q148" s="817"/>
      <c r="R148" s="818"/>
      <c r="S148" s="259"/>
      <c r="T148" s="887"/>
      <c r="U148" s="259"/>
      <c r="V148" s="259"/>
      <c r="AC148" s="259"/>
    </row>
    <row r="150" s="9278" customFormat="1" ht="11.25" customHeight="1">
      <c r="A150" s="1976"/>
      <c r="B150" s="1330"/>
      <c r="C150" s="582"/>
      <c r="D150" s="259"/>
      <c r="E150" s="2007"/>
      <c r="F150" s="2005"/>
      <c r="G150" s="2005"/>
      <c r="H150" s="2008"/>
      <c r="I150" s="2000"/>
      <c r="J150" s="2001"/>
      <c r="K150" s="2001"/>
      <c r="L150" s="810"/>
      <c r="M150" s="811" t="s">
        <v>110</v>
      </c>
      <c r="N150" s="1965"/>
      <c r="O150" s="812"/>
      <c r="P150" s="813"/>
      <c r="Q150" s="812"/>
      <c r="R150" s="814">
        <v>0</v>
      </c>
      <c r="S150" s="259"/>
      <c r="T150" s="887"/>
      <c r="U150" s="259"/>
      <c r="V150" s="259"/>
      <c r="AC150" s="259"/>
    </row>
    <row r="152" s="11766" customFormat="1" ht="17.25" customHeight="1">
      <c r="A152" s="1985" t="s">
        <v>1945</v>
      </c>
    </row>
    <row r="153" ht="17.25" customHeight="1">
      <c r="G153" s="2009"/>
      <c r="H153" s="2009"/>
      <c r="I153" s="2009"/>
      <c r="M153" s="2005"/>
    </row>
    <row r="154" s="9344" customFormat="1" ht="17.25" customHeight="1">
      <c r="A154" s="2010"/>
      <c r="C154" s="2012"/>
      <c r="D154" s="2699"/>
      <c r="E154" s="2313"/>
      <c r="F154" s="2315"/>
      <c r="G154" s="2701"/>
      <c r="H154" s="2699"/>
      <c r="I154" s="2699">
        <v>1</v>
      </c>
      <c r="J154" s="2671"/>
      <c r="K154" s="2355" t="s">
        <v>67</v>
      </c>
      <c r="L154" s="2278"/>
      <c r="M154" s="2278" t="s">
        <v>110</v>
      </c>
      <c r="N154" s="2674" t="str">
        <f>IF(Z154="","",INDEX(TERRITORY_MR_LIST,MATCH(Z154,TERRITORY_LIST_ID,0)))</f>
        <v/>
      </c>
      <c r="O154" s="2355" t="s">
        <v>67</v>
      </c>
      <c r="P154" s="2278"/>
      <c r="Q154" s="2278" t="s">
        <v>110</v>
      </c>
      <c r="R154" s="2672" t="s">
        <v>28</v>
      </c>
      <c r="S154" s="2277" t="s">
        <v>67</v>
      </c>
      <c r="T154" s="1981"/>
      <c r="U154" s="1981" t="s">
        <v>110</v>
      </c>
      <c r="V154" s="2013" t="s">
        <v>28</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r="155" s="9344" customFormat="1" ht="17.25" customHeight="1">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163</v>
      </c>
      <c r="W155" s="489"/>
      <c r="Y155" s="1429"/>
      <c r="Z155" s="1429"/>
      <c r="AA155" s="1429"/>
      <c r="AB155" s="1429"/>
      <c r="AC155" s="1429"/>
      <c r="AD155" s="1429"/>
      <c r="AE155" s="1429"/>
      <c r="AF155" s="1429"/>
      <c r="AG155" s="1429"/>
      <c r="AH155" s="1429"/>
      <c r="AI155" s="1429"/>
      <c r="AJ155" s="1429"/>
      <c r="AK155" s="1429"/>
    </row>
    <row r="156" s="9344" customFormat="1" ht="17.25" customHeight="1">
      <c r="A156" s="2010"/>
      <c r="C156" s="2015"/>
      <c r="D156" s="2673"/>
      <c r="E156" s="2700"/>
      <c r="F156" s="2316"/>
      <c r="G156" s="2702"/>
      <c r="H156" s="2673"/>
      <c r="I156" s="2673"/>
      <c r="J156" s="2703"/>
      <c r="K156" s="2356"/>
      <c r="L156" s="2673"/>
      <c r="M156" s="2673"/>
      <c r="N156" s="2675"/>
      <c r="O156" s="2282"/>
      <c r="P156" s="487"/>
      <c r="Q156" s="488"/>
      <c r="R156" s="488" t="s">
        <v>164</v>
      </c>
      <c r="S156" s="2016"/>
      <c r="T156" s="2016"/>
      <c r="U156" s="2016"/>
      <c r="V156" s="2016"/>
      <c r="W156" s="489"/>
      <c r="Y156" s="1429"/>
      <c r="Z156" s="1429"/>
      <c r="AA156" s="1429"/>
      <c r="AB156" s="1429"/>
      <c r="AC156" s="1429"/>
      <c r="AD156" s="1429"/>
      <c r="AE156" s="1429"/>
      <c r="AF156" s="1429"/>
      <c r="AG156" s="1429"/>
      <c r="AH156" s="1429"/>
      <c r="AI156" s="1429"/>
      <c r="AJ156" s="1429"/>
      <c r="AK156" s="1429"/>
    </row>
    <row r="157" s="9344" customFormat="1" ht="17.25" customHeight="1">
      <c r="A157" s="2010"/>
      <c r="C157" s="2015"/>
      <c r="D157" s="2673"/>
      <c r="E157" s="2700"/>
      <c r="F157" s="2316"/>
      <c r="G157" s="2702"/>
      <c r="H157" s="2673"/>
      <c r="I157" s="2673"/>
      <c r="J157" s="2703"/>
      <c r="K157" s="2282"/>
      <c r="L157" s="487"/>
      <c r="M157" s="488"/>
      <c r="N157" s="488" t="s">
        <v>165</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r="158" s="9344" customFormat="1" ht="17.25" customHeight="1">
      <c r="A158" s="2010"/>
      <c r="C158" s="2015"/>
      <c r="D158" s="2673"/>
      <c r="E158" s="2700"/>
      <c r="F158" s="2317"/>
      <c r="G158" s="2702"/>
      <c r="H158" s="487"/>
      <c r="I158" s="488"/>
      <c r="J158" s="488" t="s">
        <v>166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r="159" ht="17.25" customHeight="1">
      <c r="G159" s="2009"/>
      <c r="H159" s="2009"/>
      <c r="I159" s="2009"/>
      <c r="M159" s="2005"/>
    </row>
    <row r="160" s="9344" customFormat="1" ht="17.25" customHeight="1">
      <c r="A160" s="2010"/>
      <c r="C160" s="2012"/>
      <c r="D160" s="2000"/>
      <c r="E160" s="2017"/>
      <c r="F160" s="1954"/>
      <c r="G160" s="2018"/>
      <c r="H160" s="2699"/>
      <c r="I160" s="2699">
        <v>1</v>
      </c>
      <c r="J160" s="2671"/>
      <c r="K160" s="2355" t="s">
        <v>67</v>
      </c>
      <c r="L160" s="2278"/>
      <c r="M160" s="2278" t="s">
        <v>110</v>
      </c>
      <c r="N160" s="2674" t="str">
        <f>IF(Z160="","",INDEX(TERRITORY_MR_LIST,MATCH(Z160,TERRITORY_LIST_ID,0)))</f>
        <v/>
      </c>
      <c r="O160" s="2355" t="s">
        <v>67</v>
      </c>
      <c r="P160" s="2278"/>
      <c r="Q160" s="2278" t="s">
        <v>110</v>
      </c>
      <c r="R160" s="2672" t="s">
        <v>28</v>
      </c>
      <c r="S160" s="2277" t="s">
        <v>67</v>
      </c>
      <c r="T160" s="1981"/>
      <c r="U160" s="1981" t="s">
        <v>110</v>
      </c>
      <c r="V160" s="2013" t="s">
        <v>28</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r="161" s="9344" customFormat="1" ht="17.25" customHeight="1">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163</v>
      </c>
      <c r="W161" s="489"/>
      <c r="Y161" s="1429"/>
      <c r="Z161" s="1429"/>
      <c r="AA161" s="1429"/>
      <c r="AB161" s="1429"/>
      <c r="AC161" s="1429"/>
      <c r="AD161" s="1429"/>
      <c r="AE161" s="1429"/>
      <c r="AF161" s="1429"/>
      <c r="AG161" s="1429"/>
      <c r="AH161" s="1429"/>
      <c r="AI161" s="1429"/>
      <c r="AJ161" s="1429"/>
      <c r="AK161" s="1429"/>
    </row>
    <row r="162" s="9344" customFormat="1" ht="17.25" customHeight="1">
      <c r="A162" s="2010"/>
      <c r="C162" s="2015"/>
      <c r="D162" s="2000"/>
      <c r="E162" s="2017"/>
      <c r="F162" s="1954"/>
      <c r="G162" s="2018"/>
      <c r="H162" s="2673"/>
      <c r="I162" s="2673"/>
      <c r="J162" s="2703"/>
      <c r="K162" s="2356"/>
      <c r="L162" s="2673"/>
      <c r="M162" s="2673"/>
      <c r="N162" s="2675"/>
      <c r="O162" s="2282"/>
      <c r="P162" s="487"/>
      <c r="Q162" s="488"/>
      <c r="R162" s="488" t="s">
        <v>164</v>
      </c>
      <c r="S162" s="2016"/>
      <c r="T162" s="2016"/>
      <c r="U162" s="2016"/>
      <c r="V162" s="2016"/>
      <c r="W162" s="489"/>
      <c r="Y162" s="1429"/>
      <c r="Z162" s="1429"/>
      <c r="AA162" s="1429"/>
      <c r="AB162" s="1429"/>
      <c r="AC162" s="1429"/>
      <c r="AD162" s="1429"/>
      <c r="AE162" s="1429"/>
      <c r="AF162" s="1429"/>
      <c r="AG162" s="1429"/>
      <c r="AH162" s="1429"/>
      <c r="AI162" s="1429"/>
      <c r="AJ162" s="1429"/>
      <c r="AK162" s="1429"/>
    </row>
    <row r="163" s="9344" customFormat="1" ht="17.25" customHeight="1">
      <c r="A163" s="2010"/>
      <c r="C163" s="2015"/>
      <c r="D163" s="2000"/>
      <c r="E163" s="2017"/>
      <c r="F163" s="1954"/>
      <c r="G163" s="2018"/>
      <c r="H163" s="2673"/>
      <c r="I163" s="2673"/>
      <c r="J163" s="2703"/>
      <c r="K163" s="2282"/>
      <c r="L163" s="487"/>
      <c r="M163" s="488"/>
      <c r="N163" s="488" t="s">
        <v>165</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r="164" ht="17.25" customHeight="1">
      <c r="G164" s="2009"/>
      <c r="H164" s="2009"/>
      <c r="I164" s="2009"/>
      <c r="M164" s="2005"/>
    </row>
    <row r="165" s="9344" customFormat="1" ht="17.25" customHeight="1">
      <c r="A165" s="2010"/>
      <c r="C165" s="2012"/>
      <c r="D165" s="2000"/>
      <c r="E165" s="2017"/>
      <c r="F165" s="1954"/>
      <c r="G165" s="2018"/>
      <c r="H165" s="2000"/>
      <c r="I165" s="2000"/>
      <c r="J165" s="2019"/>
      <c r="K165" s="1930"/>
      <c r="L165" s="2278"/>
      <c r="M165" s="2278" t="s">
        <v>110</v>
      </c>
      <c r="N165" s="2674" t="str">
        <f>IF(Z165="","",INDEX(TERRITORY_MR_LIST,MATCH(Z165,TERRITORY_LIST_ID,0)))</f>
        <v/>
      </c>
      <c r="O165" s="2355" t="s">
        <v>67</v>
      </c>
      <c r="P165" s="2278"/>
      <c r="Q165" s="2278" t="s">
        <v>110</v>
      </c>
      <c r="R165" s="2672" t="s">
        <v>28</v>
      </c>
      <c r="S165" s="2277" t="s">
        <v>67</v>
      </c>
      <c r="T165" s="1981"/>
      <c r="U165" s="1981" t="s">
        <v>110</v>
      </c>
      <c r="V165" s="2013" t="s">
        <v>28</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r="166" s="9344" customFormat="1" ht="17.25" customHeight="1">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163</v>
      </c>
      <c r="W166" s="489"/>
      <c r="Y166" s="1429"/>
      <c r="Z166" s="1429"/>
      <c r="AA166" s="1429"/>
      <c r="AB166" s="1429"/>
      <c r="AC166" s="1429"/>
      <c r="AD166" s="1429"/>
      <c r="AE166" s="1429"/>
      <c r="AF166" s="1429"/>
      <c r="AG166" s="1429"/>
      <c r="AH166" s="1429"/>
      <c r="AI166" s="1429"/>
      <c r="AJ166" s="1429"/>
      <c r="AK166" s="1429"/>
    </row>
    <row r="167" s="9344" customFormat="1" ht="17.25" customHeight="1">
      <c r="A167" s="2010"/>
      <c r="C167" s="2015"/>
      <c r="D167" s="2000"/>
      <c r="E167" s="2017"/>
      <c r="F167" s="1954"/>
      <c r="G167" s="2018"/>
      <c r="H167" s="2000"/>
      <c r="I167" s="2000"/>
      <c r="J167" s="2019"/>
      <c r="K167" s="1930"/>
      <c r="L167" s="2673"/>
      <c r="M167" s="2673"/>
      <c r="N167" s="2675"/>
      <c r="O167" s="2282"/>
      <c r="P167" s="487"/>
      <c r="Q167" s="488"/>
      <c r="R167" s="488" t="s">
        <v>164</v>
      </c>
      <c r="S167" s="2016"/>
      <c r="T167" s="2016"/>
      <c r="U167" s="2016"/>
      <c r="V167" s="2016"/>
      <c r="W167" s="489"/>
      <c r="Y167" s="1429"/>
      <c r="Z167" s="1429"/>
      <c r="AA167" s="1429"/>
      <c r="AB167" s="1429"/>
      <c r="AC167" s="1429"/>
      <c r="AD167" s="1429"/>
      <c r="AE167" s="1429"/>
      <c r="AF167" s="1429"/>
      <c r="AG167" s="1429"/>
      <c r="AH167" s="1429"/>
      <c r="AI167" s="1429"/>
      <c r="AJ167" s="1429"/>
      <c r="AK167" s="1429"/>
    </row>
    <row r="168" ht="17.25" customHeight="1">
      <c r="G168" s="2009"/>
      <c r="H168" s="2009"/>
      <c r="I168" s="2009"/>
      <c r="M168" s="2005"/>
    </row>
    <row r="169" s="9344" customFormat="1" ht="17.25" customHeight="1">
      <c r="A169" s="2010"/>
      <c r="C169" s="2012"/>
      <c r="D169" s="2000"/>
      <c r="E169" s="2017"/>
      <c r="F169" s="1954"/>
      <c r="G169" s="2018"/>
      <c r="H169" s="2000"/>
      <c r="I169" s="2000"/>
      <c r="J169" s="2019"/>
      <c r="K169" s="1930"/>
      <c r="L169" s="1926"/>
      <c r="M169" s="1926"/>
      <c r="N169" s="2218"/>
      <c r="O169" s="1957"/>
      <c r="P169" s="2278"/>
      <c r="Q169" s="2278" t="s">
        <v>110</v>
      </c>
      <c r="R169" s="2672" t="s">
        <v>28</v>
      </c>
      <c r="S169" s="2277" t="s">
        <v>67</v>
      </c>
      <c r="T169" s="1981"/>
      <c r="U169" s="1981" t="s">
        <v>110</v>
      </c>
      <c r="V169" s="2013" t="s">
        <v>28</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r="170" s="9344" customFormat="1" ht="17.25" customHeight="1">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163</v>
      </c>
      <c r="W170" s="489"/>
      <c r="Y170" s="1429"/>
      <c r="Z170" s="1429"/>
      <c r="AA170" s="1429"/>
      <c r="AB170" s="1429"/>
      <c r="AC170" s="1429"/>
      <c r="AD170" s="1429"/>
      <c r="AE170" s="1429"/>
      <c r="AF170" s="1429"/>
      <c r="AG170" s="1429"/>
      <c r="AH170" s="1429"/>
      <c r="AI170" s="1429"/>
      <c r="AJ170" s="1429"/>
      <c r="AK170" s="1429"/>
    </row>
    <row r="171" ht="17.25" customHeight="1">
      <c r="G171" s="2009"/>
      <c r="H171" s="2009"/>
      <c r="I171" s="2009"/>
      <c r="M171" s="2005"/>
    </row>
    <row r="172" s="9344" customFormat="1" ht="17.25" customHeight="1">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110</v>
      </c>
      <c r="V172" s="2013" t="s">
        <v>28</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766" customFormat="1" ht="17.25" customHeight="1">
      <c r="A174" s="1985" t="s">
        <v>1946</v>
      </c>
    </row>
    <row r="175" ht="17.25" customHeight="1">
      <c r="G175" s="2009"/>
      <c r="H175" s="2009"/>
      <c r="I175" s="2009"/>
      <c r="M175" s="2005"/>
    </row>
    <row r="176" s="9344" customFormat="1" ht="17.25" customHeight="1">
      <c r="A176" s="2010"/>
      <c r="C176" s="2012"/>
      <c r="D176" s="2699"/>
      <c r="E176" s="2313"/>
      <c r="F176" s="2315"/>
      <c r="G176" s="2701"/>
      <c r="H176" s="2699"/>
      <c r="I176" s="2699">
        <v>1</v>
      </c>
      <c r="J176" s="2671"/>
      <c r="K176" s="2355" t="s">
        <v>67</v>
      </c>
      <c r="L176" s="2278"/>
      <c r="M176" s="2278" t="s">
        <v>110</v>
      </c>
      <c r="N176" s="2674" t="str">
        <f>IF(Z176="","",INDEX(TERRITORY_MR_LIST,MATCH(Z176,TERRITORY_LIST_ID,0)))</f>
        <v/>
      </c>
      <c r="O176" s="2355" t="s">
        <v>67</v>
      </c>
      <c r="P176" s="2278"/>
      <c r="Q176" s="2278" t="s">
        <v>110</v>
      </c>
      <c r="R176" s="2672" t="s">
        <v>28</v>
      </c>
      <c r="S176" s="2576" t="s">
        <v>19</v>
      </c>
      <c r="T176" s="1972"/>
      <c r="U176" s="1972" t="s">
        <v>110</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r="177" s="9344" customFormat="1" ht="17.25" customHeight="1">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r="178" s="9344" customFormat="1" ht="17.25" customHeight="1">
      <c r="A178" s="2010"/>
      <c r="C178" s="2015"/>
      <c r="D178" s="2673"/>
      <c r="E178" s="2700"/>
      <c r="F178" s="2316"/>
      <c r="G178" s="2702"/>
      <c r="H178" s="2673"/>
      <c r="I178" s="2673"/>
      <c r="J178" s="2703"/>
      <c r="K178" s="2356"/>
      <c r="L178" s="2673"/>
      <c r="M178" s="2673"/>
      <c r="N178" s="2675"/>
      <c r="O178" s="2282"/>
      <c r="P178" s="487"/>
      <c r="Q178" s="488"/>
      <c r="R178" s="488" t="s">
        <v>164</v>
      </c>
      <c r="S178" s="2016"/>
      <c r="T178" s="2016"/>
      <c r="U178" s="2016"/>
      <c r="V178" s="2016"/>
      <c r="W178" s="1603"/>
      <c r="Y178" s="1429"/>
      <c r="Z178" s="1429"/>
      <c r="AA178" s="1429"/>
      <c r="AB178" s="1429"/>
      <c r="AC178" s="1429"/>
      <c r="AD178" s="1429"/>
      <c r="AE178" s="1429"/>
      <c r="AF178" s="1429"/>
      <c r="AG178" s="1429"/>
      <c r="AH178" s="1429"/>
      <c r="AI178" s="1429"/>
      <c r="AJ178" s="1429"/>
      <c r="AK178" s="1429"/>
    </row>
    <row r="179" s="9344" customFormat="1" ht="17.25" customHeight="1">
      <c r="A179" s="2010"/>
      <c r="C179" s="2015"/>
      <c r="D179" s="2673"/>
      <c r="E179" s="2700"/>
      <c r="F179" s="2316"/>
      <c r="G179" s="2702"/>
      <c r="H179" s="2673"/>
      <c r="I179" s="2673"/>
      <c r="J179" s="2703"/>
      <c r="K179" s="2282"/>
      <c r="L179" s="487"/>
      <c r="M179" s="488"/>
      <c r="N179" s="488" t="s">
        <v>165</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r="180" s="9344" customFormat="1" ht="17.25" customHeight="1">
      <c r="A180" s="2010"/>
      <c r="C180" s="2015"/>
      <c r="D180" s="2673"/>
      <c r="E180" s="2700"/>
      <c r="F180" s="2317"/>
      <c r="G180" s="2702"/>
      <c r="H180" s="487"/>
      <c r="I180" s="488"/>
      <c r="J180" s="488" t="s">
        <v>166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r="181" ht="17.25" customHeight="1">
      <c r="A181" s="2020"/>
    </row>
    <row r="182" s="9344" customFormat="1" ht="17.25" customHeight="1">
      <c r="A182" s="2010"/>
      <c r="C182" s="2012"/>
      <c r="D182" s="2000"/>
      <c r="E182" s="2017"/>
      <c r="F182" s="1954"/>
      <c r="G182" s="2018"/>
      <c r="H182" s="2699"/>
      <c r="I182" s="2699">
        <v>1</v>
      </c>
      <c r="J182" s="2671"/>
      <c r="K182" s="2355" t="s">
        <v>67</v>
      </c>
      <c r="L182" s="2278"/>
      <c r="M182" s="2278" t="s">
        <v>110</v>
      </c>
      <c r="N182" s="2674" t="str">
        <f>IF(Z182="","",INDEX(TERRITORY_MR_LIST,MATCH(Z182,TERRITORY_LIST_ID,0)))</f>
        <v/>
      </c>
      <c r="O182" s="2355" t="s">
        <v>67</v>
      </c>
      <c r="P182" s="2278"/>
      <c r="Q182" s="2278" t="s">
        <v>110</v>
      </c>
      <c r="R182" s="2672" t="s">
        <v>28</v>
      </c>
      <c r="S182" s="2576" t="s">
        <v>19</v>
      </c>
      <c r="T182" s="1972"/>
      <c r="U182" s="1972" t="s">
        <v>110</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r="183" s="9344" customFormat="1" ht="17.25" customHeight="1">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r="184" s="9344" customFormat="1" ht="17.25" customHeight="1">
      <c r="A184" s="2010"/>
      <c r="C184" s="2015"/>
      <c r="D184" s="2000"/>
      <c r="E184" s="2017"/>
      <c r="F184" s="1954"/>
      <c r="G184" s="2018"/>
      <c r="H184" s="2673"/>
      <c r="I184" s="2673"/>
      <c r="J184" s="2703"/>
      <c r="K184" s="2356"/>
      <c r="L184" s="2673"/>
      <c r="M184" s="2673"/>
      <c r="N184" s="2675"/>
      <c r="O184" s="2282"/>
      <c r="P184" s="487"/>
      <c r="Q184" s="488"/>
      <c r="R184" s="488" t="s">
        <v>164</v>
      </c>
      <c r="S184" s="2016"/>
      <c r="T184" s="2016"/>
      <c r="U184" s="2016"/>
      <c r="V184" s="2016"/>
      <c r="W184" s="1603"/>
      <c r="Y184" s="1429"/>
      <c r="Z184" s="1429"/>
      <c r="AA184" s="1429"/>
      <c r="AB184" s="1429"/>
      <c r="AC184" s="1429"/>
      <c r="AD184" s="1429"/>
      <c r="AE184" s="1429"/>
      <c r="AF184" s="1429"/>
      <c r="AG184" s="1429"/>
      <c r="AH184" s="1429"/>
      <c r="AI184" s="1429"/>
      <c r="AJ184" s="1429"/>
      <c r="AK184" s="1429"/>
    </row>
    <row r="185" s="9344" customFormat="1" ht="17.25" customHeight="1">
      <c r="A185" s="2010"/>
      <c r="C185" s="2015"/>
      <c r="D185" s="2000"/>
      <c r="E185" s="2017"/>
      <c r="F185" s="1954"/>
      <c r="G185" s="2018"/>
      <c r="H185" s="2673"/>
      <c r="I185" s="2673"/>
      <c r="J185" s="2703"/>
      <c r="K185" s="2282"/>
      <c r="L185" s="487"/>
      <c r="M185" s="488"/>
      <c r="N185" s="488" t="s">
        <v>165</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r="186" ht="17.25" customHeight="1">
      <c r="A186" s="2020"/>
    </row>
    <row r="187" s="9344" customFormat="1" ht="17.25" customHeight="1">
      <c r="A187" s="2010"/>
      <c r="C187" s="2012"/>
      <c r="D187" s="2000"/>
      <c r="E187" s="2017"/>
      <c r="F187" s="1954"/>
      <c r="G187" s="2018"/>
      <c r="H187" s="2000"/>
      <c r="I187" s="2000"/>
      <c r="J187" s="2021"/>
      <c r="K187" s="2018"/>
      <c r="L187" s="2278"/>
      <c r="M187" s="2278" t="s">
        <v>110</v>
      </c>
      <c r="N187" s="2674" t="str">
        <f>IF(Z187="","",INDEX(TERRITORY_MR_LIST,MATCH(Z187,TERRITORY_LIST_ID,0)))</f>
        <v/>
      </c>
      <c r="O187" s="2355" t="s">
        <v>67</v>
      </c>
      <c r="P187" s="2278"/>
      <c r="Q187" s="2278" t="s">
        <v>110</v>
      </c>
      <c r="R187" s="2672" t="s">
        <v>28</v>
      </c>
      <c r="S187" s="2576" t="s">
        <v>19</v>
      </c>
      <c r="T187" s="1972"/>
      <c r="U187" s="1972" t="s">
        <v>110</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r="188" s="9344" customFormat="1" ht="17.25" customHeight="1">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r="189" s="9344" customFormat="1" ht="17.25" customHeight="1">
      <c r="A189" s="2010"/>
      <c r="C189" s="2015"/>
      <c r="D189" s="2000"/>
      <c r="E189" s="2017"/>
      <c r="F189" s="1954"/>
      <c r="G189" s="2018"/>
      <c r="H189" s="2000"/>
      <c r="I189" s="2000"/>
      <c r="J189" s="2021"/>
      <c r="K189" s="2018"/>
      <c r="L189" s="2673"/>
      <c r="M189" s="2673"/>
      <c r="N189" s="2675"/>
      <c r="O189" s="2282"/>
      <c r="P189" s="487"/>
      <c r="Q189" s="488"/>
      <c r="R189" s="488" t="s">
        <v>164</v>
      </c>
      <c r="S189" s="2016"/>
      <c r="T189" s="2016"/>
      <c r="U189" s="2016"/>
      <c r="V189" s="2016"/>
      <c r="W189" s="1603"/>
      <c r="Y189" s="1429"/>
      <c r="Z189" s="1429"/>
      <c r="AA189" s="1429"/>
      <c r="AB189" s="1429"/>
      <c r="AC189" s="1429"/>
      <c r="AD189" s="1429"/>
      <c r="AE189" s="1429"/>
      <c r="AF189" s="1429"/>
      <c r="AG189" s="1429"/>
      <c r="AH189" s="1429"/>
      <c r="AI189" s="1429"/>
      <c r="AJ189" s="1429"/>
      <c r="AK189" s="1429"/>
    </row>
    <row r="190" ht="17.25" customHeight="1">
      <c r="A190" s="2020"/>
    </row>
    <row r="191" s="9344" customFormat="1" ht="17.25" customHeight="1">
      <c r="A191" s="2010"/>
      <c r="C191" s="2012"/>
      <c r="D191" s="2000"/>
      <c r="E191" s="2017"/>
      <c r="F191" s="1954"/>
      <c r="G191" s="2018"/>
      <c r="H191" s="2000"/>
      <c r="I191" s="2000"/>
      <c r="J191" s="2021"/>
      <c r="K191" s="2018"/>
      <c r="L191" s="2000"/>
      <c r="M191" s="2000"/>
      <c r="N191" s="2218"/>
      <c r="O191" s="1957"/>
      <c r="P191" s="2278"/>
      <c r="Q191" s="2278" t="s">
        <v>110</v>
      </c>
      <c r="R191" s="2672" t="s">
        <v>28</v>
      </c>
      <c r="S191" s="2576" t="s">
        <v>19</v>
      </c>
      <c r="T191" s="1972"/>
      <c r="U191" s="1972" t="s">
        <v>110</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r="192" s="9344" customFormat="1" ht="17.25" customHeight="1">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r="193" ht="17.25" customHeight="1">
      <c r="A193" s="2020"/>
    </row>
    <row r="194" ht="16.5" customHeight="1">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r="195" ht="16.5" customHeight="1">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r="196" ht="17.25" customHeight="1">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r="197" ht="17.25" customHeight="1">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r="198" ht="17.25" customHeight="1">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766" customFormat="1" ht="17.25" customHeight="1">
      <c r="A200" s="1985" t="s">
        <v>1947</v>
      </c>
    </row>
    <row r="201" ht="17.25" customHeight="1">
      <c r="G201" s="2009"/>
      <c r="H201" s="2009"/>
      <c r="I201" s="2009"/>
      <c r="M201" s="2005"/>
    </row>
    <row r="202" s="9278" customFormat="1" ht="15" customHeight="1">
      <c r="D202" s="2693"/>
      <c r="E202" s="2369"/>
      <c r="F202" s="2369"/>
      <c r="G202" s="2355"/>
      <c r="H202" s="1734"/>
      <c r="I202" s="2697">
        <v>1</v>
      </c>
      <c r="J202" s="2671"/>
      <c r="K202" s="1749"/>
      <c r="L202" s="2355" t="s">
        <v>67</v>
      </c>
      <c r="M202" s="2355" t="s">
        <v>67</v>
      </c>
      <c r="N202" s="1734"/>
      <c r="O202" s="2278" t="s">
        <v>110</v>
      </c>
      <c r="P202" s="2687"/>
      <c r="Q202" s="1750"/>
      <c r="R202" s="2355" t="s">
        <v>67</v>
      </c>
      <c r="S202" s="2355" t="s">
        <v>67</v>
      </c>
      <c r="T202" s="2025"/>
      <c r="U202" s="2278" t="s">
        <v>110</v>
      </c>
      <c r="V202" s="2694" t="str">
        <f>IF(AK202="","",INDEX(TERRITORY_MR_LIST,MATCH(AK202,TERRITORY_LIST_ID,0)))</f>
        <v/>
      </c>
      <c r="W202" s="1751"/>
      <c r="X202" s="2355" t="s">
        <v>67</v>
      </c>
      <c r="Y202" s="2355" t="s">
        <v>19</v>
      </c>
      <c r="Z202" s="1734"/>
      <c r="AA202" s="2278" t="s">
        <v>110</v>
      </c>
      <c r="AB202" s="2696"/>
      <c r="AC202" s="1752"/>
      <c r="AD202" s="2355" t="s">
        <v>67</v>
      </c>
      <c r="AE202" s="2355" t="s">
        <v>19</v>
      </c>
      <c r="AF202" s="1732"/>
      <c r="AG202" s="1981" t="s">
        <v>110</v>
      </c>
      <c r="AH202" s="1742"/>
      <c r="AI202" s="1971"/>
    </row>
    <row r="203" s="9278" customFormat="1" ht="15" customHeight="1">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1948</v>
      </c>
      <c r="AI203" s="2689"/>
    </row>
    <row r="204" s="9278" customFormat="1" ht="15" customHeight="1">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1949</v>
      </c>
      <c r="AC204" s="2690"/>
      <c r="AD204" s="2690"/>
      <c r="AE204" s="2690"/>
      <c r="AF204" s="2690"/>
      <c r="AG204" s="2690"/>
      <c r="AH204" s="2690"/>
      <c r="AI204" s="2691"/>
    </row>
    <row r="205" s="9278" customFormat="1" ht="15" customHeight="1">
      <c r="D205" s="2693"/>
      <c r="E205" s="2369"/>
      <c r="F205" s="2369"/>
      <c r="G205" s="2356"/>
      <c r="H205" s="1734"/>
      <c r="I205" s="2697"/>
      <c r="J205" s="2671"/>
      <c r="K205" s="1733"/>
      <c r="L205" s="2356"/>
      <c r="M205" s="2356"/>
      <c r="N205" s="1734"/>
      <c r="O205" s="2278"/>
      <c r="P205" s="2692"/>
      <c r="Q205" s="1730"/>
      <c r="R205" s="2356"/>
      <c r="S205" s="2356"/>
      <c r="T205" s="2026"/>
      <c r="U205" s="1774"/>
      <c r="V205" s="2688" t="s">
        <v>104</v>
      </c>
      <c r="W205" s="2688"/>
      <c r="X205" s="2688"/>
      <c r="Y205" s="2688"/>
      <c r="Z205" s="2688"/>
      <c r="AA205" s="2688"/>
      <c r="AB205" s="2688"/>
      <c r="AC205" s="2688"/>
      <c r="AD205" s="2688"/>
      <c r="AE205" s="2688"/>
      <c r="AF205" s="2688"/>
      <c r="AG205" s="2688"/>
      <c r="AH205" s="2688"/>
      <c r="AI205" s="2689"/>
    </row>
    <row r="206" s="9278" customFormat="1" ht="11.25" customHeight="1">
      <c r="D206" s="2693"/>
      <c r="E206" s="2369"/>
      <c r="F206" s="2369"/>
      <c r="G206" s="2356"/>
      <c r="H206" s="1738"/>
      <c r="I206" s="2697"/>
      <c r="J206" s="2698"/>
      <c r="K206" s="1733"/>
      <c r="L206" s="2356"/>
      <c r="M206" s="2356"/>
      <c r="N206" s="1738"/>
      <c r="O206" s="1739"/>
      <c r="P206" s="2688" t="s">
        <v>1950</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r="207" s="9625" customFormat="1" ht="11.25" customHeight="1">
      <c r="D207" s="2693"/>
      <c r="E207" s="2369"/>
      <c r="F207" s="2369"/>
      <c r="G207" s="2282"/>
      <c r="H207" s="1740"/>
      <c r="I207" s="1741"/>
      <c r="J207" s="2688" t="s">
        <v>166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r="208" ht="17.25" customHeight="1">
      <c r="G208" s="2009"/>
      <c r="I208" s="2009"/>
      <c r="J208" s="2009"/>
      <c r="N208" s="2005"/>
    </row>
    <row r="209" s="9278" customFormat="1" ht="15" customHeight="1">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r="210" s="9278" customFormat="1" ht="15" customHeight="1">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r="211" s="9278" customFormat="1" ht="15" customHeight="1">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r="212" s="9278" customFormat="1" ht="15" customHeight="1">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r="213" s="9278" customFormat="1" ht="11.25" customHeight="1">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r="214" s="9625" customFormat="1" ht="11.25" customHeight="1">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r="215" ht="17.25" customHeight="1">
      <c r="A215" s="2020"/>
    </row>
  </sheetData>
  <sheetProtection autoFilter="0" deleteColumns="1" deleteRows="1" formatColumns="0" formatRows="0" insertColumns="1" insertRows="1" sheet="1" sort="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7">
    <dataValidation sqref="K194:K195 O194:O195 S154:S155 S194:S195 O154 K154 F165:F167 S176:S177 O176 K176 F172 K160 S160:S161 O160 F154:F158 K165 S165:S166 O165 O191 K169 S169:S170 O169 F160:F163 K182 S182:S183 O182 F176:F180 F182:F185 S187:S188 O187 F187:F189 F191:F192 S191:S192 F169:F170" allowBlank="1" prompt="Для выбора выполните двойной щелчок левой клавиши мыши по соответствующей ячейке." showErrorMessage="1" showInputMessage="1"/>
    <dataValidation sqref="G64 T72 I72:J72 X72 T77 I77:J77 X77 F49"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G165:G167 G172 G154:G158 G191:G192 G160:G163 G176:G180 G182:G185 G187:G189 G169:G170" allowBlank="1" prompt="Выберите виды деятельности, выполнив двойной щелчок левой кнопки мыши по ячейке." showErrorMessage="1" showInputMessage="1"/>
    <dataValidation sqref="J56" allowBlank="1" prompt="Изменение значения по двойному щелчоку левой кнопки мыши" showErrorMessage="1" showInputMessage="1"/>
    <dataValidation sqref="F60" allowBlank="1" prompt="Выберите один или несколько одновременно видов деятельности, выполнив последовательно по одному щелчку на строке с видом деятельности" showErrorMessage="1" showInputMessage="1"/>
    <dataValidation sqref="G72 G77" allowBlank="1" prompt="Для выбора ИП необходимо два раза нажать левую кнопку мыши!" promptTitle="Ввод" showErrorMessage="1" showInputMessage="1"/>
    <dataValidation sqref="N154:N156 N176:N178 N160:N162 N165:N167 N169:N170 N182:N184 N187:N189 N191:N192" allowBlank="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dataValidations>
  <pageMargins left="0.75" right="0.75" top="1" bottom="1" header="0.5" footer="0.5"/>
  <pageSetup paperSize="9"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13">
        <x14:dataValidation xr:uid="{00C100C1-001F-4CAE-A149-00E2007200B0}" type="textLength" allowBlank="1" error="Допускается ввод не более 900 символов!" errorTitle="Ошибка" operator="lessThanOrEqual" showErrorMessage="1" showInputMessage="1">
          <x14:formula1>
            <xm:f>900</xm:f>
          </x14:formula1>
          <xm: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xm:sqref>
        </x14:dataValidation>
        <x14:dataValidation xr:uid="{00830053-000C-4EEC-9DDA-008900BE00AB}" type="decimal" allowBlank="1" error="Допускается ввод только неотрицательных чисел!" errorTitle="Ошибка" showErrorMessage="1">
          <x14:formula1>
            <xm:f>0</xm:f>
          </x14:formula1>
          <x14:formula2>
            <xm:f>9.99999999999999E+23</xm:f>
          </x14:formula2>
          <xm:sqref>Q147 O147 O150 Q150 Q140 O140 AC84 AE84 AC92 AE92 AE97 AE103 AC103 AC97 T60 H60:I60 AB60 X60 K60 M60 O60 Q60</xm:sqref>
        </x14:dataValidation>
        <x14:dataValidation xr:uid="{00E40088-002B-4C62-A3EB-00520085008A}" type="list" allowBlank="1" error="Выберите значение из списка" errorTitle="Ошиб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ErrorMessage="1" showInputMessage="1">
          <x14:formula1>
            <xm:f>DESCRIPTION_TERRITORY</xm:f>
          </x14:formula1>
          <xm:sqref>N194:N196</xm:sqref>
        </x14:dataValidation>
        <x14:dataValidation xr:uid="{009C0043-008D-41EC-95FF-003F005F0056}" type="textLength" allowBlank="1" error="Допускается ввод не более 900 символов!" errorTitle="Ошибка" operator="lessThanOrEqual" prompt="Введите ссылку на обосновывающие материалы, загруженные с помощью &quot;ЕИАС Web&quot;." showErrorMessage="1" showInputMessage="1">
          <x14:formula1>
            <xm:f>900</xm:f>
          </x14:formula1>
          <xm:sqref>H64 K56 F68</xm:sqref>
        </x14:dataValidation>
        <x14:dataValidation xr:uid="{00EF006F-00C8-4E44-8C7C-0006002500FF}" type="list" allowBlank="1" error="для выбора выполните двойной щелчок по ячейке" prompt="Для выбора выполните двойной щелчок левой клавиши мыши по соответствующей ячейке." showDropDown="1" showErrorMessage="1" showInputMessage="1">
          <x14:formula1>
            <xm:f>"a"</xm:f>
          </x14:formula1>
          <xm:sqref>F39 I82:J85 K72 K77 I97:J97 I101:J104</xm:sqref>
        </x14:dataValidation>
        <x14:dataValidation xr:uid="{008E00F5-0065-4F04-B597-001200F80086}" type="textLength" allowBlank="1" error="Допускается ввод не более 900 символов!" operator="lessThan" showErrorMessage="1" showInputMessage="1">
          <x14:formula1>
            <xm:f>900</xm:f>
          </x14:formula1>
          <xm:sqref>M29 M23</xm:sqref>
        </x14:dataValidation>
        <x14:dataValidation xr:uid="{00C80031-00DE-4672-95D6-0056004700EA}" type="list" allowBlank="1" showErrorMessage="1" showInputMessage="1">
          <x14:formula1>
            <xm:f>DESCRIPTION_TERRITORY</xm:f>
          </x14:formula1>
          <xm:sqref>I34</xm:sqref>
        </x14:dataValidation>
        <x14:dataValidation xr:uid="{00FC00C6-00FD-45FD-948E-00BA0070003E}" type="list" allowBlank="1" error="Выберите значение из списка" errorTitle="Ошибка" prompt="Выберите значение из списка" showErrorMessage="1" showInputMessage="1">
          <x14:formula1>
            <xm:f>kind_of_power_te_unit</xm:f>
          </x14:formula1>
          <xm:sqref>L60</xm:sqref>
        </x14:dataValidation>
        <x14:dataValidation xr:uid="{001B0055-0019-4295-9507-00AA00CD0022}" type="whole" allowBlank="1" error="Допускается ввод только неотрицательных целых чисел!" errorTitle="Ошибка" showErrorMessage="1">
          <x14:formula1>
            <xm:f>0</xm:f>
          </x14:formula1>
          <x14:formula2>
            <xm:f>9.99999999999999E+23</xm:f>
          </x14:formula2>
          <xm:sqref>AF91:AF93 AI91:AI93 AF101:AF105 AI101:AI105 AF97 AI97 AF82:AF86 AI82:AI86 N60 P60 U60:V60 Y60:Z60 J60 R60:S60 AC60</xm:sqref>
        </x14:dataValidation>
        <x14:dataValidation xr:uid="{00B700A3-0082-4CCD-9503-008D00670011}" type="list" allowBlank="1" error="Выберите значение из списка" errorTitle="Ошибка" prompt="Выберите значение из списка" showErrorMessage="1" showInputMessage="1">
          <x14:formula1>
            <xm:f>kind_of_purchase_method</xm:f>
          </x14:formula1>
          <xm:sqref>J140:J141 J147:J148 J150</xm:sqref>
        </x14:dataValidation>
        <x14:dataValidation xr:uid="{00160004-0035-41D8-83C8-000400F900C9}" type="list" allowBlank="1" error="Выберите значение из списка" errorTitle="Ошибка" prompt="Выберите значение из списка" showErrorMessage="1" showInputMessage="1">
          <x14:formula1>
            <xm:f>QRE_METHOD_LIST</xm:f>
          </x14:formula1>
          <xm:sqref>H110</xm:sqref>
        </x14:dataValidation>
        <x14:dataValidation xr:uid="{00DD009E-0006-45BB-A639-004000BE00A5}" type="list" allowBlank="1" error="Выберите значение из списка" errorStyle="warning" errorTitle="Ошибка" prompt="Выберите значение из списка или укажите свой вид твердых коммунальных отходов" showInputMessage="1">
          <x14:formula1>
            <xm:f>list_typeTKO</xm:f>
          </x14:formula1>
          <xm:sqref>AC202 AC209</xm:sqref>
        </x14:dataValidation>
        <x14:dataValidation xr:uid="{00740083-0098-4862-970D-0043004900D3}" type="decimal" allowBlank="1" error="Допускается ввод только действительных чисел!" errorTitle="Ошибка" showErrorMessage="1">
          <x14:formula1>
            <xm:f>-9.99999999999999E+23</xm:f>
          </x14:formula1>
          <x14:formula2>
            <xm:f>9.99999999999999E+23</xm:f>
          </x14:formula2>
          <xm:sqref>CY110:DJ110 BT110:CK110 O110:AB110</xm:sqref>
        </x14:dataValidation>
      </x14:dataValidations>
    </ext>
  </extLst>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43.140625" defaultRowHeight="9" customHeight="1"/>
  <cols>
    <col min="1" max="1" style="12086" width="43.140625"/>
    <col hidden="1" min="2" max="2" style="12086" width="43.140625"/>
    <col min="3" max="3" style="12086" width="43.140625"/>
    <col customWidth="1" min="4" max="5" style="12086" width="36.421875"/>
    <col customWidth="1" min="6" max="8" style="12087" width="36.421875"/>
  </cols>
  <sheetData>
    <row r="1" ht="9" customHeight="1">
      <c r="A1" s="1016" t="s">
        <v>1951</v>
      </c>
      <c r="B1" s="1016"/>
      <c r="C1" s="1152" t="s">
        <v>1952</v>
      </c>
      <c r="D1" s="1150" t="s">
        <v>813</v>
      </c>
      <c r="E1" s="1150" t="s">
        <v>859</v>
      </c>
      <c r="F1" s="1150" t="s">
        <v>912</v>
      </c>
      <c r="G1" s="1150" t="s">
        <v>899</v>
      </c>
      <c r="H1" s="1150" t="s">
        <v>1625</v>
      </c>
    </row>
    <row r="2" ht="9" customHeight="1">
      <c r="A2" s="1153" t="s">
        <v>1953</v>
      </c>
      <c r="B2" s="1153"/>
      <c r="C2" s="1154" t="str">
        <f>INDEX(TEMPLATE_NUMBER_FORM_LIST,MATCH(TEMPLATE_SPHERE,TEMPLATE_SPHERE_LIST,0))</f>
        <v>16</v>
      </c>
      <c r="D2" s="1153" t="s">
        <v>1474</v>
      </c>
      <c r="E2" s="1153" t="s">
        <v>149</v>
      </c>
      <c r="F2" s="1155" t="s">
        <v>149</v>
      </c>
      <c r="G2" s="1153" t="s">
        <v>149</v>
      </c>
      <c r="H2" s="1156"/>
    </row>
    <row r="3" ht="63" customHeight="1">
      <c r="A3" s="1016"/>
      <c r="B3" s="1016" t="s">
        <v>110</v>
      </c>
      <c r="C3" s="1154" t="str">
        <f>IF(TEMPLATE_SPHERE="HEAT",D3,IF(TEMPLATE_SPHERE="TKO",H3,E3))</f>
        <v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154" t="s">
        <v>1954</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 xml:space="preserve">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155"/>
      <c r="G3" s="1156"/>
      <c r="H3" s="1016"/>
    </row>
    <row r="4" ht="243" customHeight="1">
      <c r="A4" s="1016" t="s">
        <v>1955</v>
      </c>
      <c r="B4" s="1016" t="s">
        <v>111</v>
      </c>
      <c r="C4" s="1154" t="str">
        <f>IF(TEMPLATE_SPHERE="HEAT",D4,IF(TEMPLATE_SPHERE="TKO",H4,E4))</f>
        <v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153" t="s">
        <v>1956</v>
      </c>
      <c r="E4" s="1154"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4" s="1153"/>
      <c r="G4" s="1153"/>
      <c r="H4" s="1016" t="s">
        <v>1957</v>
      </c>
    </row>
    <row r="5" ht="117" customHeight="1">
      <c r="A5" s="1016" t="s">
        <v>1958</v>
      </c>
      <c r="B5" s="1016" t="s">
        <v>91</v>
      </c>
      <c r="C5" s="1154" t="str">
        <f>IF(TEMPLATE_SPHERE="HEAT",D5,IF(TEMPLATE_SPHERE="TKO",H5,E5))</f>
        <v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16" t="s">
        <v>1959</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 xml:space="preserv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156"/>
      <c r="G5" s="1156"/>
      <c r="H5" s="1016" t="s">
        <v>1960</v>
      </c>
    </row>
    <row r="6" ht="90" customHeight="1">
      <c r="A6" s="1016" t="s">
        <v>1961</v>
      </c>
      <c r="B6" s="1016" t="s">
        <v>92</v>
      </c>
      <c r="C6" s="1154" t="str">
        <f>IF(TEMPLATE_SPHERE="HEAT",D6,E6)</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 xml:space="preserve">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16"/>
      <c r="G6" s="1016"/>
      <c r="H6" s="1156"/>
    </row>
    <row r="7" ht="45" customHeight="1">
      <c r="A7" s="1016" t="s">
        <v>1962</v>
      </c>
      <c r="B7" s="1016" t="s">
        <v>112</v>
      </c>
      <c r="C7" s="1154" t="str">
        <f>IF(TEMPLATE_SPHERE="HEAT",D7,E7)</f>
        <v xml:space="preserve">Форма 11. Информация о расходах на капитальный и текущий ремонт основных средств</v>
      </c>
      <c r="D7" s="1016" t="s">
        <v>1963</v>
      </c>
      <c r="E7" s="1016" t="s">
        <v>1964</v>
      </c>
      <c r="F7" s="1156"/>
      <c r="G7" s="1156"/>
      <c r="H7" s="1156"/>
    </row>
    <row r="8" ht="108" customHeight="1">
      <c r="A8" s="1016" t="s">
        <v>1965</v>
      </c>
      <c r="B8" s="1016" t="s">
        <v>93</v>
      </c>
      <c r="C8" s="1154" t="str">
        <f>IF(TEMPLATE_SPHERE="HEAT",D8,E8)</f>
        <v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16" t="s">
        <v>1165</v>
      </c>
      <c r="E8" s="1016" t="s">
        <v>1966</v>
      </c>
      <c r="F8" s="1156"/>
      <c r="G8" s="1156"/>
      <c r="H8" s="1156"/>
    </row>
    <row r="9" ht="99" customHeight="1">
      <c r="A9" s="1016" t="s">
        <v>1967</v>
      </c>
      <c r="B9" s="1016"/>
      <c r="C9" s="1016" t="s">
        <v>1968</v>
      </c>
      <c r="D9" s="1016"/>
      <c r="E9" s="1016"/>
      <c r="F9" s="1156"/>
      <c r="G9" s="1156"/>
      <c r="H9" s="1156"/>
    </row>
    <row r="10" ht="126" customHeight="1">
      <c r="A10" s="1016" t="s">
        <v>1969</v>
      </c>
      <c r="B10" s="1016"/>
      <c r="C10" s="1016" t="s">
        <v>1970</v>
      </c>
      <c r="D10" s="1016"/>
      <c r="E10" s="1016"/>
      <c r="F10" s="1156"/>
      <c r="G10" s="1156"/>
      <c r="H10" s="1156"/>
    </row>
    <row r="11" ht="108" customHeight="1">
      <c r="A11" s="1016" t="s">
        <v>1971</v>
      </c>
      <c r="B11" s="1016"/>
      <c r="C11" s="1016" t="s">
        <v>1972</v>
      </c>
      <c r="D11" s="1016"/>
      <c r="E11" s="1016"/>
      <c r="F11" s="1156"/>
      <c r="G11" s="1156"/>
      <c r="H11" s="1156"/>
    </row>
    <row r="12" ht="54" customHeight="1">
      <c r="A12" s="1016" t="s">
        <v>1973</v>
      </c>
      <c r="B12" s="1016"/>
      <c r="C12" s="1016" t="s">
        <v>1974</v>
      </c>
      <c r="D12" s="1016"/>
      <c r="E12" s="1016"/>
      <c r="F12" s="1156"/>
      <c r="G12" s="1156"/>
      <c r="H12" s="1156"/>
    </row>
    <row r="13" ht="45" customHeight="1">
      <c r="A13" s="1016" t="s">
        <v>1975</v>
      </c>
      <c r="B13" s="1016"/>
      <c r="C13" s="1016" t="s">
        <v>1976</v>
      </c>
      <c r="D13" s="1016"/>
      <c r="E13" s="1016"/>
      <c r="F13" s="1156"/>
      <c r="G13" s="1156"/>
      <c r="H13" s="1156"/>
    </row>
    <row r="14" ht="117" customHeight="1">
      <c r="A14" s="1016" t="s">
        <v>1977</v>
      </c>
      <c r="B14" s="1016"/>
      <c r="C14" s="1016" t="s">
        <v>1978</v>
      </c>
      <c r="D14" s="1016"/>
      <c r="E14" s="1016"/>
      <c r="F14" s="1156"/>
      <c r="G14" s="1156"/>
      <c r="H14" s="1156"/>
    </row>
    <row r="15" ht="117" customHeight="1">
      <c r="A15" s="1016" t="s">
        <v>1979</v>
      </c>
      <c r="B15" s="1016"/>
      <c r="C15" s="1016" t="s">
        <v>1980</v>
      </c>
      <c r="D15" s="1016"/>
      <c r="E15" s="1016"/>
      <c r="F15" s="1156"/>
      <c r="G15" s="1156"/>
      <c r="H15" s="1156"/>
    </row>
    <row r="16" ht="63" customHeight="1">
      <c r="A16" s="1016" t="s">
        <v>1981</v>
      </c>
      <c r="B16" s="1016"/>
      <c r="C16" s="1016" t="s">
        <v>1982</v>
      </c>
      <c r="D16" s="1016"/>
      <c r="E16" s="1016"/>
      <c r="F16" s="1156"/>
      <c r="G16" s="1156"/>
      <c r="H16" s="1156"/>
    </row>
    <row r="17" ht="54" customHeight="1">
      <c r="A17" s="1016" t="s">
        <v>1983</v>
      </c>
      <c r="B17" s="1016"/>
      <c r="C17" s="1154" t="s">
        <v>1984</v>
      </c>
      <c r="D17" s="1016"/>
      <c r="E17" s="1016"/>
      <c r="F17" s="1156"/>
      <c r="G17" s="1156"/>
      <c r="H17" s="1156"/>
    </row>
    <row r="18" ht="27" customHeight="1">
      <c r="A18" s="1016" t="s">
        <v>1985</v>
      </c>
      <c r="B18" s="1016"/>
      <c r="C18" s="1154" t="s">
        <v>1986</v>
      </c>
      <c r="D18" s="1016"/>
      <c r="E18" s="1016"/>
      <c r="F18" s="1156"/>
      <c r="G18" s="1156"/>
      <c r="H18" s="1156"/>
    </row>
    <row r="19" ht="54" customHeight="1">
      <c r="A19" s="1016" t="s">
        <v>1987</v>
      </c>
      <c r="B19" s="1016"/>
      <c r="C19" s="1154" t="s">
        <v>1988</v>
      </c>
      <c r="D19" s="1016"/>
      <c r="E19" s="1016"/>
      <c r="F19" s="1156"/>
      <c r="G19" s="1156"/>
      <c r="H19" s="1156"/>
    </row>
    <row r="20" ht="36" customHeight="1">
      <c r="A20" s="1016" t="s">
        <v>1989</v>
      </c>
      <c r="B20" s="1016"/>
      <c r="C20" s="1154" t="s">
        <v>1990</v>
      </c>
      <c r="D20" s="1016"/>
      <c r="E20" s="1016"/>
      <c r="F20" s="1156"/>
      <c r="G20" s="1156"/>
      <c r="H20" s="1156"/>
    </row>
    <row r="21" ht="36" customHeight="1">
      <c r="A21" s="1016" t="s">
        <v>1991</v>
      </c>
      <c r="B21" s="1016"/>
      <c r="C21" s="1154" t="s">
        <v>1992</v>
      </c>
      <c r="D21" s="1016"/>
      <c r="E21" s="1016"/>
      <c r="F21" s="1156"/>
      <c r="G21" s="1156"/>
      <c r="H21" s="1156"/>
    </row>
    <row r="22" ht="27" customHeight="1">
      <c r="A22" s="1016" t="s">
        <v>1993</v>
      </c>
      <c r="B22" s="1016"/>
      <c r="C22" s="1154" t="s">
        <v>1994</v>
      </c>
      <c r="D22" s="1016"/>
      <c r="E22" s="1016"/>
      <c r="F22" s="1156"/>
      <c r="G22" s="1156"/>
      <c r="H22" s="1156"/>
    </row>
    <row r="23" ht="36" customHeight="1">
      <c r="A23" s="1016" t="s">
        <v>1995</v>
      </c>
      <c r="B23" s="1016"/>
      <c r="C23" s="1154" t="s">
        <v>1996</v>
      </c>
      <c r="D23" s="1016"/>
      <c r="E23" s="1016"/>
      <c r="F23" s="1156"/>
      <c r="G23" s="1156"/>
      <c r="H23" s="1156"/>
    </row>
    <row r="24" ht="28.5" customHeight="1">
      <c r="A24" s="1016" t="s">
        <v>1997</v>
      </c>
      <c r="B24" s="1016"/>
      <c r="C24" s="1154" t="s">
        <v>1998</v>
      </c>
      <c r="D24" s="1016"/>
      <c r="E24" s="1016"/>
      <c r="F24" s="1156"/>
      <c r="G24" s="1156"/>
      <c r="H24" s="1156"/>
    </row>
    <row r="25" ht="36" customHeight="1">
      <c r="A25" s="1016" t="s">
        <v>1999</v>
      </c>
      <c r="B25" s="1016"/>
      <c r="C25" s="1154" t="s">
        <v>2000</v>
      </c>
      <c r="D25" s="1016"/>
      <c r="E25" s="1016"/>
      <c r="F25" s="1156"/>
      <c r="G25" s="1156"/>
      <c r="H25" s="1156"/>
    </row>
    <row r="26" ht="27" customHeight="1">
      <c r="A26" s="1016" t="s">
        <v>2001</v>
      </c>
      <c r="B26" s="1016"/>
      <c r="C26" s="1154" t="s">
        <v>2002</v>
      </c>
      <c r="D26" s="1016"/>
      <c r="E26" s="1016"/>
      <c r="F26" s="1156"/>
      <c r="G26" s="1156"/>
      <c r="H26" s="1156"/>
    </row>
    <row r="27" ht="36" customHeight="1">
      <c r="A27" s="1016" t="s">
        <v>2003</v>
      </c>
      <c r="B27" s="1016"/>
      <c r="C27" s="1154" t="s">
        <v>2004</v>
      </c>
      <c r="D27" s="1016"/>
      <c r="E27" s="1016"/>
      <c r="F27" s="1156"/>
      <c r="G27" s="1156"/>
      <c r="H27" s="1156"/>
    </row>
    <row r="28" ht="28.5" customHeight="1">
      <c r="A28" s="1016" t="s">
        <v>2005</v>
      </c>
      <c r="B28" s="1016"/>
      <c r="C28" s="1154" t="s">
        <v>2006</v>
      </c>
      <c r="D28" s="1016"/>
      <c r="E28" s="1016"/>
      <c r="F28" s="1156"/>
      <c r="G28" s="1156"/>
      <c r="H28" s="1156"/>
    </row>
    <row r="29" ht="126" customHeight="1">
      <c r="A29" s="1016" t="s">
        <v>2007</v>
      </c>
      <c r="B29" s="1016" t="s">
        <v>1576</v>
      </c>
      <c r="C29" s="1154" t="str">
        <f>IF(TEMPLATE_SPHERE="HEAT",D29,IF(TEMPLATE_SPHERE="TKO",H29,E29))</f>
        <v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16" t="s">
        <v>2008</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 xml:space="preserve">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156"/>
      <c r="G29" s="1156"/>
      <c r="H29" s="1016" t="s">
        <v>2009</v>
      </c>
    </row>
    <row r="30" ht="36" customHeight="1">
      <c r="A30" s="1016" t="s">
        <v>2010</v>
      </c>
      <c r="B30" s="1016"/>
      <c r="C30" s="1154" t="str">
        <f>IF(TEMPLATE_SPHERE="HEAT",D30,IF(TEMPLATE_SPHERE="TKO",H30,E30))</f>
        <v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16" t="s">
        <v>2011</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 xml:space="preserv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156"/>
      <c r="G30" s="1156"/>
      <c r="H30" s="1156"/>
    </row>
    <row r="31" ht="54" customHeight="1">
      <c r="A31" s="1016" t="s">
        <v>2012</v>
      </c>
      <c r="B31" s="1016"/>
      <c r="C31" s="1154" t="str">
        <f>IF(TEMPLATE_SPHERE="HEAT",D31,IF(TEMPLATE_SPHERE="TKO",H31,E31))</f>
        <v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16" t="s">
        <v>2013</v>
      </c>
      <c r="E31" s="1019" t="str">
        <f>"Форма 1. Информация об организации, осуществляющей "&amp;TEMPLATE_SPHERE_RUS_2&amp;" (общая информация)"</f>
        <v xml:space="preserve">Форма 1. Информация об организации, осуществляющей теплоснабжение (общая информация)</v>
      </c>
      <c r="F31" s="1156"/>
      <c r="G31" s="1156"/>
      <c r="H31" s="1156"/>
    </row>
    <row r="32" ht="198" customHeight="1">
      <c r="A32" s="1016" t="s">
        <v>2014</v>
      </c>
      <c r="B32" s="1016"/>
      <c r="C32" s="1154" t="str">
        <f>IF(TEMPLATE_SPHERE="HEAT",D32,IF(TEMPLATE_SPHERE="TKO",H32,E32))</f>
        <v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16" t="s">
        <v>2015</v>
      </c>
      <c r="E32" s="1019" t="str">
        <f>"Форма 7. Информация об инвестиционных программах организации "&amp;TEMPLATE_SPHERE_RUS&amp;" и отчетах об их исполнении"</f>
        <v xml:space="preserve">Форма 7. Информация об инвестиционных программах организации теплоснабжения и отчетах об их исполнении</v>
      </c>
      <c r="F32" s="1156"/>
      <c r="G32" s="1156"/>
      <c r="H32" s="1016" t="s">
        <v>2016</v>
      </c>
    </row>
    <row r="33" ht="9" customHeight="1">
      <c r="A33" s="1016"/>
      <c r="B33" s="1016"/>
      <c r="C33" s="1154"/>
      <c r="D33" s="1016"/>
      <c r="E33" s="1016"/>
      <c r="F33" s="1156"/>
      <c r="G33" s="1156"/>
      <c r="H33" s="1156"/>
    </row>
    <row r="34" ht="9" customHeight="1">
      <c r="A34" s="1016"/>
      <c r="B34" s="1016" t="s">
        <v>1512</v>
      </c>
      <c r="C34" s="1154">
        <f>INDEX(TEMPLATE_NAME_FORM_LIST,B34,MATCH(TEMPLATE_SPHERE,TEMPLATE_SPHERE_LIST,0))</f>
        <v>0</v>
      </c>
      <c r="D34" s="1016"/>
      <c r="E34" s="1016"/>
      <c r="F34" s="1156"/>
      <c r="G34" s="1156"/>
      <c r="H34" s="1156"/>
    </row>
  </sheetData>
  <sheetProtection autoFilter="0" deleteColumns="1" deleteRows="1" insertColumns="1" insertRows="1" sheet="1" sort="1"/>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9" customHeight="1"/>
  <cols>
    <col min="1" max="2" style="12086" width="9.140625"/>
    <col customWidth="1" min="3" max="7" style="12130" width="8.00390625"/>
    <col customWidth="1" min="8" max="12" style="12130" width="8.57421875"/>
    <col customWidth="1" min="13" max="14" style="12130" width="27.7109375"/>
    <col customWidth="1" min="15" max="19" style="12130" width="5.140625"/>
    <col customWidth="1" min="20" max="24" style="12130" width="27.7109375"/>
    <col customWidth="1" min="25" max="25" style="12131" width="1.8515625"/>
    <col customWidth="1" min="26" max="26" style="12086" width="27.7109375"/>
    <col customWidth="1" min="27" max="27" style="12132" width="27.7109375"/>
    <col customWidth="1" min="28" max="29" style="12086" width="27.7109375"/>
    <col customWidth="1" min="30" max="30" style="12086" width="3.8515625"/>
    <col min="31" max="34" style="12086" width="9.140625"/>
  </cols>
  <sheetData>
    <row r="1" s="12088" customFormat="1" ht="18" customHeight="1">
      <c r="A1" s="1068"/>
      <c r="B1" s="1068"/>
      <c r="C1" s="1068" t="s">
        <v>2017</v>
      </c>
      <c r="D1" s="1068"/>
      <c r="E1" s="1068"/>
      <c r="F1" s="1068"/>
      <c r="G1" s="1068"/>
      <c r="H1" s="1068" t="s">
        <v>2018</v>
      </c>
      <c r="I1" s="1068"/>
      <c r="J1" s="1068"/>
      <c r="K1" s="1068"/>
      <c r="L1" s="1068"/>
      <c r="M1" s="1068" t="s">
        <v>2019</v>
      </c>
      <c r="N1" s="1068" t="s">
        <v>2020</v>
      </c>
      <c r="O1" s="2762" t="s">
        <v>2021</v>
      </c>
      <c r="P1" s="2762"/>
      <c r="Q1" s="2762"/>
      <c r="R1" s="2762"/>
      <c r="S1" s="2762"/>
      <c r="T1" s="2762" t="s">
        <v>2019</v>
      </c>
      <c r="U1" s="2762"/>
      <c r="V1" s="2762"/>
      <c r="W1" s="2762"/>
      <c r="X1" s="2762"/>
      <c r="Y1" s="1169"/>
      <c r="Z1" s="2762" t="s">
        <v>2022</v>
      </c>
      <c r="AA1" s="2762"/>
      <c r="AB1" s="2762"/>
      <c r="AC1" s="2762"/>
      <c r="AD1" s="2762"/>
    </row>
    <row r="2" ht="18" customHeight="1">
      <c r="A2" s="1016"/>
      <c r="B2" s="1016"/>
      <c r="C2" s="1011" t="s">
        <v>813</v>
      </c>
      <c r="D2" s="1011" t="s">
        <v>859</v>
      </c>
      <c r="E2" s="1011" t="s">
        <v>912</v>
      </c>
      <c r="F2" s="1011" t="s">
        <v>899</v>
      </c>
      <c r="G2" s="1011" t="s">
        <v>1625</v>
      </c>
      <c r="H2" s="1013"/>
      <c r="I2" s="1013"/>
      <c r="J2" s="1013"/>
      <c r="K2" s="1013"/>
      <c r="L2" s="1013"/>
      <c r="M2" s="1013"/>
      <c r="N2" s="1013"/>
      <c r="O2" s="1011" t="s">
        <v>813</v>
      </c>
      <c r="P2" s="1011" t="s">
        <v>859</v>
      </c>
      <c r="Q2" s="1011" t="s">
        <v>899</v>
      </c>
      <c r="R2" s="1011" t="s">
        <v>912</v>
      </c>
      <c r="S2" s="1011" t="s">
        <v>1625</v>
      </c>
      <c r="T2" s="1011" t="s">
        <v>813</v>
      </c>
      <c r="U2" s="1011" t="s">
        <v>859</v>
      </c>
      <c r="V2" s="1011" t="s">
        <v>899</v>
      </c>
      <c r="W2" s="1011" t="s">
        <v>912</v>
      </c>
      <c r="X2" s="1011" t="s">
        <v>1625</v>
      </c>
      <c r="Y2" s="1011"/>
      <c r="Z2" s="1011" t="s">
        <v>813</v>
      </c>
      <c r="AA2" s="1020" t="s">
        <v>859</v>
      </c>
      <c r="AB2" s="1011" t="s">
        <v>899</v>
      </c>
      <c r="AC2" s="1011" t="s">
        <v>912</v>
      </c>
      <c r="AD2" s="1011" t="s">
        <v>1625</v>
      </c>
    </row>
    <row r="3" ht="162" customHeight="1">
      <c r="A3" s="1015" t="s">
        <v>26</v>
      </c>
      <c r="B3" s="1015"/>
      <c r="C3" s="2766" t="s">
        <v>2023</v>
      </c>
      <c r="D3" s="2767"/>
      <c r="E3" s="2767"/>
      <c r="F3" s="2768"/>
      <c r="G3" s="1013"/>
      <c r="H3" s="1013"/>
      <c r="I3" s="1013"/>
      <c r="J3" s="1013"/>
      <c r="K3" s="1013"/>
      <c r="L3" s="1013"/>
      <c r="M3" s="1013"/>
      <c r="N3" s="1014" t="str">
        <f>INDEX(TEMPLATE_ORG_DATA_POINT,1,MATCH(TEMPLATE_SPHERE,TEMPLATE_SPHERE_LIST_FOR_NOTE,0))</f>
        <v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13"/>
      <c r="P3" s="1013"/>
      <c r="Q3" s="1013"/>
      <c r="R3" s="1013"/>
      <c r="S3" s="1013"/>
      <c r="T3" s="1013"/>
      <c r="U3" s="1013"/>
      <c r="V3" s="1013"/>
      <c r="W3" s="1013"/>
      <c r="X3" s="1013"/>
      <c r="Y3" s="1170"/>
      <c r="Z3" s="1016" t="s">
        <v>2024</v>
      </c>
      <c r="AA3" s="1013" t="s">
        <v>2025</v>
      </c>
      <c r="AB3" s="1016" t="s">
        <v>2026</v>
      </c>
      <c r="AC3" s="1016" t="s">
        <v>2027</v>
      </c>
      <c r="AD3" s="1016"/>
      <c r="AG3" s="1016"/>
      <c r="AH3" s="1016"/>
    </row>
    <row r="4" ht="9" customHeight="1">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r="5" ht="9" customHeight="1">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r="6" ht="9" customHeight="1">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r="7" ht="9" customHeight="1">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r="8" ht="9" customHeight="1">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r="9" ht="9" customHeight="1">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r="10" ht="9" customHeight="1">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r="11" ht="45" customHeight="1">
      <c r="A11" s="2763" t="s">
        <v>33</v>
      </c>
      <c r="B11" s="1069">
        <v>1</v>
      </c>
      <c r="C11" s="2769" t="s">
        <v>1563</v>
      </c>
      <c r="D11" s="2769" t="s">
        <v>1559</v>
      </c>
      <c r="E11" s="2769" t="s">
        <v>1658</v>
      </c>
      <c r="F11" s="2769" t="s">
        <v>2028</v>
      </c>
      <c r="G11" s="2769"/>
      <c r="H11" s="1068" t="s">
        <v>2029</v>
      </c>
      <c r="I11" s="1068"/>
      <c r="J11" s="1068"/>
      <c r="K11" s="1068"/>
      <c r="L11" s="1068"/>
      <c r="M11" s="1014" t="str">
        <f>IF(TEMPLATE_SPHERE="HEAT",T11,U11)</f>
        <v xml:space="preserve">Количество поданных заявок</v>
      </c>
      <c r="N11" s="1014" t="str">
        <f>IF(TEMPLATE_SPHERE="HEAT",Z11,AA11)</f>
        <v xml:space="preserve">Указывается количество поданных заявок на подключение (технологическое присоединение) к системе теплоснабжения в течение отчетного квартала.</v>
      </c>
      <c r="O11" s="1013"/>
      <c r="P11" s="1013"/>
      <c r="Q11" s="1013"/>
      <c r="R11" s="1013"/>
      <c r="S11" s="1013"/>
      <c r="T11" s="1013" t="s">
        <v>2030</v>
      </c>
      <c r="U11" s="1013" t="s">
        <v>2031</v>
      </c>
      <c r="V11" s="1013"/>
      <c r="W11" s="1013"/>
      <c r="X11" s="1013"/>
      <c r="Y11" s="1170"/>
      <c r="Z11" s="1016" t="s">
        <v>2032</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16"/>
      <c r="AC11" s="1016"/>
      <c r="AD11" s="1016"/>
    </row>
    <row r="12" ht="45" customHeight="1">
      <c r="A12" s="2763"/>
      <c r="B12" s="1069">
        <v>2</v>
      </c>
      <c r="C12" s="2770"/>
      <c r="D12" s="2770"/>
      <c r="E12" s="2770"/>
      <c r="F12" s="2770"/>
      <c r="G12" s="2770"/>
      <c r="H12" s="1068" t="s">
        <v>2033</v>
      </c>
      <c r="I12" s="1068"/>
      <c r="J12" s="1068"/>
      <c r="K12" s="1068"/>
      <c r="L12" s="1068"/>
      <c r="M12" s="1014" t="str">
        <f>IF(TEMPLATE_SPHERE="HEAT",T12,U12)</f>
        <v xml:space="preserve">Количество рассмотренных заявок</v>
      </c>
      <c r="N12" s="1014" t="str">
        <f>IF(TEMPLATE_SPHERE="HEAT",Z12,AA12)</f>
        <v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13"/>
      <c r="P12" s="1013"/>
      <c r="Q12" s="1013"/>
      <c r="R12" s="1013"/>
      <c r="S12" s="1013"/>
      <c r="T12" s="1013" t="s">
        <v>2034</v>
      </c>
      <c r="U12" s="1013" t="s">
        <v>2035</v>
      </c>
      <c r="V12" s="1013"/>
      <c r="W12" s="1013"/>
      <c r="X12" s="1013"/>
      <c r="Y12" s="1170"/>
      <c r="Z12" s="1016" t="s">
        <v>2036</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 xml:space="preserve">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16"/>
      <c r="AC12" s="1016"/>
      <c r="AD12" s="1016"/>
    </row>
    <row r="13" ht="72" customHeight="1">
      <c r="A13" s="2763"/>
      <c r="B13" s="1069">
        <v>3</v>
      </c>
      <c r="C13" s="2770"/>
      <c r="D13" s="2770"/>
      <c r="E13" s="2770"/>
      <c r="F13" s="2770"/>
      <c r="G13" s="2770"/>
      <c r="H13" s="2762" t="s">
        <v>2037</v>
      </c>
      <c r="I13" s="1068"/>
      <c r="J13" s="1068"/>
      <c r="K13" s="1068"/>
      <c r="L13" s="1068"/>
      <c r="M13" s="1014" t="str">
        <f>IF(TEMPLATE_SPHERE="HEAT",T13,U13)</f>
        <v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14" t="str">
        <f>IF(TEMPLATE_SPHERE="HEAT",Z13,AA13)</f>
        <v xml:space="preserve">Указывается количество заявок с решением об отказе в течение отчетного квартала.</v>
      </c>
      <c r="O13" s="1013"/>
      <c r="P13" s="1014"/>
      <c r="Q13" s="1014"/>
      <c r="R13" s="1014"/>
      <c r="S13" s="1013"/>
      <c r="T13" s="1013" t="s">
        <v>2038</v>
      </c>
      <c r="U13" s="1014" t="s">
        <v>2039</v>
      </c>
      <c r="V13" s="1014"/>
      <c r="W13" s="1014"/>
      <c r="X13" s="1013"/>
      <c r="Y13" s="1170"/>
      <c r="Z13" s="1016" t="s">
        <v>2040</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 xml:space="preserve">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16"/>
      <c r="AC13" s="1016"/>
      <c r="AD13" s="1016"/>
    </row>
    <row r="14" ht="45" customHeight="1">
      <c r="A14" s="2763"/>
      <c r="B14" s="1069">
        <v>4</v>
      </c>
      <c r="C14" s="2770"/>
      <c r="D14" s="2770"/>
      <c r="E14" s="2770"/>
      <c r="F14" s="2770"/>
      <c r="G14" s="2770"/>
      <c r="H14" s="2762"/>
      <c r="I14" s="1071"/>
      <c r="J14" s="1071"/>
      <c r="K14" s="1071"/>
      <c r="L14" s="1071"/>
      <c r="M14" s="1017" t="str">
        <f>IF(TEMPLATE_SPHERE="HEAT",T14,U14)</f>
        <v xml:space="preserve">Причины отказа в заключении договора о подключении (технологическом присоединении) к системе теплоснабжения</v>
      </c>
      <c r="N14" s="1014" t="str">
        <f>IF(TEMPLATE_SPHERE="HEAT",Z14,AA14)</f>
        <v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2041</v>
      </c>
      <c r="U14" s="1014" t="str">
        <f>"Причины отказа в заключении договора о подключении (технологическом присоединении) к централизованной системе "&amp;TEMPLATE_SPHERE_RUS</f>
        <v xml:space="preserve">Причины отказа в заключении договора о подключении (технологическом присоединении) к централизованной системе теплоснабжения</v>
      </c>
      <c r="V14" s="1014"/>
      <c r="W14" s="1014"/>
      <c r="X14" s="1013"/>
      <c r="Y14" s="1170"/>
      <c r="Z14" s="1016" t="s">
        <v>2042</v>
      </c>
      <c r="AA14" s="1019" t="s">
        <v>2042</v>
      </c>
      <c r="AB14" s="1016"/>
      <c r="AC14" s="1016"/>
      <c r="AD14" s="1016"/>
    </row>
    <row r="15" ht="108" customHeight="1">
      <c r="A15" s="2763"/>
      <c r="B15" s="1069">
        <v>5</v>
      </c>
      <c r="C15" s="2770"/>
      <c r="D15" s="2770"/>
      <c r="E15" s="2770"/>
      <c r="F15" s="2770"/>
      <c r="G15" s="2770"/>
      <c r="H15" s="2764" t="s">
        <v>2043</v>
      </c>
      <c r="I15" s="1070"/>
      <c r="J15" s="1070"/>
      <c r="K15" s="1070"/>
      <c r="L15" s="1070"/>
      <c r="M15" s="1019" t="str">
        <f>IF(TEMPLATE_SPHERE="HEAT",T15,U15)</f>
        <v xml:space="preserve">Резерв мощности источников тепловой энергии, входящих в систему теплоснабжения, в течение одного квартала, в том числе:</v>
      </c>
      <c r="N15" s="1018" t="str">
        <f>IF(TEMPLATE_SPHERE="HEAT",Z15,AA15)</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5" s="1013"/>
      <c r="P15" s="1014"/>
      <c r="Q15" s="1014"/>
      <c r="R15" s="1014"/>
      <c r="S15" s="1013"/>
      <c r="T15" s="1013" t="s">
        <v>2044</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 xml:space="preserve">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14"/>
      <c r="W15" s="1014"/>
      <c r="X15" s="1013"/>
      <c r="Y15" s="1170"/>
      <c r="Z15" s="1016" t="s">
        <v>2045</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 xml:space="preserve">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16"/>
      <c r="AC15" s="1016"/>
      <c r="AD15" s="1016"/>
    </row>
    <row r="16" ht="108" customHeight="1">
      <c r="A16" s="1069"/>
      <c r="B16" s="1069">
        <v>6</v>
      </c>
      <c r="C16" s="2771"/>
      <c r="D16" s="2771"/>
      <c r="E16" s="2771"/>
      <c r="F16" s="2771"/>
      <c r="G16" s="2771"/>
      <c r="H16" s="2765"/>
      <c r="I16" s="1132"/>
      <c r="J16" s="1132"/>
      <c r="K16" s="1132"/>
      <c r="L16" s="1132"/>
      <c r="M16" s="1062"/>
      <c r="N16" s="1018" t="str">
        <f>IF(TEMPLATE_SPHERE="HEAT",Z16,AA16)</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v>
      </c>
      <c r="O16" s="1013"/>
      <c r="P16" s="1014"/>
      <c r="Q16" s="1014"/>
      <c r="R16" s="1014"/>
      <c r="S16" s="1013"/>
      <c r="T16" s="1013"/>
      <c r="U16" s="1014"/>
      <c r="V16" s="1014"/>
      <c r="W16" s="1014"/>
      <c r="X16" s="1013"/>
      <c r="Y16" s="1170"/>
      <c r="Z16" s="1016" t="s">
        <v>2045</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 xml:space="preserve">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16"/>
      <c r="AC16" s="1016"/>
      <c r="AD16" s="1016"/>
    </row>
    <row r="17" ht="9" customHeight="1">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r="18" ht="27" customHeight="1">
      <c r="A18" s="1015" t="s">
        <v>1661</v>
      </c>
      <c r="B18" s="1069">
        <v>1</v>
      </c>
      <c r="C18" s="1013" t="s">
        <v>2029</v>
      </c>
      <c r="D18" s="1137" t="s">
        <v>2029</v>
      </c>
      <c r="E18" s="1013" t="s">
        <v>2029</v>
      </c>
      <c r="F18" s="1013" t="s">
        <v>2029</v>
      </c>
      <c r="G18" s="1013"/>
      <c r="H18" s="1172"/>
      <c r="I18" s="1175">
        <f>INDEX(TEMPLATE_NUMBER_POINT_FHD,B18,MATCH(TEMPLATE_SPHERE,TEMPLATE_SPHERE_LIST_FOR_NOTE,0))</f>
        <v>1</v>
      </c>
      <c r="J18" s="1175" t="str">
        <f>INDEX(TEMPLATE_DATA_POINT_FHD,B18,MATCH(TEMPLATE_SPHERE,TEMPLATE_SPHERE_LIST_FOR_NOTE,0))</f>
        <v xml:space="preserve">Выручка от регулируемого вида деятельности с распределением по видам деятельности</v>
      </c>
      <c r="K18" s="1175" t="str">
        <f>INDEX(TEMPLATE_NOTE_POINT_FHD,B18,MATCH(TEMPLATE_SPHERE,TEMPLATE_SPHERE_LIST_FOR_NOTE,0))</f>
        <v xml:space="preserve">Указывается выручка от регулируемого вида деятельности с распределением по видам деятельности.</v>
      </c>
      <c r="L18" s="1014">
        <f>IF(I18=0,"",I18)</f>
        <v>1</v>
      </c>
      <c r="M18" s="1014" t="str">
        <f>IF(J18=0,"",J18)</f>
        <v xml:space="preserve">Выручка от регулируемого вида деятельности с распределением по видам деятельности</v>
      </c>
      <c r="N18" s="1014" t="str">
        <f>IF(K18=0,"",K18)</f>
        <v xml:space="preserve">Указывается выручка от регулируемого вида деятельности с распределением по видам деятельности.</v>
      </c>
      <c r="O18" s="1127">
        <v>1</v>
      </c>
      <c r="P18" s="1127">
        <v>1</v>
      </c>
      <c r="Q18" s="1127">
        <v>1</v>
      </c>
      <c r="R18" s="1127">
        <v>1</v>
      </c>
      <c r="S18" s="1127"/>
      <c r="T18" s="1134" t="s">
        <v>2046</v>
      </c>
      <c r="U18" s="1016" t="s">
        <v>2047</v>
      </c>
      <c r="V18" s="1016" t="s">
        <v>2048</v>
      </c>
      <c r="W18" s="1016" t="s">
        <v>2049</v>
      </c>
      <c r="X18" s="1013"/>
      <c r="Y18" s="1170"/>
      <c r="Z18" s="1016" t="s">
        <v>2050</v>
      </c>
      <c r="AA18" s="1019" t="s">
        <v>2051</v>
      </c>
      <c r="AB18" s="1019" t="s">
        <v>2051</v>
      </c>
      <c r="AC18" s="1019" t="s">
        <v>2051</v>
      </c>
      <c r="AD18" s="1016"/>
    </row>
    <row r="19" ht="36" customHeight="1">
      <c r="A19" s="1015"/>
      <c r="B19" s="1069">
        <v>2</v>
      </c>
      <c r="C19" s="1013" t="s">
        <v>2033</v>
      </c>
      <c r="D19" s="1137" t="s">
        <v>2033</v>
      </c>
      <c r="E19" s="1013" t="s">
        <v>2033</v>
      </c>
      <c r="F19" s="1013" t="s">
        <v>2033</v>
      </c>
      <c r="G19" s="1013"/>
      <c r="H19" s="1172"/>
      <c r="I19" s="1175">
        <f>INDEX(TEMPLATE_NUMBER_POINT_FHD,B19,MATCH(TEMPLATE_SPHERE,TEMPLATE_SPHERE_LIST_FOR_NOTE,0))</f>
        <v>2</v>
      </c>
      <c r="J19" s="1175" t="str">
        <f>INDEX(TEMPLATE_DATA_POINT_FHD,B19,MATCH(TEMPLATE_SPHERE,TEMPLATE_SPHERE_LIST_FOR_NOTE,0))</f>
        <v xml:space="preserve">Себестоимость производимых товаров (оказываемых услуг) по регулируемому виду деятельности, включая:</v>
      </c>
      <c r="K19" s="1175" t="str">
        <f>INDEX(TEMPLATE_NOTE_POINT_FHD,B19,MATCH(TEMPLATE_SPHERE,TEMPLATE_SPHERE_LIST_FOR_NOTE,0))</f>
        <v xml:space="preserve">Указывается суммарная себестоимость производимых товаров.</v>
      </c>
      <c r="L19" s="1014">
        <f>IF(I19=0,"",I19)</f>
        <v>2</v>
      </c>
      <c r="M19" s="1014" t="str">
        <f>IF(J19=0,"",J19)</f>
        <v xml:space="preserve">Себестоимость производимых товаров (оказываемых услуг) по регулируемому виду деятельности, включая:</v>
      </c>
      <c r="N19" s="1014" t="str">
        <f>IF(K19=0,"",K19)</f>
        <v xml:space="preserve">Указывается суммарная себестоимость производимых товаров.</v>
      </c>
      <c r="O19" s="1127">
        <v>2</v>
      </c>
      <c r="P19" s="1127">
        <v>2</v>
      </c>
      <c r="Q19" s="1127">
        <v>2</v>
      </c>
      <c r="R19" s="1127">
        <v>2</v>
      </c>
      <c r="S19" s="1127"/>
      <c r="T19" s="1134" t="s">
        <v>2052</v>
      </c>
      <c r="U19" s="1016" t="s">
        <v>2053</v>
      </c>
      <c r="V19" s="1016" t="s">
        <v>2054</v>
      </c>
      <c r="W19" s="1016" t="s">
        <v>2055</v>
      </c>
      <c r="X19" s="1013"/>
      <c r="Y19" s="1170"/>
      <c r="Z19" s="1016" t="s">
        <v>2056</v>
      </c>
      <c r="AA19" s="1019" t="s">
        <v>2056</v>
      </c>
      <c r="AB19" s="1019" t="s">
        <v>2056</v>
      </c>
      <c r="AC19" s="1019" t="s">
        <v>2056</v>
      </c>
      <c r="AD19" s="1016"/>
    </row>
    <row r="20" ht="27" customHeight="1">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 xml:space="preserve">Расходы на приобретаемую тепловую энергию (мощность), теплоноситель</v>
      </c>
      <c r="K20" s="1175">
        <f>INDEX(TEMPLATE_NOTE_POINT_FHD,B20,MATCH(TEMPLATE_SPHERE,TEMPLATE_SPHERE_LIST_FOR_NOTE,0))</f>
        <v>0</v>
      </c>
      <c r="L20" s="1014" t="str">
        <f>IF(I20=0,"",I20)</f>
        <v>2.1</v>
      </c>
      <c r="M20" s="1014" t="str">
        <f>IF(J20=0,"",J20)</f>
        <v xml:space="preserve">Расходы на приобретаемую тепловую энергию (мощность), теплоноситель</v>
      </c>
      <c r="N20" s="1014" t="str">
        <f>IF(K20=0,"",K20)</f>
        <v/>
      </c>
      <c r="O20" s="1127" t="s">
        <v>714</v>
      </c>
      <c r="P20" s="1127" t="s">
        <v>714</v>
      </c>
      <c r="Q20" s="1127" t="s">
        <v>714</v>
      </c>
      <c r="R20" s="1127" t="s">
        <v>714</v>
      </c>
      <c r="S20" s="1127"/>
      <c r="T20" s="1134" t="s">
        <v>2057</v>
      </c>
      <c r="U20" s="1016" t="s">
        <v>2058</v>
      </c>
      <c r="V20" s="1016" t="s">
        <v>2059</v>
      </c>
      <c r="W20" s="1016" t="s">
        <v>2060</v>
      </c>
      <c r="X20" s="1013"/>
      <c r="Y20" s="1170"/>
      <c r="Z20" s="1016"/>
      <c r="AA20" s="1019"/>
      <c r="AB20" s="1016"/>
      <c r="AC20" s="1016"/>
      <c r="AD20" s="1016"/>
    </row>
    <row r="21" ht="36" customHeight="1">
      <c r="A21" s="1015"/>
      <c r="B21" s="1069">
        <v>4</v>
      </c>
      <c r="C21" s="1013">
        <v>2</v>
      </c>
      <c r="D21" s="1137"/>
      <c r="E21" s="1013"/>
      <c r="F21" s="1013"/>
      <c r="G21" s="1013"/>
      <c r="H21" s="1172"/>
      <c r="I21" s="1175" t="str">
        <f>INDEX(TEMPLATE_NUMBER_POINT_FHD,B21,MATCH(TEMPLATE_SPHERE,TEMPLATE_SPHERE_LIST_FOR_NOTE,0))</f>
        <v>2.2</v>
      </c>
      <c r="J21" s="1175" t="str">
        <f>INDEX(TEMPLATE_DATA_POINT_FHD,B21,MATCH(TEMPLATE_SPHERE,TEMPLATE_SPHERE_LIST_FOR_NOTE,0))</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K21" s="1175" t="str">
        <f>INDEX(TEMPLATE_NOTE_POINT_FHD,B21,MATCH(TEMPLATE_SPHERE,TEMPLATE_SPHERE_LIST_FOR_NOTE,0))</f>
        <v xml:space="preserve">Указываются суммарные расходы на приобретение топлива всех видов.</v>
      </c>
      <c r="L21" s="1014" t="str">
        <f>IF(I21=0,"",I21)</f>
        <v>2.2</v>
      </c>
      <c r="M21" s="1014" t="str">
        <f>IF(J21=0,"",J21)</f>
        <v xml:space="preserve">Расходы на топливо с указанием по каждому виду топлива стоимости (за единицу объема), объема и способа его приобретения, стоимости его доставки</v>
      </c>
      <c r="N21" s="1014" t="str">
        <f>IF(K21=0,"",K21)</f>
        <v xml:space="preserve">Указываются суммарные расходы на приобретение топлива всех видов.</v>
      </c>
      <c r="O21" s="1127" t="s">
        <v>314</v>
      </c>
      <c r="P21" s="1127"/>
      <c r="Q21" s="1127"/>
      <c r="R21" s="1127"/>
      <c r="S21" s="1127"/>
      <c r="T21" s="1134" t="s">
        <v>2061</v>
      </c>
      <c r="U21" s="1016"/>
      <c r="V21" s="1016"/>
      <c r="W21" s="1016"/>
      <c r="X21" s="1013"/>
      <c r="Y21" s="1170"/>
      <c r="Z21" s="1016" t="s">
        <v>2062</v>
      </c>
      <c r="AA21" s="1019"/>
      <c r="AB21" s="1016"/>
      <c r="AC21" s="1016"/>
      <c r="AD21" s="1016"/>
    </row>
    <row r="22" ht="36" customHeight="1">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314</v>
      </c>
      <c r="R22" s="1127"/>
      <c r="S22" s="1127"/>
      <c r="T22" s="1134"/>
      <c r="U22" s="1016"/>
      <c r="V22" s="1016" t="s">
        <v>2063</v>
      </c>
      <c r="W22" s="1016"/>
      <c r="X22" s="1013"/>
      <c r="Y22" s="1170"/>
      <c r="Z22" s="1016"/>
      <c r="AA22" s="1019"/>
      <c r="AB22" s="1016"/>
      <c r="AC22" s="1016"/>
      <c r="AD22" s="1016"/>
    </row>
    <row r="23" ht="27" customHeight="1">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317</v>
      </c>
      <c r="R23" s="1127"/>
      <c r="S23" s="1127"/>
      <c r="T23" s="1134"/>
      <c r="U23" s="1016"/>
      <c r="V23" s="1016" t="s">
        <v>2064</v>
      </c>
      <c r="W23" s="1016"/>
      <c r="X23" s="1013"/>
      <c r="Y23" s="1170"/>
      <c r="Z23" s="1016"/>
      <c r="AA23" s="1019"/>
      <c r="AB23" s="1016"/>
      <c r="AC23" s="1016"/>
      <c r="AD23" s="1016"/>
    </row>
    <row r="24" ht="36" customHeight="1">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734</v>
      </c>
      <c r="R24" s="1127"/>
      <c r="S24" s="1127"/>
      <c r="T24" s="1134"/>
      <c r="U24" s="1016"/>
      <c r="V24" s="1016" t="s">
        <v>2065</v>
      </c>
      <c r="W24" s="1016"/>
      <c r="X24" s="1013"/>
      <c r="Y24" s="1170"/>
      <c r="Z24" s="1016"/>
      <c r="AA24" s="1019"/>
      <c r="AB24" s="1016"/>
      <c r="AC24" s="1016"/>
      <c r="AD24" s="1016"/>
    </row>
    <row r="25" ht="36" customHeight="1">
      <c r="A25" s="1015"/>
      <c r="B25" s="1069">
        <v>8</v>
      </c>
      <c r="C25" s="1013">
        <v>6</v>
      </c>
      <c r="D25" s="1137"/>
      <c r="E25" s="1013"/>
      <c r="F25" s="1013"/>
      <c r="G25" s="1061"/>
      <c r="H25" s="1128"/>
      <c r="I25" s="1175" t="str">
        <f>INDEX(TEMPLATE_NUMBER_POINT_FHD,B25,MATCH(TEMPLATE_SPHERE,TEMPLATE_SPHERE_LIST_FOR_NOTE,0))</f>
        <v>2.3</v>
      </c>
      <c r="J25" s="1175" t="str">
        <f>INDEX(TEMPLATE_DATA_POINT_FHD,B25,MATCH(TEMPLATE_SPHERE,TEMPLATE_SPHERE_LIST_FOR_NOTE,0))</f>
        <v xml:space="preserve">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2.3</v>
      </c>
      <c r="M25" s="1014" t="str">
        <f>IF(J25=0,"",J25)</f>
        <v xml:space="preserve">Расходы на приобретаемую электрическую энергию (мощность), используемую в технологическом процессе</v>
      </c>
      <c r="N25" s="1014" t="str">
        <f>IF(K25=0,"",K25)</f>
        <v/>
      </c>
      <c r="O25" s="1127" t="s">
        <v>317</v>
      </c>
      <c r="P25" s="1127" t="s">
        <v>314</v>
      </c>
      <c r="Q25" s="1127" t="s">
        <v>741</v>
      </c>
      <c r="R25" s="1127" t="s">
        <v>314</v>
      </c>
      <c r="S25" s="1127"/>
      <c r="T25" s="1134" t="s">
        <v>2066</v>
      </c>
      <c r="U25" s="1016" t="s">
        <v>2066</v>
      </c>
      <c r="V25" s="1016" t="s">
        <v>2066</v>
      </c>
      <c r="W25" s="1016" t="s">
        <v>2066</v>
      </c>
      <c r="X25" s="1013"/>
      <c r="Y25" s="1170"/>
      <c r="Z25" s="1016"/>
      <c r="AA25" s="1019"/>
      <c r="AB25" s="1016"/>
      <c r="AC25" s="1016"/>
      <c r="AD25" s="1016"/>
    </row>
    <row r="26" ht="18" customHeight="1">
      <c r="A26" s="1015"/>
      <c r="B26" s="1069">
        <v>9</v>
      </c>
      <c r="C26" s="1013" t="s">
        <v>658</v>
      </c>
      <c r="D26" s="1137"/>
      <c r="E26" s="1013"/>
      <c r="F26" s="1013"/>
      <c r="G26" s="1061"/>
      <c r="H26" s="1128"/>
      <c r="I26" s="1175" t="str">
        <f>INDEX(TEMPLATE_NUMBER_POINT_FHD,B26,MATCH(TEMPLATE_SPHERE,TEMPLATE_SPHERE_LIST_FOR_NOTE,0))</f>
        <v>2.3.1</v>
      </c>
      <c r="J26" s="1175" t="str">
        <f>INDEX(TEMPLATE_DATA_POINT_FHD,B26,MATCH(TEMPLATE_SPHERE,TEMPLATE_SPHERE_LIST_FOR_NOTE,0))</f>
        <v xml:space="preserve">Средневзвешенная стоимость 1 кВт.ч (с учетом мощности)</v>
      </c>
      <c r="K26" s="1175">
        <f>INDEX(TEMPLATE_NOTE_POINT_FHD,B26,MATCH(TEMPLATE_SPHERE,TEMPLATE_SPHERE_LIST_FOR_NOTE,0))</f>
        <v>0</v>
      </c>
      <c r="L26" s="1014" t="str">
        <f>IF(I26=0,"",I26)</f>
        <v>2.3.1</v>
      </c>
      <c r="M26" s="1014" t="str">
        <f>IF(J26=0,"",J26)</f>
        <v xml:space="preserve">Средневзвешенная стоимость 1 кВт.ч (с учетом мощности)</v>
      </c>
      <c r="N26" s="1014" t="str">
        <f>IF(K26=0,"",K26)</f>
        <v/>
      </c>
      <c r="O26" s="1127" t="s">
        <v>730</v>
      </c>
      <c r="P26" s="1127" t="s">
        <v>724</v>
      </c>
      <c r="Q26" s="1127" t="s">
        <v>2067</v>
      </c>
      <c r="R26" s="1127" t="s">
        <v>724</v>
      </c>
      <c r="S26" s="1127"/>
      <c r="T26" s="1134" t="str">
        <f>"Средневзвешенная стоимость 1 кВт.ч"&amp;IF(TITLE_TYPE_ORG="Регулируемая организация"," (с учетом мощности)","")</f>
        <v xml:space="preserve">Средневзвешенная стоимость 1 кВт.ч (с учетом мощности)</v>
      </c>
      <c r="U26" s="1134" t="s">
        <v>2068</v>
      </c>
      <c r="V26" s="1134" t="s">
        <v>2068</v>
      </c>
      <c r="W26" s="1134" t="s">
        <v>2068</v>
      </c>
      <c r="X26" s="1013"/>
      <c r="Y26" s="1170"/>
      <c r="Z26" s="1016"/>
      <c r="AA26" s="1019"/>
      <c r="AB26" s="1016"/>
      <c r="AC26" s="1016"/>
      <c r="AD26" s="1016"/>
    </row>
    <row r="27" ht="18" customHeight="1">
      <c r="A27" s="1015"/>
      <c r="B27" s="1069">
        <v>10</v>
      </c>
      <c r="C27" s="1013" t="s">
        <v>662</v>
      </c>
      <c r="D27" s="1137"/>
      <c r="E27" s="1013"/>
      <c r="F27" s="1013"/>
      <c r="G27" s="1061"/>
      <c r="H27" s="1128"/>
      <c r="I27" s="1175" t="str">
        <f>INDEX(TEMPLATE_NUMBER_POINT_FHD,B27,MATCH(TEMPLATE_SPHERE,TEMPLATE_SPHERE_LIST_FOR_NOTE,0))</f>
        <v>2.3.2</v>
      </c>
      <c r="J27" s="1175" t="str">
        <f>INDEX(TEMPLATE_DATA_POINT_FHD,B27,MATCH(TEMPLATE_SPHERE,TEMPLATE_SPHERE_LIST_FOR_NOTE,0))</f>
        <v xml:space="preserve">Объём приобретения электрической энергии</v>
      </c>
      <c r="K27" s="1175">
        <f>INDEX(TEMPLATE_NOTE_POINT_FHD,B27,MATCH(TEMPLATE_SPHERE,TEMPLATE_SPHERE_LIST_FOR_NOTE,0))</f>
        <v>0</v>
      </c>
      <c r="L27" s="1014" t="str">
        <f>IF(I27=0,"",I27)</f>
        <v>2.3.2</v>
      </c>
      <c r="M27" s="1014" t="str">
        <f>IF(J27=0,"",J27)</f>
        <v xml:space="preserve">Объём приобретения электрической энергии</v>
      </c>
      <c r="N27" s="1014" t="str">
        <f>IF(K27=0,"",K27)</f>
        <v/>
      </c>
      <c r="O27" s="1127" t="s">
        <v>732</v>
      </c>
      <c r="P27" s="1127" t="s">
        <v>726</v>
      </c>
      <c r="Q27" s="1127" t="s">
        <v>2069</v>
      </c>
      <c r="R27" s="1127" t="s">
        <v>726</v>
      </c>
      <c r="S27" s="1127"/>
      <c r="T27" s="1134" t="s">
        <v>2070</v>
      </c>
      <c r="U27" s="1134" t="s">
        <v>2070</v>
      </c>
      <c r="V27" s="1134" t="s">
        <v>2070</v>
      </c>
      <c r="W27" s="1134" t="s">
        <v>2070</v>
      </c>
      <c r="X27" s="1013"/>
      <c r="Y27" s="1170"/>
      <c r="Z27" s="1016"/>
      <c r="AA27" s="1019"/>
      <c r="AB27" s="1016"/>
      <c r="AC27" s="1016"/>
      <c r="AD27" s="1016"/>
    </row>
    <row r="28" ht="27" customHeight="1">
      <c r="A28" s="1015"/>
      <c r="B28" s="1069">
        <v>11</v>
      </c>
      <c r="C28" s="1013">
        <v>7</v>
      </c>
      <c r="D28" s="1137"/>
      <c r="E28" s="1013"/>
      <c r="F28" s="1013"/>
      <c r="G28" s="1061"/>
      <c r="H28" s="1128"/>
      <c r="I28" s="1175" t="str">
        <f>INDEX(TEMPLATE_NUMBER_POINT_FHD,B28,MATCH(TEMPLATE_SPHERE,TEMPLATE_SPHERE_LIST_FOR_NOTE,0))</f>
        <v>2.4</v>
      </c>
      <c r="J28" s="1175" t="str">
        <f>INDEX(TEMPLATE_DATA_POINT_FHD,B28,MATCH(TEMPLATE_SPHERE,TEMPLATE_SPHERE_LIST_FOR_NOTE,0))</f>
        <v xml:space="preserve">Расходы на приобретение холодной воды, используемой в технологическом процессе</v>
      </c>
      <c r="K28" s="1175">
        <f>INDEX(TEMPLATE_NOTE_POINT_FHD,B28,MATCH(TEMPLATE_SPHERE,TEMPLATE_SPHERE_LIST_FOR_NOTE,0))</f>
        <v>0</v>
      </c>
      <c r="L28" s="1014" t="str">
        <f>IF(I28=0,"",I28)</f>
        <v>2.4</v>
      </c>
      <c r="M28" s="1014" t="str">
        <f>IF(J28=0,"",J28)</f>
        <v xml:space="preserve">Расходы на приобретение холодной воды, используемой в технологическом процессе</v>
      </c>
      <c r="N28" s="1014" t="str">
        <f>IF(K28=0,"",K28)</f>
        <v/>
      </c>
      <c r="O28" s="1127" t="s">
        <v>734</v>
      </c>
      <c r="P28" s="1127"/>
      <c r="Q28" s="1127"/>
      <c r="R28" s="1127"/>
      <c r="S28" s="1127"/>
      <c r="T28" s="1134" t="s">
        <v>2071</v>
      </c>
      <c r="U28" s="1016"/>
      <c r="V28" s="1016"/>
      <c r="W28" s="1016"/>
      <c r="X28" s="1013"/>
      <c r="Y28" s="1170"/>
      <c r="Z28" s="1016"/>
      <c r="AA28" s="1019"/>
      <c r="AB28" s="1016"/>
      <c r="AC28" s="1016"/>
      <c r="AD28" s="1016"/>
    </row>
    <row r="29" ht="27" customHeight="1">
      <c r="A29" s="1015"/>
      <c r="B29" s="1069">
        <v>12</v>
      </c>
      <c r="C29" s="1013">
        <v>8</v>
      </c>
      <c r="D29" s="1137"/>
      <c r="E29" s="1013"/>
      <c r="F29" s="1013"/>
      <c r="G29" s="1061"/>
      <c r="H29" s="1128"/>
      <c r="I29" s="1175" t="str">
        <f>INDEX(TEMPLATE_NUMBER_POINT_FHD,B29,MATCH(TEMPLATE_SPHERE,TEMPLATE_SPHERE_LIST_FOR_NOTE,0))</f>
        <v>2.5</v>
      </c>
      <c r="J29" s="1175" t="str">
        <f>INDEX(TEMPLATE_DATA_POINT_FHD,B29,MATCH(TEMPLATE_SPHERE,TEMPLATE_SPHERE_LIST_FOR_NOTE,0))</f>
        <v xml:space="preserve">Расходы на  химические реагенты, используемые в технологическом процессе</v>
      </c>
      <c r="K29" s="1175">
        <f>INDEX(TEMPLATE_NOTE_POINT_FHD,B29,MATCH(TEMPLATE_SPHERE,TEMPLATE_SPHERE_LIST_FOR_NOTE,0))</f>
        <v>0</v>
      </c>
      <c r="L29" s="1014" t="str">
        <f>IF(I29=0,"",I29)</f>
        <v>2.5</v>
      </c>
      <c r="M29" s="1014" t="str">
        <f>IF(J29=0,"",J29)</f>
        <v xml:space="preserve">Расходы на  химические реагенты, используемые в технологическом процессе</v>
      </c>
      <c r="N29" s="1014" t="str">
        <f>IF(K29=0,"",K29)</f>
        <v/>
      </c>
      <c r="O29" s="1127" t="s">
        <v>741</v>
      </c>
      <c r="P29" s="1127" t="s">
        <v>317</v>
      </c>
      <c r="Q29" s="1127"/>
      <c r="R29" s="1127" t="s">
        <v>317</v>
      </c>
      <c r="S29" s="1127"/>
      <c r="T29" s="1134" t="str">
        <f>"Расходы на  хим"&amp;IF(TITLE_TYPE_ORG="Регулируемая организация","ические",".")&amp;" реагенты, используемые в технологическом процессе"</f>
        <v xml:space="preserve">Расходы на  химические реагенты, используемые в технологическом процессе</v>
      </c>
      <c r="U29" s="1016" t="s">
        <v>2072</v>
      </c>
      <c r="V29" s="1016"/>
      <c r="W29" s="1016" t="s">
        <v>2072</v>
      </c>
      <c r="X29" s="1013"/>
      <c r="Y29" s="1170"/>
      <c r="Z29" s="1016"/>
      <c r="AA29" s="1019"/>
      <c r="AB29" s="1016"/>
      <c r="AC29" s="1016"/>
      <c r="AD29" s="1016"/>
    </row>
    <row r="30" ht="54" customHeight="1">
      <c r="A30" s="1015"/>
      <c r="B30" s="1069">
        <v>13</v>
      </c>
      <c r="C30" s="1013">
        <v>9</v>
      </c>
      <c r="D30" s="1137"/>
      <c r="E30" s="1013"/>
      <c r="F30" s="1013"/>
      <c r="G30" s="1061"/>
      <c r="H30" s="1128"/>
      <c r="I30" s="1175" t="str">
        <f>INDEX(TEMPLATE_NUMBER_POINT_FHD,B30,MATCH(TEMPLATE_SPHERE,TEMPLATE_SPHERE_LIST_FOR_NOTE,0))</f>
        <v>2.6</v>
      </c>
      <c r="J30" s="1175" t="str">
        <f>INDEX(TEMPLATE_DATA_POINT_FHD,B30,MATCH(TEMPLATE_SPHERE,TEMPLATE_SPHERE_LIST_FOR_NOTE,0))</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f>INDEX(TEMPLATE_NOTE_POINT_FHD,B30,MATCH(TEMPLATE_SPHERE,TEMPLATE_SPHERE_LIST_FOR_NOTE,0))</f>
        <v>0</v>
      </c>
      <c r="L30" s="1014" t="str">
        <f>IF(I30=0,"",I30)</f>
        <v>2.6</v>
      </c>
      <c r="M30" s="1014" t="str">
        <f>IF(J30=0,"",J30)</f>
        <v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
      </c>
      <c r="O30" s="1127" t="s">
        <v>743</v>
      </c>
      <c r="P30" s="1127" t="s">
        <v>734</v>
      </c>
      <c r="Q30" s="1127" t="s">
        <v>743</v>
      </c>
      <c r="R30" s="1127" t="s">
        <v>734</v>
      </c>
      <c r="S30" s="1127"/>
      <c r="T30" s="1134" t="s">
        <v>2073</v>
      </c>
      <c r="U30" s="1016" t="s">
        <v>2073</v>
      </c>
      <c r="V30" s="1016" t="s">
        <v>2073</v>
      </c>
      <c r="W30" s="1016" t="s">
        <v>2073</v>
      </c>
      <c r="X30" s="1013"/>
      <c r="Y30" s="1170"/>
      <c r="Z30" s="1016"/>
      <c r="AA30" s="1019" t="s">
        <v>2074</v>
      </c>
      <c r="AB30" s="1019" t="s">
        <v>2074</v>
      </c>
      <c r="AC30" s="1019" t="s">
        <v>2074</v>
      </c>
      <c r="AD30" s="1016"/>
    </row>
    <row r="31" ht="18" customHeight="1">
      <c r="A31" s="1015"/>
      <c r="B31" s="1069">
        <v>14</v>
      </c>
      <c r="C31" s="1013" t="s">
        <v>2075</v>
      </c>
      <c r="D31" s="1137"/>
      <c r="E31" s="1013"/>
      <c r="F31" s="1013"/>
      <c r="G31" s="1061"/>
      <c r="H31" s="1128"/>
      <c r="I31" s="1175" t="str">
        <f>INDEX(TEMPLATE_NUMBER_POINT_FHD,B31,MATCH(TEMPLATE_SPHERE,TEMPLATE_SPHERE_LIST_FOR_NOTE,0))</f>
        <v>2.6.1</v>
      </c>
      <c r="J31" s="1175" t="str">
        <f>INDEX(TEMPLATE_DATA_POINT_FHD,B31,MATCH(TEMPLATE_SPHERE,TEMPLATE_SPHERE_LIST_FOR_NOTE,0))</f>
        <v xml:space="preserve">Расходы на оплату труда основного производственного персонала</v>
      </c>
      <c r="K31" s="1175">
        <f>INDEX(TEMPLATE_NOTE_POINT_FHD,B31,MATCH(TEMPLATE_SPHERE,TEMPLATE_SPHERE_LIST_FOR_NOTE,0))</f>
        <v>0</v>
      </c>
      <c r="L31" s="1014" t="str">
        <f>IF(I31=0,"",I31)</f>
        <v>2.6.1</v>
      </c>
      <c r="M31" s="1014" t="str">
        <f>IF(J31=0,"",J31)</f>
        <v xml:space="preserve">Расходы на оплату труда основного производственного персонала</v>
      </c>
      <c r="N31" s="1014" t="str">
        <f>IF(K31=0,"",K31)</f>
        <v/>
      </c>
      <c r="O31" s="1127" t="s">
        <v>2076</v>
      </c>
      <c r="P31" s="1127" t="s">
        <v>737</v>
      </c>
      <c r="Q31" s="1127" t="s">
        <v>2076</v>
      </c>
      <c r="R31" s="1127" t="s">
        <v>737</v>
      </c>
      <c r="S31" s="1127"/>
      <c r="T31" s="1135" t="s">
        <v>2077</v>
      </c>
      <c r="U31" s="1016" t="s">
        <v>2077</v>
      </c>
      <c r="V31" s="1016" t="s">
        <v>2077</v>
      </c>
      <c r="W31" s="1016" t="s">
        <v>2077</v>
      </c>
      <c r="X31" s="1013"/>
      <c r="Y31" s="1170"/>
      <c r="Z31" s="1016"/>
      <c r="AA31" s="1019"/>
      <c r="AB31" s="1019"/>
      <c r="AC31" s="1019"/>
      <c r="AD31" s="1016"/>
    </row>
    <row r="32" ht="36" customHeight="1">
      <c r="A32" s="1015"/>
      <c r="B32" s="1069">
        <v>15</v>
      </c>
      <c r="C32" s="1013" t="s">
        <v>2078</v>
      </c>
      <c r="D32" s="1137"/>
      <c r="E32" s="1013"/>
      <c r="F32" s="1013"/>
      <c r="G32" s="1061"/>
      <c r="H32" s="1128"/>
      <c r="I32" s="1175" t="str">
        <f>INDEX(TEMPLATE_NUMBER_POINT_FHD,B32,MATCH(TEMPLATE_SPHERE,TEMPLATE_SPHERE_LIST_FOR_NOTE,0))</f>
        <v>2.6.2</v>
      </c>
      <c r="J32" s="1175" t="str">
        <f>INDEX(TEMPLATE_DATA_POINT_FHD,B32,MATCH(TEMPLATE_SPHERE,TEMPLATE_SPHERE_LIST_FOR_NOTE,0))</f>
        <v xml:space="preserve">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2.6.2</v>
      </c>
      <c r="M32" s="1014" t="str">
        <f>IF(J32=0,"",J32)</f>
        <v xml:space="preserve">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2079</v>
      </c>
      <c r="P32" s="1127" t="s">
        <v>739</v>
      </c>
      <c r="Q32" s="1127" t="s">
        <v>2079</v>
      </c>
      <c r="R32" s="1127" t="s">
        <v>739</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 xml:space="preserve">Страховые взносы на обязательное социальное страхование, выплачиваемые из фонда оплаты труда основного производственного персонала</v>
      </c>
      <c r="U32" s="1016" t="s">
        <v>2080</v>
      </c>
      <c r="V32" s="1016" t="s">
        <v>2080</v>
      </c>
      <c r="W32" s="1016" t="s">
        <v>2080</v>
      </c>
      <c r="X32" s="1013"/>
      <c r="Y32" s="1170"/>
      <c r="Z32" s="1016"/>
      <c r="AA32" s="1019"/>
      <c r="AB32" s="1019"/>
      <c r="AC32" s="1019"/>
      <c r="AD32" s="1016"/>
    </row>
    <row r="33" ht="45" customHeight="1">
      <c r="A33" s="1015"/>
      <c r="B33" s="1069">
        <v>16</v>
      </c>
      <c r="C33" s="1013">
        <v>10</v>
      </c>
      <c r="D33" s="1137"/>
      <c r="E33" s="1013"/>
      <c r="F33" s="1013"/>
      <c r="G33" s="1061"/>
      <c r="H33" s="1128"/>
      <c r="I33" s="1175" t="str">
        <f>INDEX(TEMPLATE_NUMBER_POINT_FHD,B33,MATCH(TEMPLATE_SPHERE,TEMPLATE_SPHERE_LIST_FOR_NOTE,0))</f>
        <v>2.7</v>
      </c>
      <c r="J33" s="1175" t="str">
        <f>INDEX(TEMPLATE_DATA_POINT_FHD,B33,MATCH(TEMPLATE_SPHERE,TEMPLATE_SPHERE_LIST_FOR_NOTE,0))</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f>INDEX(TEMPLATE_NOTE_POINT_FHD,B33,MATCH(TEMPLATE_SPHERE,TEMPLATE_SPHERE_LIST_FOR_NOTE,0))</f>
        <v>0</v>
      </c>
      <c r="L33" s="1014" t="str">
        <f>IF(I33=0,"",I33)</f>
        <v>2.7</v>
      </c>
      <c r="M33" s="1014" t="str">
        <f>IF(J33=0,"",J33)</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
      </c>
      <c r="O33" s="1127" t="s">
        <v>745</v>
      </c>
      <c r="P33" s="1127" t="s">
        <v>741</v>
      </c>
      <c r="Q33" s="1127" t="s">
        <v>745</v>
      </c>
      <c r="R33" s="1127" t="s">
        <v>741</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16" t="s">
        <v>2081</v>
      </c>
      <c r="V33" s="1016" t="s">
        <v>2081</v>
      </c>
      <c r="W33" s="1016" t="s">
        <v>2082</v>
      </c>
      <c r="X33" s="1013"/>
      <c r="Y33" s="1170"/>
      <c r="Z33" s="1016"/>
      <c r="AA33" s="1019" t="s">
        <v>2083</v>
      </c>
      <c r="AB33" s="1019" t="s">
        <v>2083</v>
      </c>
      <c r="AC33" s="1019" t="s">
        <v>2083</v>
      </c>
      <c r="AD33" s="1016"/>
    </row>
    <row r="34" ht="27" customHeight="1">
      <c r="A34" s="1015"/>
      <c r="B34" s="1069">
        <v>17</v>
      </c>
      <c r="C34" s="1013" t="s">
        <v>2084</v>
      </c>
      <c r="D34" s="1137"/>
      <c r="E34" s="1013"/>
      <c r="F34" s="1013"/>
      <c r="G34" s="1061"/>
      <c r="H34" s="1128"/>
      <c r="I34" s="1175" t="str">
        <f>INDEX(TEMPLATE_NUMBER_POINT_FHD,B34,MATCH(TEMPLATE_SPHERE,TEMPLATE_SPHERE_LIST_FOR_NOTE,0))</f>
        <v>2.7.1</v>
      </c>
      <c r="J34" s="1175" t="str">
        <f>INDEX(TEMPLATE_DATA_POINT_FHD,B34,MATCH(TEMPLATE_SPHERE,TEMPLATE_SPHERE_LIST_FOR_NOTE,0))</f>
        <v xml:space="preserve">Расходы на оплату труда административно-управленческого персонала</v>
      </c>
      <c r="K34" s="1175">
        <f>INDEX(TEMPLATE_NOTE_POINT_FHD,B34,MATCH(TEMPLATE_SPHERE,TEMPLATE_SPHERE_LIST_FOR_NOTE,0))</f>
        <v>0</v>
      </c>
      <c r="L34" s="1014" t="str">
        <f>IF(I34=0,"",I34)</f>
        <v>2.7.1</v>
      </c>
      <c r="M34" s="1014" t="str">
        <f>IF(J34=0,"",J34)</f>
        <v xml:space="preserve">Расходы на оплату труда административно-управленческого персонала</v>
      </c>
      <c r="N34" s="1014" t="str">
        <f>IF(K34=0,"",K34)</f>
        <v/>
      </c>
      <c r="O34" s="1127" t="s">
        <v>2085</v>
      </c>
      <c r="P34" s="1127" t="s">
        <v>2067</v>
      </c>
      <c r="Q34" s="1127" t="s">
        <v>2085</v>
      </c>
      <c r="R34" s="1127" t="s">
        <v>2067</v>
      </c>
      <c r="S34" s="1127"/>
      <c r="T34" s="1136" t="s">
        <v>2086</v>
      </c>
      <c r="U34" s="1016" t="s">
        <v>2086</v>
      </c>
      <c r="V34" s="1016" t="s">
        <v>2086</v>
      </c>
      <c r="W34" s="1016" t="s">
        <v>2087</v>
      </c>
      <c r="X34" s="1013"/>
      <c r="Y34" s="1170"/>
      <c r="Z34" s="1016"/>
      <c r="AA34" s="1019"/>
      <c r="AB34" s="1016"/>
      <c r="AC34" s="1016"/>
      <c r="AD34" s="1016"/>
    </row>
    <row r="35" ht="45" customHeight="1">
      <c r="A35" s="1015"/>
      <c r="B35" s="1069">
        <v>18</v>
      </c>
      <c r="C35" s="1013" t="s">
        <v>2088</v>
      </c>
      <c r="D35" s="1137"/>
      <c r="E35" s="1013"/>
      <c r="F35" s="1013"/>
      <c r="G35" s="1061"/>
      <c r="H35" s="1128"/>
      <c r="I35" s="1175" t="str">
        <f>INDEX(TEMPLATE_NUMBER_POINT_FHD,B35,MATCH(TEMPLATE_SPHERE,TEMPLATE_SPHERE_LIST_FOR_NOTE,0))</f>
        <v>2.7.2</v>
      </c>
      <c r="J35" s="1175" t="str">
        <f>INDEX(TEMPLATE_DATA_POINT_FHD,B35,MATCH(TEMPLATE_SPHERE,TEMPLATE_SPHERE_LIST_FOR_NOTE,0))</f>
        <v xml:space="preserve">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2.7.2</v>
      </c>
      <c r="M35" s="1014" t="str">
        <f>IF(J35=0,"",J35)</f>
        <v xml:space="preserve">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2089</v>
      </c>
      <c r="P35" s="1127" t="s">
        <v>2069</v>
      </c>
      <c r="Q35" s="1127" t="s">
        <v>2089</v>
      </c>
      <c r="R35" s="1127" t="s">
        <v>2069</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 xml:space="preserve">Страховые взносы на обязательное социальное страхование, выплачиваемые из фонда оплаты труда административно-управленческого персонала</v>
      </c>
      <c r="U35" s="1016" t="s">
        <v>2090</v>
      </c>
      <c r="V35" s="1016" t="s">
        <v>2090</v>
      </c>
      <c r="W35" s="1016" t="s">
        <v>2090</v>
      </c>
      <c r="X35" s="1013"/>
      <c r="Y35" s="1170"/>
      <c r="Z35" s="1016"/>
      <c r="AA35" s="1019"/>
      <c r="AB35" s="1016"/>
      <c r="AC35" s="1016"/>
      <c r="AD35" s="1016"/>
    </row>
    <row r="36" ht="18" customHeight="1">
      <c r="A36" s="1015"/>
      <c r="B36" s="1069">
        <v>19</v>
      </c>
      <c r="C36" s="1013">
        <v>11</v>
      </c>
      <c r="D36" s="1137"/>
      <c r="E36" s="1013"/>
      <c r="F36" s="1013"/>
      <c r="G36" s="1061"/>
      <c r="H36" s="1128"/>
      <c r="I36" s="1175" t="str">
        <f>INDEX(TEMPLATE_NUMBER_POINT_FHD,B36,MATCH(TEMPLATE_SPHERE,TEMPLATE_SPHERE_LIST_FOR_NOTE,0))</f>
        <v>2.8</v>
      </c>
      <c r="J36" s="1175" t="str">
        <f>INDEX(TEMPLATE_DATA_POINT_FHD,B36,MATCH(TEMPLATE_SPHERE,TEMPLATE_SPHERE_LIST_FOR_NOTE,0))</f>
        <v xml:space="preserve">Расходы на амортизацию основных средств и нематериальных активов</v>
      </c>
      <c r="K36" s="1175">
        <f>INDEX(TEMPLATE_NOTE_POINT_FHD,B36,MATCH(TEMPLATE_SPHERE,TEMPLATE_SPHERE_LIST_FOR_NOTE,0))</f>
        <v>0</v>
      </c>
      <c r="L36" s="1014" t="str">
        <f>IF(I36=0,"",I36)</f>
        <v>2.8</v>
      </c>
      <c r="M36" s="1014" t="str">
        <f>IF(J36=0,"",J36)</f>
        <v xml:space="preserve">Расходы на амортизацию основных средств и нематериальных активов</v>
      </c>
      <c r="N36" s="1014" t="str">
        <f>IF(K36=0,"",K36)</f>
        <v/>
      </c>
      <c r="O36" s="1127" t="s">
        <v>747</v>
      </c>
      <c r="P36" s="1127" t="s">
        <v>743</v>
      </c>
      <c r="Q36" s="1127" t="s">
        <v>747</v>
      </c>
      <c r="R36" s="1127" t="s">
        <v>743</v>
      </c>
      <c r="S36" s="1127"/>
      <c r="T36" s="1134" t="s">
        <v>2091</v>
      </c>
      <c r="U36" s="1016" t="s">
        <v>2091</v>
      </c>
      <c r="V36" s="1016" t="s">
        <v>2091</v>
      </c>
      <c r="W36" s="1016" t="s">
        <v>2091</v>
      </c>
      <c r="X36" s="1013"/>
      <c r="Y36" s="1170"/>
      <c r="Z36" s="1016"/>
      <c r="AA36" s="1019"/>
      <c r="AB36" s="1016"/>
      <c r="AC36" s="1016"/>
      <c r="AD36" s="1016"/>
    </row>
    <row r="37" ht="18" customHeight="1">
      <c r="A37" s="1015"/>
      <c r="B37" s="1069">
        <v>20</v>
      </c>
      <c r="C37" s="1013" t="s">
        <v>2092</v>
      </c>
      <c r="D37" s="1137"/>
      <c r="E37" s="1013"/>
      <c r="F37" s="1013"/>
      <c r="G37" s="1061"/>
      <c r="H37" s="1128"/>
      <c r="I37" s="1175" t="str">
        <f>INDEX(TEMPLATE_NUMBER_POINT_FHD,B37,MATCH(TEMPLATE_SPHERE,TEMPLATE_SPHERE_LIST_FOR_NOTE,0))</f>
        <v>2.8.1</v>
      </c>
      <c r="J37" s="1175" t="str">
        <f>INDEX(TEMPLATE_DATA_POINT_FHD,B37,MATCH(TEMPLATE_SPHERE,TEMPLATE_SPHERE_LIST_FOR_NOTE,0))</f>
        <v xml:space="preserve">Расходы на амортизацию основных средств</v>
      </c>
      <c r="K37" s="1175">
        <f>INDEX(TEMPLATE_NOTE_POINT_FHD,B37,MATCH(TEMPLATE_SPHERE,TEMPLATE_SPHERE_LIST_FOR_NOTE,0))</f>
        <v>0</v>
      </c>
      <c r="L37" s="1014" t="str">
        <f>IF(I37=0,"",I37)</f>
        <v>2.8.1</v>
      </c>
      <c r="M37" s="1014" t="str">
        <f>IF(J37=0,"",J37)</f>
        <v xml:space="preserve">Расходы на амортизацию основных средств</v>
      </c>
      <c r="N37" s="1014" t="str">
        <f>IF(K37=0,"",K37)</f>
        <v/>
      </c>
      <c r="O37" s="1127" t="s">
        <v>2093</v>
      </c>
      <c r="P37" s="1127" t="s">
        <v>2076</v>
      </c>
      <c r="Q37" s="1127" t="s">
        <v>2093</v>
      </c>
      <c r="R37" s="1127" t="s">
        <v>2076</v>
      </c>
      <c r="S37" s="1127"/>
      <c r="T37" s="1134" t="s">
        <v>2094</v>
      </c>
      <c r="U37" s="1016" t="s">
        <v>2094</v>
      </c>
      <c r="V37" s="1016" t="s">
        <v>2094</v>
      </c>
      <c r="W37" s="1016" t="s">
        <v>2094</v>
      </c>
      <c r="X37" s="1013"/>
      <c r="Y37" s="1170"/>
      <c r="Z37" s="1016"/>
      <c r="AA37" s="1019"/>
      <c r="AB37" s="1016"/>
      <c r="AC37" s="1016"/>
      <c r="AD37" s="1016"/>
    </row>
    <row r="38" ht="18" customHeight="1">
      <c r="A38" s="1015"/>
      <c r="B38" s="1069">
        <v>21</v>
      </c>
      <c r="C38" s="1013" t="s">
        <v>2095</v>
      </c>
      <c r="D38" s="1137"/>
      <c r="E38" s="1013"/>
      <c r="F38" s="1013"/>
      <c r="G38" s="1061"/>
      <c r="H38" s="1128"/>
      <c r="I38" s="1175" t="str">
        <f>INDEX(TEMPLATE_NUMBER_POINT_FHD,B38,MATCH(TEMPLATE_SPHERE,TEMPLATE_SPHERE_LIST_FOR_NOTE,0))</f>
        <v>2.8.2</v>
      </c>
      <c r="J38" s="1175" t="str">
        <f>INDEX(TEMPLATE_DATA_POINT_FHD,B38,MATCH(TEMPLATE_SPHERE,TEMPLATE_SPHERE_LIST_FOR_NOTE,0))</f>
        <v xml:space="preserve">Расходы на амортизацию нематериальных активов</v>
      </c>
      <c r="K38" s="1175">
        <f>INDEX(TEMPLATE_NOTE_POINT_FHD,B38,MATCH(TEMPLATE_SPHERE,TEMPLATE_SPHERE_LIST_FOR_NOTE,0))</f>
        <v>0</v>
      </c>
      <c r="L38" s="1014" t="str">
        <f>IF(I38=0,"",I38)</f>
        <v>2.8.2</v>
      </c>
      <c r="M38" s="1014" t="str">
        <f>IF(J38=0,"",J38)</f>
        <v xml:space="preserve">Расходы на амортизацию нематериальных активов</v>
      </c>
      <c r="N38" s="1014" t="str">
        <f>IF(K38=0,"",K38)</f>
        <v/>
      </c>
      <c r="O38" s="1127" t="s">
        <v>2096</v>
      </c>
      <c r="P38" s="1127" t="s">
        <v>2079</v>
      </c>
      <c r="Q38" s="1127" t="s">
        <v>2096</v>
      </c>
      <c r="R38" s="1127" t="s">
        <v>2079</v>
      </c>
      <c r="S38" s="1127"/>
      <c r="T38" s="1134" t="s">
        <v>2097</v>
      </c>
      <c r="U38" s="1016" t="s">
        <v>2097</v>
      </c>
      <c r="V38" s="1016" t="s">
        <v>2097</v>
      </c>
      <c r="W38" s="1016" t="s">
        <v>2097</v>
      </c>
      <c r="X38" s="1013"/>
      <c r="Y38" s="1170"/>
      <c r="Z38" s="1016"/>
      <c r="AA38" s="1019"/>
      <c r="AB38" s="1016"/>
      <c r="AC38" s="1016"/>
      <c r="AD38" s="1016"/>
    </row>
    <row r="39" ht="36" customHeight="1">
      <c r="A39" s="1015"/>
      <c r="B39" s="1069">
        <v>22</v>
      </c>
      <c r="C39" s="1013">
        <v>12</v>
      </c>
      <c r="D39" s="1137"/>
      <c r="E39" s="1013"/>
      <c r="F39" s="1013"/>
      <c r="G39" s="1061"/>
      <c r="H39" s="1128"/>
      <c r="I39" s="1175" t="str">
        <f>INDEX(TEMPLATE_NUMBER_POINT_FHD,B39,MATCH(TEMPLATE_SPHERE,TEMPLATE_SPHERE_LIST_FOR_NOTE,0))</f>
        <v>2.9</v>
      </c>
      <c r="J39" s="1175" t="str">
        <f>INDEX(TEMPLATE_DATA_POINT_FHD,B39,MATCH(TEMPLATE_SPHERE,TEMPLATE_SPHERE_LIST_FOR_NOTE,0))</f>
        <v xml:space="preserve">Расходы на аренду имущества, используемого для осуществления регулируемого вида деятельности</v>
      </c>
      <c r="K39" s="1175">
        <f>INDEX(TEMPLATE_NOTE_POINT_FHD,B39,MATCH(TEMPLATE_SPHERE,TEMPLATE_SPHERE_LIST_FOR_NOTE,0))</f>
        <v>0</v>
      </c>
      <c r="L39" s="1014" t="str">
        <f>IF(I39=0,"",I39)</f>
        <v>2.9</v>
      </c>
      <c r="M39" s="1014" t="str">
        <f>IF(J39=0,"",J39)</f>
        <v xml:space="preserve">Расходы на аренду имущества, используемого для осуществления регулируемого вида деятельности</v>
      </c>
      <c r="N39" s="1014" t="str">
        <f>IF(K39=0,"",K39)</f>
        <v/>
      </c>
      <c r="O39" s="1127" t="s">
        <v>751</v>
      </c>
      <c r="P39" s="1127" t="s">
        <v>745</v>
      </c>
      <c r="Q39" s="1127" t="s">
        <v>751</v>
      </c>
      <c r="R39" s="1127" t="s">
        <v>745</v>
      </c>
      <c r="S39" s="1127"/>
      <c r="T39" s="1134" t="s">
        <v>2098</v>
      </c>
      <c r="U39" s="1016" t="s">
        <v>2099</v>
      </c>
      <c r="V39" s="1016" t="s">
        <v>2100</v>
      </c>
      <c r="W39" s="1016" t="s">
        <v>2101</v>
      </c>
      <c r="X39" s="1013"/>
      <c r="Y39" s="1170"/>
      <c r="Z39" s="1016"/>
      <c r="AA39" s="1019"/>
      <c r="AB39" s="1016"/>
      <c r="AC39" s="1016"/>
      <c r="AD39" s="1016"/>
    </row>
    <row r="40" ht="18" customHeight="1">
      <c r="A40" s="1015"/>
      <c r="B40" s="1069">
        <v>23</v>
      </c>
      <c r="C40" s="1013">
        <v>13</v>
      </c>
      <c r="D40" s="1137"/>
      <c r="E40" s="1013"/>
      <c r="F40" s="1013"/>
      <c r="G40" s="1013"/>
      <c r="H40" s="1064"/>
      <c r="I40" s="1175" t="str">
        <f>INDEX(TEMPLATE_NUMBER_POINT_FHD,B40,MATCH(TEMPLATE_SPHERE,TEMPLATE_SPHERE_LIST_FOR_NOTE,0))</f>
        <v>2.10</v>
      </c>
      <c r="J40" s="1175" t="str">
        <f>INDEX(TEMPLATE_DATA_POINT_FHD,B40,MATCH(TEMPLATE_SPHERE,TEMPLATE_SPHERE_LIST_FOR_NOTE,0))</f>
        <v xml:space="preserve">Общепроизводственные расходы, в том числе:</v>
      </c>
      <c r="K40" s="1175" t="str">
        <f>INDEX(TEMPLATE_NOTE_POINT_FHD,B40,MATCH(TEMPLATE_SPHERE,TEMPLATE_SPHERE_LIST_FOR_NOTE,0))</f>
        <v xml:space="preserve">Указывается общая сумма общепроизводственных расходов.</v>
      </c>
      <c r="L40" s="1014" t="str">
        <f>IF(I40=0,"",I40)</f>
        <v>2.10</v>
      </c>
      <c r="M40" s="1014" t="str">
        <f>IF(J40=0,"",J40)</f>
        <v xml:space="preserve">Общепроизводственные расходы, в том числе:</v>
      </c>
      <c r="N40" s="1014" t="str">
        <f>IF(K40=0,"",K40)</f>
        <v xml:space="preserve">Указывается общая сумма общепроизводственных расходов.</v>
      </c>
      <c r="O40" s="1127" t="s">
        <v>2102</v>
      </c>
      <c r="P40" s="1127" t="s">
        <v>747</v>
      </c>
      <c r="Q40" s="1127" t="s">
        <v>2102</v>
      </c>
      <c r="R40" s="1127" t="s">
        <v>747</v>
      </c>
      <c r="S40" s="1127"/>
      <c r="T40" s="1013" t="s">
        <v>2103</v>
      </c>
      <c r="U40" s="1013" t="s">
        <v>2103</v>
      </c>
      <c r="V40" s="1013" t="s">
        <v>2103</v>
      </c>
      <c r="W40" s="1013" t="s">
        <v>2103</v>
      </c>
      <c r="X40" s="1013"/>
      <c r="Y40" s="1170"/>
      <c r="Z40" s="1016" t="s">
        <v>2104</v>
      </c>
      <c r="AA40" s="1019" t="s">
        <v>2104</v>
      </c>
      <c r="AB40" s="1019" t="s">
        <v>2104</v>
      </c>
      <c r="AC40" s="1019" t="s">
        <v>2104</v>
      </c>
      <c r="AD40" s="1016"/>
    </row>
    <row r="41" ht="27" customHeight="1">
      <c r="A41" s="1015"/>
      <c r="B41" s="1069">
        <v>24</v>
      </c>
      <c r="C41" s="1013" t="s">
        <v>2105</v>
      </c>
      <c r="D41" s="1137"/>
      <c r="E41" s="1013"/>
      <c r="F41" s="1013"/>
      <c r="G41" s="1013"/>
      <c r="H41" s="1061"/>
      <c r="I41" s="1175" t="str">
        <f>INDEX(TEMPLATE_NUMBER_POINT_FHD,B41,MATCH(TEMPLATE_SPHERE,TEMPLATE_SPHERE_LIST_FOR_NOTE,0))</f>
        <v>2.10.1</v>
      </c>
      <c r="J41" s="1175" t="str">
        <f>INDEX(TEMPLATE_DATA_POINT_FHD,B41,MATCH(TEMPLATE_SPHERE,TEMPLATE_SPHERE_LIST_FOR_NOTE,0))</f>
        <v xml:space="preserve">Расходы на текущий ремонт</v>
      </c>
      <c r="K41" s="1175" t="str">
        <f>INDEX(TEMPLATE_NOTE_POINT_FHD,B41,MATCH(TEMPLATE_SPHERE,TEMPLATE_SPHERE_LIST_FOR_NOTE,0))</f>
        <v xml:space="preserve">Указываются расходы на текущий ремонт, отнесенные к общепроизводственным расходам.</v>
      </c>
      <c r="L41" s="1014" t="str">
        <f>IF(I41=0,"",I41)</f>
        <v>2.10.1</v>
      </c>
      <c r="M41" s="1014" t="str">
        <f>IF(J41=0,"",J41)</f>
        <v xml:space="preserve">Расходы на текущий ремонт</v>
      </c>
      <c r="N41" s="1014" t="str">
        <f>IF(K41=0,"",K41)</f>
        <v xml:space="preserve">Указываются расходы на текущий ремонт, отнесенные к общепроизводственным расходам.</v>
      </c>
      <c r="O41" s="1127" t="s">
        <v>2106</v>
      </c>
      <c r="P41" s="1127" t="s">
        <v>2093</v>
      </c>
      <c r="Q41" s="1127" t="s">
        <v>2106</v>
      </c>
      <c r="R41" s="1127" t="s">
        <v>2093</v>
      </c>
      <c r="S41" s="1127"/>
      <c r="T41" s="1013" t="s">
        <v>2107</v>
      </c>
      <c r="U41" s="1013" t="s">
        <v>2107</v>
      </c>
      <c r="V41" s="1013" t="s">
        <v>2107</v>
      </c>
      <c r="W41" s="1013" t="s">
        <v>2107</v>
      </c>
      <c r="X41" s="1013"/>
      <c r="Y41" s="1170"/>
      <c r="Z41" s="1016" t="s">
        <v>2108</v>
      </c>
      <c r="AA41" s="1016" t="s">
        <v>2108</v>
      </c>
      <c r="AB41" s="1016" t="s">
        <v>2108</v>
      </c>
      <c r="AC41" s="1016" t="s">
        <v>2108</v>
      </c>
      <c r="AD41" s="1016"/>
    </row>
    <row r="42" ht="27" customHeight="1">
      <c r="A42" s="1015"/>
      <c r="B42" s="1069">
        <v>25</v>
      </c>
      <c r="C42" s="1013" t="s">
        <v>2109</v>
      </c>
      <c r="D42" s="1137"/>
      <c r="E42" s="1013"/>
      <c r="F42" s="1013"/>
      <c r="G42" s="1013"/>
      <c r="H42" s="1061"/>
      <c r="I42" s="1175" t="str">
        <f>INDEX(TEMPLATE_NUMBER_POINT_FHD,B42,MATCH(TEMPLATE_SPHERE,TEMPLATE_SPHERE_LIST_FOR_NOTE,0))</f>
        <v>2.10.2</v>
      </c>
      <c r="J42" s="1175" t="str">
        <f>INDEX(TEMPLATE_DATA_POINT_FHD,B42,MATCH(TEMPLATE_SPHERE,TEMPLATE_SPHERE_LIST_FOR_NOTE,0))</f>
        <v xml:space="preserve">Расходы на капитальный ремонт</v>
      </c>
      <c r="K42" s="1175" t="str">
        <f>INDEX(TEMPLATE_NOTE_POINT_FHD,B42,MATCH(TEMPLATE_SPHERE,TEMPLATE_SPHERE_LIST_FOR_NOTE,0))</f>
        <v xml:space="preserve">Указываются расходы на капитальный ремонт, отнесенные к общепроизводственным расходам.</v>
      </c>
      <c r="L42" s="1014" t="str">
        <f>IF(I42=0,"",I42)</f>
        <v>2.10.2</v>
      </c>
      <c r="M42" s="1014" t="str">
        <f>IF(J42=0,"",J42)</f>
        <v xml:space="preserve">Расходы на капитальный ремонт</v>
      </c>
      <c r="N42" s="1014" t="str">
        <f>IF(K42=0,"",K42)</f>
        <v xml:space="preserve">Указываются расходы на капитальный ремонт, отнесенные к общепроизводственным расходам.</v>
      </c>
      <c r="O42" s="1127" t="s">
        <v>2110</v>
      </c>
      <c r="P42" s="1127" t="s">
        <v>2096</v>
      </c>
      <c r="Q42" s="1127" t="s">
        <v>2110</v>
      </c>
      <c r="R42" s="1127" t="s">
        <v>2096</v>
      </c>
      <c r="S42" s="1127"/>
      <c r="T42" s="1013" t="s">
        <v>2111</v>
      </c>
      <c r="U42" s="1013" t="s">
        <v>2111</v>
      </c>
      <c r="V42" s="1013" t="s">
        <v>2111</v>
      </c>
      <c r="W42" s="1013" t="s">
        <v>2111</v>
      </c>
      <c r="X42" s="1013"/>
      <c r="Y42" s="1170"/>
      <c r="Z42" s="1016" t="s">
        <v>2112</v>
      </c>
      <c r="AA42" s="1016" t="s">
        <v>2112</v>
      </c>
      <c r="AB42" s="1016" t="s">
        <v>2112</v>
      </c>
      <c r="AC42" s="1016" t="s">
        <v>2112</v>
      </c>
      <c r="AD42" s="1016"/>
    </row>
    <row r="43" ht="18" customHeight="1">
      <c r="A43" s="1015"/>
      <c r="B43" s="1069">
        <v>26</v>
      </c>
      <c r="C43" s="1013">
        <v>14</v>
      </c>
      <c r="D43" s="1137"/>
      <c r="E43" s="1013"/>
      <c r="F43" s="1013"/>
      <c r="G43" s="1013"/>
      <c r="H43" s="1061"/>
      <c r="I43" s="1175" t="str">
        <f>INDEX(TEMPLATE_NUMBER_POINT_FHD,B43,MATCH(TEMPLATE_SPHERE,TEMPLATE_SPHERE_LIST_FOR_NOTE,0))</f>
        <v>2.11</v>
      </c>
      <c r="J43" s="1175" t="str">
        <f>INDEX(TEMPLATE_DATA_POINT_FHD,B43,MATCH(TEMPLATE_SPHERE,TEMPLATE_SPHERE_LIST_FOR_NOTE,0))</f>
        <v xml:space="preserve">Общехозяйственные расходы, в том числе:</v>
      </c>
      <c r="K43" s="1175" t="str">
        <f>INDEX(TEMPLATE_NOTE_POINT_FHD,B43,MATCH(TEMPLATE_SPHERE,TEMPLATE_SPHERE_LIST_FOR_NOTE,0))</f>
        <v xml:space="preserve">Указывается общая сумма общехозяйственных расходов.</v>
      </c>
      <c r="L43" s="1014" t="str">
        <f>IF(I43=0,"",I43)</f>
        <v>2.11</v>
      </c>
      <c r="M43" s="1014" t="str">
        <f>IF(J43=0,"",J43)</f>
        <v xml:space="preserve">Общехозяйственные расходы, в том числе:</v>
      </c>
      <c r="N43" s="1014" t="str">
        <f>IF(K43=0,"",K43)</f>
        <v xml:space="preserve">Указывается общая сумма общехозяйственных расходов.</v>
      </c>
      <c r="O43" s="1127" t="s">
        <v>2113</v>
      </c>
      <c r="P43" s="1127" t="s">
        <v>751</v>
      </c>
      <c r="Q43" s="1127" t="s">
        <v>2113</v>
      </c>
      <c r="R43" s="1127" t="s">
        <v>751</v>
      </c>
      <c r="S43" s="1127"/>
      <c r="T43" s="1013" t="s">
        <v>2114</v>
      </c>
      <c r="U43" s="1013" t="s">
        <v>2114</v>
      </c>
      <c r="V43" s="1013" t="s">
        <v>2114</v>
      </c>
      <c r="W43" s="1013" t="s">
        <v>2114</v>
      </c>
      <c r="X43" s="1013"/>
      <c r="Y43" s="1170"/>
      <c r="Z43" s="1016" t="s">
        <v>2115</v>
      </c>
      <c r="AA43" s="1016" t="s">
        <v>2115</v>
      </c>
      <c r="AB43" s="1016" t="s">
        <v>2115</v>
      </c>
      <c r="AC43" s="1016" t="s">
        <v>2115</v>
      </c>
      <c r="AD43" s="1016"/>
    </row>
    <row r="44" ht="27" customHeight="1">
      <c r="A44" s="1015"/>
      <c r="B44" s="1069">
        <v>27</v>
      </c>
      <c r="C44" s="1013" t="s">
        <v>2116</v>
      </c>
      <c r="D44" s="1137"/>
      <c r="E44" s="1013"/>
      <c r="F44" s="1013"/>
      <c r="G44" s="1013"/>
      <c r="H44" s="1061"/>
      <c r="I44" s="1175" t="str">
        <f>INDEX(TEMPLATE_NUMBER_POINT_FHD,B44,MATCH(TEMPLATE_SPHERE,TEMPLATE_SPHERE_LIST_FOR_NOTE,0))</f>
        <v>2.11.1</v>
      </c>
      <c r="J44" s="1175" t="str">
        <f>INDEX(TEMPLATE_DATA_POINT_FHD,B44,MATCH(TEMPLATE_SPHERE,TEMPLATE_SPHERE_LIST_FOR_NOTE,0))</f>
        <v xml:space="preserve">Расходы на текущий ремонт</v>
      </c>
      <c r="K44" s="1175" t="str">
        <f>INDEX(TEMPLATE_NOTE_POINT_FHD,B44,MATCH(TEMPLATE_SPHERE,TEMPLATE_SPHERE_LIST_FOR_NOTE,0))</f>
        <v xml:space="preserve">Указываются расходы на текущий ремонт, отнесенные к общехозяйственным расходам.</v>
      </c>
      <c r="L44" s="1014" t="str">
        <f>IF(I44=0,"",I44)</f>
        <v>2.11.1</v>
      </c>
      <c r="M44" s="1014" t="str">
        <f>IF(J44=0,"",J44)</f>
        <v xml:space="preserve">Расходы на текущий ремонт</v>
      </c>
      <c r="N44" s="1014" t="str">
        <f>IF(K44=0,"",K44)</f>
        <v xml:space="preserve">Указываются расходы на текущий ремонт, отнесенные к общехозяйственным расходам.</v>
      </c>
      <c r="O44" s="1127" t="s">
        <v>2117</v>
      </c>
      <c r="P44" s="1127" t="s">
        <v>2118</v>
      </c>
      <c r="Q44" s="1127" t="s">
        <v>2117</v>
      </c>
      <c r="R44" s="1127" t="s">
        <v>2118</v>
      </c>
      <c r="S44" s="1127"/>
      <c r="T44" s="1013" t="s">
        <v>2107</v>
      </c>
      <c r="U44" s="1013" t="s">
        <v>2107</v>
      </c>
      <c r="V44" s="1013" t="s">
        <v>2107</v>
      </c>
      <c r="W44" s="1013" t="s">
        <v>2107</v>
      </c>
      <c r="X44" s="1013"/>
      <c r="Y44" s="1170"/>
      <c r="Z44" s="1016" t="s">
        <v>2119</v>
      </c>
      <c r="AA44" s="1016" t="s">
        <v>2119</v>
      </c>
      <c r="AB44" s="1016" t="s">
        <v>2119</v>
      </c>
      <c r="AC44" s="1016" t="s">
        <v>2119</v>
      </c>
      <c r="AD44" s="1016"/>
    </row>
    <row r="45" ht="27" customHeight="1">
      <c r="A45" s="1015"/>
      <c r="B45" s="1069">
        <v>28</v>
      </c>
      <c r="C45" s="1013" t="s">
        <v>2120</v>
      </c>
      <c r="D45" s="1137"/>
      <c r="E45" s="1013"/>
      <c r="F45" s="1013"/>
      <c r="G45" s="1013"/>
      <c r="H45" s="1061"/>
      <c r="I45" s="1175" t="str">
        <f>INDEX(TEMPLATE_NUMBER_POINT_FHD,B45,MATCH(TEMPLATE_SPHERE,TEMPLATE_SPHERE_LIST_FOR_NOTE,0))</f>
        <v>2.11.2</v>
      </c>
      <c r="J45" s="1175" t="str">
        <f>INDEX(TEMPLATE_DATA_POINT_FHD,B45,MATCH(TEMPLATE_SPHERE,TEMPLATE_SPHERE_LIST_FOR_NOTE,0))</f>
        <v xml:space="preserve">Расходы на капитальный ремонт</v>
      </c>
      <c r="K45" s="1175" t="str">
        <f>INDEX(TEMPLATE_NOTE_POINT_FHD,B45,MATCH(TEMPLATE_SPHERE,TEMPLATE_SPHERE_LIST_FOR_NOTE,0))</f>
        <v xml:space="preserve">Указываются расходы на капитальный ремонт, отнесенные к общехозяйственным расходам.</v>
      </c>
      <c r="L45" s="1014" t="str">
        <f>IF(I45=0,"",I45)</f>
        <v>2.11.2</v>
      </c>
      <c r="M45" s="1014" t="str">
        <f>IF(J45=0,"",J45)</f>
        <v xml:space="preserve">Расходы на капитальный ремонт</v>
      </c>
      <c r="N45" s="1014" t="str">
        <f>IF(K45=0,"",K45)</f>
        <v xml:space="preserve">Указываются расходы на капитальный ремонт, отнесенные к общехозяйственным расходам.</v>
      </c>
      <c r="O45" s="1127" t="s">
        <v>2121</v>
      </c>
      <c r="P45" s="1127" t="s">
        <v>2122</v>
      </c>
      <c r="Q45" s="1127" t="s">
        <v>2121</v>
      </c>
      <c r="R45" s="1127" t="s">
        <v>2122</v>
      </c>
      <c r="S45" s="1127"/>
      <c r="T45" s="1013" t="s">
        <v>2111</v>
      </c>
      <c r="U45" s="1013" t="s">
        <v>2111</v>
      </c>
      <c r="V45" s="1013" t="s">
        <v>2111</v>
      </c>
      <c r="W45" s="1013" t="s">
        <v>2111</v>
      </c>
      <c r="X45" s="1013"/>
      <c r="Y45" s="1170"/>
      <c r="Z45" s="1016" t="s">
        <v>2123</v>
      </c>
      <c r="AA45" s="1016" t="s">
        <v>2123</v>
      </c>
      <c r="AB45" s="1016" t="s">
        <v>2123</v>
      </c>
      <c r="AC45" s="1016" t="s">
        <v>2123</v>
      </c>
      <c r="AD45" s="1016"/>
    </row>
    <row r="46" ht="54" customHeight="1">
      <c r="A46" s="1015"/>
      <c r="B46" s="1069">
        <v>29</v>
      </c>
      <c r="C46" s="1013">
        <v>15</v>
      </c>
      <c r="D46" s="1137"/>
      <c r="E46" s="1013"/>
      <c r="F46" s="1013"/>
      <c r="G46" s="1013"/>
      <c r="H46" s="1061"/>
      <c r="I46" s="1175" t="str">
        <f>INDEX(TEMPLATE_NUMBER_POINT_FHD,B46,MATCH(TEMPLATE_SPHERE,TEMPLATE_SPHERE_LIST_FOR_NOTE,0))</f>
        <v>2.12</v>
      </c>
      <c r="J46" s="1175" t="str">
        <f>INDEX(TEMPLATE_DATA_POINT_FHD,B46,MATCH(TEMPLATE_SPHERE,TEMPLATE_SPHERE_LIST_FOR_NOTE,0))</f>
        <v xml:space="preserve">Расходы на капитальный и текущий ремонт основных средств</v>
      </c>
      <c r="K46" s="1175" t="str">
        <f>INDEX(TEMPLATE_NOTE_POINT_FHD,B46,MATCH(TEMPLATE_SPHERE,TEMPLATE_SPHERE_LIST_FOR_NOTE,0))</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2.12</v>
      </c>
      <c r="M46" s="1014" t="str">
        <f>IF(J46=0,"",J46)</f>
        <v xml:space="preserve">Расходы на капитальный и текущий ремонт основных средств</v>
      </c>
      <c r="N46" s="1014" t="str">
        <f>IF(K46=0,"",K46)</f>
        <v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2124</v>
      </c>
      <c r="P46" s="1127" t="s">
        <v>2102</v>
      </c>
      <c r="Q46" s="1127" t="s">
        <v>2124</v>
      </c>
      <c r="R46" s="1127" t="s">
        <v>2102</v>
      </c>
      <c r="S46" s="1127"/>
      <c r="T46" s="1014" t="str">
        <f>"Расходы на капитальный и текущий ремонт основных"&amp;IF(TITLE_TYPE_ORG="Регулируемая организация",""," производственных")&amp;" средств"</f>
        <v xml:space="preserve">Расходы на капитальный и текущий ремонт основных средств</v>
      </c>
      <c r="U46" s="1013" t="s">
        <v>2125</v>
      </c>
      <c r="V46" s="1013" t="s">
        <v>2125</v>
      </c>
      <c r="W46" s="1013" t="s">
        <v>2125</v>
      </c>
      <c r="X46" s="1013"/>
      <c r="Y46" s="1170"/>
      <c r="Z46" s="1016" t="s">
        <v>2126</v>
      </c>
      <c r="AA46" s="1016" t="s">
        <v>2127</v>
      </c>
      <c r="AB46" s="1016" t="s">
        <v>2127</v>
      </c>
      <c r="AC46" s="1016" t="s">
        <v>2127</v>
      </c>
      <c r="AD46" s="1016"/>
    </row>
    <row r="47" ht="54" customHeight="1">
      <c r="A47" s="1015"/>
      <c r="B47" s="1069">
        <v>30</v>
      </c>
      <c r="C47" s="1013" t="s">
        <v>2128</v>
      </c>
      <c r="D47" s="1137"/>
      <c r="E47" s="1013"/>
      <c r="F47" s="1013"/>
      <c r="G47" s="1013"/>
      <c r="H47" s="1061"/>
      <c r="I47" s="1175" t="str">
        <f>INDEX(TEMPLATE_NUMBER_POINT_FHD,B47,MATCH(TEMPLATE_SPHERE,TEMPLATE_SPHERE_LIST_FOR_NOTE,0))</f>
        <v>2.12.1</v>
      </c>
      <c r="J47" s="1175" t="str">
        <f>INDEX(TEMPLATE_DATA_POINT_FHD,B47,MATCH(TEMPLATE_SPHERE,TEMPLATE_SPHERE_LIST_FOR_NOTE,0))</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2.12.1</v>
      </c>
      <c r="M47" s="1014" t="str">
        <f>IF(J47=0,"",J47)</f>
        <v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2129</v>
      </c>
      <c r="P47" s="1127" t="s">
        <v>2106</v>
      </c>
      <c r="Q47" s="1127" t="s">
        <v>2129</v>
      </c>
      <c r="R47" s="1127" t="s">
        <v>2106</v>
      </c>
      <c r="S47" s="1127"/>
      <c r="T47" s="1013" t="s">
        <v>2130</v>
      </c>
      <c r="U47" s="1013" t="s">
        <v>2130</v>
      </c>
      <c r="V47" s="1013" t="s">
        <v>2130</v>
      </c>
      <c r="W47" s="1013" t="s">
        <v>2130</v>
      </c>
      <c r="X47" s="1013"/>
      <c r="Y47" s="1170"/>
      <c r="Z47" s="1016"/>
      <c r="AA47" s="1019"/>
      <c r="AB47" s="1019"/>
      <c r="AC47" s="1019"/>
      <c r="AD47" s="1016"/>
    </row>
    <row r="48" ht="54" customHeight="1">
      <c r="A48" s="1015"/>
      <c r="B48" s="1069">
        <v>31</v>
      </c>
      <c r="C48" s="1013">
        <v>16</v>
      </c>
      <c r="D48" s="1137"/>
      <c r="E48" s="1013"/>
      <c r="F48" s="1013"/>
      <c r="G48" s="1013"/>
      <c r="H48" s="1061"/>
      <c r="I48" s="1175">
        <f>INDEX(TEMPLATE_NUMBER_POINT_FHD,B48,MATCH(TEMPLATE_SPHERE,TEMPLATE_SPHERE_LIST_FOR_NOTE,0))</f>
        <v>0</v>
      </c>
      <c r="J48" s="1175">
        <f>INDEX(TEMPLATE_DATA_POINT_FHD,B48,MATCH(TEMPLATE_SPHERE,TEMPLATE_SPHERE_LIST_FOR_NOTE,0))</f>
        <v>0</v>
      </c>
      <c r="K48" s="1175">
        <f>INDEX(TEMPLATE_NOTE_POINT_FHD,B48,MATCH(TEMPLATE_SPHERE,TEMPLATE_SPHERE_LIST_FOR_NOTE,0))</f>
        <v>0</v>
      </c>
      <c r="L48" s="1014" t="str">
        <f>IF(I48=0,"",I48)</f>
        <v/>
      </c>
      <c r="M48" s="1014" t="str">
        <f>IF(J48=0,"",J48)</f>
        <v/>
      </c>
      <c r="N48" s="1014" t="str">
        <f>IF(K48=0,"",K48)</f>
        <v/>
      </c>
      <c r="O48" s="1127"/>
      <c r="P48" s="1127" t="s">
        <v>2113</v>
      </c>
      <c r="Q48" s="1127" t="s">
        <v>2131</v>
      </c>
      <c r="R48" s="1127" t="s">
        <v>2113</v>
      </c>
      <c r="S48" s="1127"/>
      <c r="T48" s="1013"/>
      <c r="U48" s="1013" t="s">
        <v>2132</v>
      </c>
      <c r="V48" s="1013" t="s">
        <v>2133</v>
      </c>
      <c r="W48" s="1013" t="s">
        <v>2133</v>
      </c>
      <c r="X48" s="1013"/>
      <c r="Y48" s="1170"/>
      <c r="Z48" s="1016"/>
      <c r="AA48" s="1019" t="s">
        <v>2127</v>
      </c>
      <c r="AB48" s="1019" t="s">
        <v>2127</v>
      </c>
      <c r="AC48" s="1019" t="s">
        <v>2127</v>
      </c>
      <c r="AD48" s="1016"/>
    </row>
    <row r="49" ht="54" customHeight="1">
      <c r="A49" s="1015"/>
      <c r="B49" s="1069">
        <v>32</v>
      </c>
      <c r="C49" s="1013" t="s">
        <v>2134</v>
      </c>
      <c r="D49" s="1137"/>
      <c r="E49" s="1013"/>
      <c r="F49" s="1013"/>
      <c r="G49" s="1013"/>
      <c r="H49" s="1061"/>
      <c r="I49" s="1175">
        <f>INDEX(TEMPLATE_NUMBER_POINT_FHD,B49,MATCH(TEMPLATE_SPHERE,TEMPLATE_SPHERE_LIST_FOR_NOTE,0))</f>
        <v>0</v>
      </c>
      <c r="J49" s="1175">
        <f>INDEX(TEMPLATE_DATA_POINT_FHD,B49,MATCH(TEMPLATE_SPHERE,TEMPLATE_SPHERE_LIST_FOR_NOTE,0))</f>
        <v>0</v>
      </c>
      <c r="K49" s="1175">
        <f>INDEX(TEMPLATE_NOTE_POINT_FHD,B49,MATCH(TEMPLATE_SPHERE,TEMPLATE_SPHERE_LIST_FOR_NOTE,0))</f>
        <v>0</v>
      </c>
      <c r="L49" s="1014" t="str">
        <f>IF(I49=0,"",I49)</f>
        <v/>
      </c>
      <c r="M49" s="1014" t="str">
        <f>IF(J49=0,"",J49)</f>
        <v/>
      </c>
      <c r="N49" s="1014" t="str">
        <f>IF(K49=0,"",K49)</f>
        <v/>
      </c>
      <c r="O49" s="1127"/>
      <c r="P49" s="1127" t="s">
        <v>2117</v>
      </c>
      <c r="Q49" s="1127" t="s">
        <v>2135</v>
      </c>
      <c r="R49" s="1127" t="s">
        <v>2117</v>
      </c>
      <c r="S49" s="1127"/>
      <c r="T49" s="1013"/>
      <c r="U49" s="1013" t="s">
        <v>2130</v>
      </c>
      <c r="V49" s="1013" t="s">
        <v>2130</v>
      </c>
      <c r="W49" s="1013" t="s">
        <v>2130</v>
      </c>
      <c r="X49" s="1013"/>
      <c r="Y49" s="1170"/>
      <c r="Z49" s="1016"/>
      <c r="AA49" s="1019"/>
      <c r="AB49" s="1019"/>
      <c r="AC49" s="1019"/>
      <c r="AD49" s="1016"/>
    </row>
    <row r="50" ht="126" customHeight="1">
      <c r="A50" s="1015"/>
      <c r="B50" s="1069">
        <v>33</v>
      </c>
      <c r="C50" s="1013">
        <v>17</v>
      </c>
      <c r="D50" s="1137"/>
      <c r="E50" s="1013"/>
      <c r="F50" s="1013"/>
      <c r="G50" s="1013"/>
      <c r="H50" s="1061"/>
      <c r="I50" s="1175" t="str">
        <f>INDEX(TEMPLATE_NUMBER_POINT_FHD,B50,MATCH(TEMPLATE_SPHERE,TEMPLATE_SPHERE_LIST_FOR_NOTE,0))</f>
        <v>2.13</v>
      </c>
      <c r="J50" s="1175" t="str">
        <f>INDEX(TEMPLATE_DATA_POINT_FHD,B50,MATCH(TEMPLATE_SPHERE,TEMPLATE_SPHERE_LIST_FOR_NOTE,0))</f>
        <v xml:space="preserve">Прочие расходы, которые подлежат отнесению на регулируемые виды деятельности в соответствии с законодательством Российской Федерации</v>
      </c>
      <c r="K50" s="1175" t="str">
        <f>INDEX(TEMPLATE_NOTE_POINT_FHD,B50,MATCH(TEMPLATE_SPHERE,TEMPLATE_SPHERE_LIST_FOR_NOTE,0))</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14" t="str">
        <f>IF(I50=0,"",I50)</f>
        <v>2.13</v>
      </c>
      <c r="M50" s="1014" t="str">
        <f>IF(J50=0,"",J50)</f>
        <v xml:space="preserve">Прочие расходы, которые подлежат отнесению на регулируемые виды деятельности в соответствии с законодательством Российской Федерации</v>
      </c>
      <c r="N50" s="1014" t="str">
        <f>IF(K50=0,"",K50)</f>
        <v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27" t="s">
        <v>2131</v>
      </c>
      <c r="P50" s="1127" t="s">
        <v>2124</v>
      </c>
      <c r="Q50" s="1127" t="s">
        <v>2136</v>
      </c>
      <c r="R50" s="1127" t="s">
        <v>2124</v>
      </c>
      <c r="S50" s="1127"/>
      <c r="T50" s="1013" t="s">
        <v>2137</v>
      </c>
      <c r="U50" s="1013" t="s">
        <v>2138</v>
      </c>
      <c r="V50" s="1013" t="s">
        <v>2139</v>
      </c>
      <c r="W50" s="1013" t="s">
        <v>2140</v>
      </c>
      <c r="X50" s="1013"/>
      <c r="Y50" s="1170"/>
      <c r="Z50" s="1016" t="s">
        <v>2141</v>
      </c>
      <c r="AA50" s="1019" t="s">
        <v>2142</v>
      </c>
      <c r="AB50" s="1019" t="s">
        <v>2142</v>
      </c>
      <c r="AC50" s="1019" t="s">
        <v>2142</v>
      </c>
      <c r="AD50" s="1016"/>
    </row>
    <row r="51" ht="27" customHeight="1">
      <c r="A51" s="1015"/>
      <c r="B51" s="1069">
        <v>34</v>
      </c>
      <c r="C51" s="1013" t="s">
        <v>2143</v>
      </c>
      <c r="D51" s="1137"/>
      <c r="E51" s="1013"/>
      <c r="F51" s="1013"/>
      <c r="G51" s="1013"/>
      <c r="H51" s="1061"/>
      <c r="I51" s="1175" t="str">
        <f>INDEX(TEMPLATE_NUMBER_POINT_FHD,B51,MATCH(TEMPLATE_SPHERE,TEMPLATE_SPHERE_LIST_FOR_NOTE,0))</f>
        <v>3</v>
      </c>
      <c r="J51" s="1175" t="str">
        <f>INDEX(TEMPLATE_DATA_POINT_FHD,B51,MATCH(TEMPLATE_SPHERE,TEMPLATE_SPHERE_LIST_FOR_NOTE,0))</f>
        <v xml:space="preserve">Валовая прибыль (убытки) от реализации товаров и оказания услуг по регулируемому виду деятельности</v>
      </c>
      <c r="K51" s="1175">
        <f>INDEX(TEMPLATE_NOTE_POINT_FHD,B51,MATCH(TEMPLATE_SPHERE,TEMPLATE_SPHERE_LIST_FOR_NOTE,0))</f>
        <v>0</v>
      </c>
      <c r="L51" s="1014" t="str">
        <f>IF(I51=0,"",I51)</f>
        <v>3</v>
      </c>
      <c r="M51" s="1014" t="str">
        <f>IF(J51=0,"",J51)</f>
        <v xml:space="preserve">Валовая прибыль (убытки) от реализации товаров и оказания услуг по регулируемому виду деятельности</v>
      </c>
      <c r="N51" s="1014" t="str">
        <f>IF(K51=0,"",K51)</f>
        <v/>
      </c>
      <c r="O51" s="1127" t="s">
        <v>91</v>
      </c>
      <c r="P51" s="1127"/>
      <c r="Q51" s="1127"/>
      <c r="R51" s="1127"/>
      <c r="S51" s="1127"/>
      <c r="T51" s="1013" t="s">
        <v>2144</v>
      </c>
      <c r="U51" s="1013"/>
      <c r="V51" s="1013"/>
      <c r="W51" s="1013"/>
      <c r="X51" s="1013"/>
      <c r="Y51" s="1170"/>
      <c r="Z51" s="1016"/>
      <c r="AA51" s="1019"/>
      <c r="AB51" s="1019"/>
      <c r="AC51" s="1019"/>
      <c r="AD51" s="1016"/>
    </row>
    <row r="52" ht="36" customHeight="1">
      <c r="A52" s="1015"/>
      <c r="B52" s="1069">
        <v>35</v>
      </c>
      <c r="C52" s="1013" t="s">
        <v>2037</v>
      </c>
      <c r="D52" s="1137" t="s">
        <v>2037</v>
      </c>
      <c r="E52" s="1013" t="s">
        <v>2037</v>
      </c>
      <c r="F52" s="1013" t="s">
        <v>2037</v>
      </c>
      <c r="G52" s="1013"/>
      <c r="H52" s="1061"/>
      <c r="I52" s="1175" t="str">
        <f>INDEX(TEMPLATE_NUMBER_POINT_FHD,B52,MATCH(TEMPLATE_SPHERE,TEMPLATE_SPHERE_LIST_FOR_NOTE,0))</f>
        <v>4</v>
      </c>
      <c r="J52" s="1175" t="str">
        <f>INDEX(TEMPLATE_DATA_POINT_FHD,B52,MATCH(TEMPLATE_SPHERE,TEMPLATE_SPHERE_LIST_FOR_NOTE,0))</f>
        <v xml:space="preserve">Чистая прибыль, полученная от регулируемого вида деятельности, в том числе:</v>
      </c>
      <c r="K52" s="1175" t="str">
        <f>INDEX(TEMPLATE_NOTE_POINT_FHD,B52,MATCH(TEMPLATE_SPHERE,TEMPLATE_SPHERE_LIST_FOR_NOTE,0))</f>
        <v xml:space="preserve">Указывается общая сумма чистой прибыли, полученной от регулируемого вида деятельности.</v>
      </c>
      <c r="L52" s="1014" t="str">
        <f>IF(I52=0,"",I52)</f>
        <v>4</v>
      </c>
      <c r="M52" s="1014" t="str">
        <f>IF(J52=0,"",J52)</f>
        <v xml:space="preserve">Чистая прибыль, полученная от регулируемого вида деятельности, в том числе:</v>
      </c>
      <c r="N52" s="1014" t="str">
        <f>IF(K52=0,"",K52)</f>
        <v xml:space="preserve">Указывается общая сумма чистой прибыли, полученной от регулируемого вида деятельности.</v>
      </c>
      <c r="O52" s="1127" t="s">
        <v>92</v>
      </c>
      <c r="P52" s="1127" t="s">
        <v>91</v>
      </c>
      <c r="Q52" s="1127" t="s">
        <v>91</v>
      </c>
      <c r="R52" s="1127" t="s">
        <v>91</v>
      </c>
      <c r="S52" s="1127"/>
      <c r="T52" s="1013" t="s">
        <v>2145</v>
      </c>
      <c r="U52" s="1013" t="s">
        <v>2146</v>
      </c>
      <c r="V52" s="1013" t="s">
        <v>2147</v>
      </c>
      <c r="W52" s="1013" t="s">
        <v>2148</v>
      </c>
      <c r="X52" s="1013"/>
      <c r="Y52" s="1170"/>
      <c r="Z52" s="1016" t="s">
        <v>755</v>
      </c>
      <c r="AA52" s="1019" t="s">
        <v>755</v>
      </c>
      <c r="AB52" s="1019" t="s">
        <v>755</v>
      </c>
      <c r="AC52" s="1019" t="s">
        <v>755</v>
      </c>
      <c r="AD52" s="1016"/>
    </row>
    <row r="53" ht="36" customHeight="1">
      <c r="A53" s="1015"/>
      <c r="B53" s="1069">
        <v>36</v>
      </c>
      <c r="C53" s="1013">
        <v>1</v>
      </c>
      <c r="D53" s="1137"/>
      <c r="E53" s="1013"/>
      <c r="F53" s="1013"/>
      <c r="G53" s="1013"/>
      <c r="H53" s="1061"/>
      <c r="I53" s="1175" t="str">
        <f>INDEX(TEMPLATE_NUMBER_POINT_FHD,B53,MATCH(TEMPLATE_SPHERE,TEMPLATE_SPHERE_LIST_FOR_NOTE,0))</f>
        <v>4.1</v>
      </c>
      <c r="J53" s="1175" t="str">
        <f>INDEX(TEMPLATE_DATA_POINT_FHD,B53,MATCH(TEMPLATE_SPHERE,TEMPLATE_SPHERE_LIST_FOR_NOTE,0))</f>
        <v xml:space="preserve">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4.1</v>
      </c>
      <c r="M53" s="1014" t="str">
        <f>IF(J53=0,"",J53)</f>
        <v xml:space="preserve">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759</v>
      </c>
      <c r="P53" s="1127" t="s">
        <v>331</v>
      </c>
      <c r="Q53" s="1127" t="s">
        <v>331</v>
      </c>
      <c r="R53" s="1127" t="s">
        <v>331</v>
      </c>
      <c r="S53" s="1127"/>
      <c r="T53" s="1013" t="s">
        <v>2149</v>
      </c>
      <c r="U53" s="1013" t="s">
        <v>2149</v>
      </c>
      <c r="V53" s="1013" t="s">
        <v>2149</v>
      </c>
      <c r="W53" s="1013" t="s">
        <v>2149</v>
      </c>
      <c r="X53" s="1013"/>
      <c r="Y53" s="1170"/>
      <c r="Z53" s="1016"/>
      <c r="AA53" s="1019"/>
      <c r="AB53" s="1016"/>
      <c r="AC53" s="1016"/>
      <c r="AD53" s="1016"/>
    </row>
    <row r="54" ht="18" customHeight="1">
      <c r="A54" s="1015"/>
      <c r="B54" s="1069">
        <v>37</v>
      </c>
      <c r="C54" s="1013" t="s">
        <v>2043</v>
      </c>
      <c r="D54" s="1137" t="s">
        <v>2043</v>
      </c>
      <c r="E54" s="1013" t="s">
        <v>2043</v>
      </c>
      <c r="F54" s="1013" t="s">
        <v>2043</v>
      </c>
      <c r="G54" s="1013"/>
      <c r="H54" s="1061"/>
      <c r="I54" s="1175" t="str">
        <f>INDEX(TEMPLATE_NUMBER_POINT_FHD,B54,MATCH(TEMPLATE_SPHERE,TEMPLATE_SPHERE_LIST_FOR_NOTE,0))</f>
        <v>5</v>
      </c>
      <c r="J54" s="1175" t="str">
        <f>INDEX(TEMPLATE_DATA_POINT_FHD,B54,MATCH(TEMPLATE_SPHERE,TEMPLATE_SPHERE_LIST_FOR_NOTE,0))</f>
        <v xml:space="preserve">Изменение стоимости основных фондов, в том числе:</v>
      </c>
      <c r="K54" s="1175" t="str">
        <f>INDEX(TEMPLATE_NOTE_POINT_FHD,B54,MATCH(TEMPLATE_SPHERE,TEMPLATE_SPHERE_LIST_FOR_NOTE,0))</f>
        <v xml:space="preserve">Указывается общее изменение стоимости основных фондов.</v>
      </c>
      <c r="L54" s="1014" t="str">
        <f>IF(I54=0,"",I54)</f>
        <v>5</v>
      </c>
      <c r="M54" s="1014" t="str">
        <f>IF(J54=0,"",J54)</f>
        <v xml:space="preserve">Изменение стоимости основных фондов, в том числе:</v>
      </c>
      <c r="N54" s="1014" t="str">
        <f>IF(K54=0,"",K54)</f>
        <v xml:space="preserve">Указывается общее изменение стоимости основных фондов.</v>
      </c>
      <c r="O54" s="1127" t="s">
        <v>112</v>
      </c>
      <c r="P54" s="1127" t="s">
        <v>92</v>
      </c>
      <c r="Q54" s="1127" t="s">
        <v>92</v>
      </c>
      <c r="R54" s="1127" t="s">
        <v>92</v>
      </c>
      <c r="S54" s="1127"/>
      <c r="T54" s="1013" t="s">
        <v>757</v>
      </c>
      <c r="U54" s="1013" t="s">
        <v>757</v>
      </c>
      <c r="V54" s="1013" t="s">
        <v>757</v>
      </c>
      <c r="W54" s="1013" t="s">
        <v>757</v>
      </c>
      <c r="X54" s="1013"/>
      <c r="Y54" s="1170"/>
      <c r="Z54" s="1016" t="s">
        <v>758</v>
      </c>
      <c r="AA54" s="1016" t="s">
        <v>758</v>
      </c>
      <c r="AB54" s="1016" t="s">
        <v>758</v>
      </c>
      <c r="AC54" s="1016" t="s">
        <v>758</v>
      </c>
      <c r="AD54" s="1016"/>
    </row>
    <row r="55" ht="36" customHeight="1">
      <c r="A55" s="1015"/>
      <c r="B55" s="1069">
        <v>38</v>
      </c>
      <c r="C55" s="1013">
        <v>1</v>
      </c>
      <c r="D55" s="1137"/>
      <c r="E55" s="1013"/>
      <c r="F55" s="1013"/>
      <c r="G55" s="1013"/>
      <c r="H55" s="1061"/>
      <c r="I55" s="1175" t="str">
        <f>INDEX(TEMPLATE_NUMBER_POINT_FHD,B55,MATCH(TEMPLATE_SPHERE,TEMPLATE_SPHERE_LIST_FOR_NOTE,0))</f>
        <v>5.1</v>
      </c>
      <c r="J55" s="1175" t="str">
        <f>INDEX(TEMPLATE_DATA_POINT_FHD,B55,MATCH(TEMPLATE_SPHERE,TEMPLATE_SPHERE_LIST_FOR_NOTE,0))</f>
        <v xml:space="preserve">Изменение стоимости основных фондов за счет:</v>
      </c>
      <c r="K55" s="1175" t="str">
        <f>INDEX(TEMPLATE_NOTE_POINT_FHD,B55,MATCH(TEMPLATE_SPHERE,TEMPLATE_SPHERE_LIST_FOR_NOTE,0))</f>
        <v xml:space="preserve">Указываются общее изменение стоимости основных фондов за счет их ввода в эксплуатацию и вывода из эксплуатации.</v>
      </c>
      <c r="L55" s="1014" t="str">
        <f>IF(I55=0,"",I55)</f>
        <v>5.1</v>
      </c>
      <c r="M55" s="1014" t="str">
        <f>IF(J55=0,"",J55)</f>
        <v xml:space="preserve">Изменение стоимости основных фондов за счет:</v>
      </c>
      <c r="N55" s="1014" t="str">
        <f>IF(K55=0,"",K55)</f>
        <v xml:space="preserve">Указываются общее изменение стоимости основных фондов за счет их ввода в эксплуатацию и вывода из эксплуатации.</v>
      </c>
      <c r="O55" s="1127" t="s">
        <v>320</v>
      </c>
      <c r="P55" s="1127" t="s">
        <v>759</v>
      </c>
      <c r="Q55" s="1127" t="s">
        <v>759</v>
      </c>
      <c r="R55" s="1127" t="s">
        <v>759</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 xml:space="preserve">Изменение стоимости основных фондов за счет:</v>
      </c>
      <c r="U55" s="1013" t="s">
        <v>2150</v>
      </c>
      <c r="V55" s="1013" t="s">
        <v>2150</v>
      </c>
      <c r="W55" s="1013" t="s">
        <v>2150</v>
      </c>
      <c r="X55" s="1013"/>
      <c r="Y55" s="1170"/>
      <c r="Z55" s="1016" t="s">
        <v>2151</v>
      </c>
      <c r="AA55" s="1016" t="s">
        <v>2151</v>
      </c>
      <c r="AB55" s="1016" t="s">
        <v>2151</v>
      </c>
      <c r="AC55" s="1016" t="s">
        <v>2151</v>
      </c>
      <c r="AD55" s="1016"/>
    </row>
    <row r="56" ht="27" customHeight="1">
      <c r="A56" s="1015"/>
      <c r="B56" s="1069">
        <v>39</v>
      </c>
      <c r="C56" s="1013" t="s">
        <v>1027</v>
      </c>
      <c r="D56" s="1137"/>
      <c r="E56" s="1013"/>
      <c r="F56" s="1013"/>
      <c r="G56" s="1013"/>
      <c r="H56" s="1061"/>
      <c r="I56" s="1175" t="str">
        <f>INDEX(TEMPLATE_NUMBER_POINT_FHD,B56,MATCH(TEMPLATE_SPHERE,TEMPLATE_SPHERE_LIST_FOR_NOTE,0))</f>
        <v>5.1.1</v>
      </c>
      <c r="J56" s="1175" t="str">
        <f>INDEX(TEMPLATE_DATA_POINT_FHD,B56,MATCH(TEMPLATE_SPHERE,TEMPLATE_SPHERE_LIST_FOR_NOTE,0))</f>
        <v xml:space="preserve">Изменения стоимости основных фондов за счет их ввода в эксплуатацию</v>
      </c>
      <c r="K56" s="1175" t="str">
        <f>INDEX(TEMPLATE_NOTE_POINT_FHD,B56,MATCH(TEMPLATE_SPHERE,TEMPLATE_SPHERE_LIST_FOR_NOTE,0))</f>
        <v xml:space="preserve">Указываются изменение стоимости основных фондов за счет их ввода в эксплуатацию.</v>
      </c>
      <c r="L56" s="1014" t="str">
        <f>IF(I56=0,"",I56)</f>
        <v>5.1.1</v>
      </c>
      <c r="M56" s="1014" t="str">
        <f>IF(J56=0,"",J56)</f>
        <v xml:space="preserve">Изменения стоимости основных фондов за счет их ввода в эксплуатацию</v>
      </c>
      <c r="N56" s="1014" t="str">
        <f>IF(K56=0,"",K56)</f>
        <v xml:space="preserve">Указываются изменение стоимости основных фондов за счет их ввода в эксплуатацию.</v>
      </c>
      <c r="O56" s="1127" t="s">
        <v>1144</v>
      </c>
      <c r="P56" s="1127" t="s">
        <v>762</v>
      </c>
      <c r="Q56" s="1127" t="s">
        <v>762</v>
      </c>
      <c r="R56" s="1127" t="s">
        <v>762</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 xml:space="preserve">Изменения стоимости основных фондов за счет их ввода в эксплуатацию</v>
      </c>
      <c r="U56" s="1013" t="s">
        <v>2152</v>
      </c>
      <c r="V56" s="1013" t="s">
        <v>2152</v>
      </c>
      <c r="W56" s="1013" t="s">
        <v>2152</v>
      </c>
      <c r="X56" s="1013"/>
      <c r="Y56" s="1170"/>
      <c r="Z56" s="1016" t="s">
        <v>764</v>
      </c>
      <c r="AA56" s="1016" t="s">
        <v>764</v>
      </c>
      <c r="AB56" s="1016" t="s">
        <v>764</v>
      </c>
      <c r="AC56" s="1016" t="s">
        <v>764</v>
      </c>
      <c r="AD56" s="1016"/>
    </row>
    <row r="57" ht="27" customHeight="1">
      <c r="A57" s="1015"/>
      <c r="B57" s="1069">
        <v>40</v>
      </c>
      <c r="C57" s="1013" t="s">
        <v>1029</v>
      </c>
      <c r="D57" s="1137"/>
      <c r="E57" s="1013"/>
      <c r="F57" s="1013"/>
      <c r="G57" s="1013"/>
      <c r="H57" s="1061"/>
      <c r="I57" s="1175" t="str">
        <f>INDEX(TEMPLATE_NUMBER_POINT_FHD,B57,MATCH(TEMPLATE_SPHERE,TEMPLATE_SPHERE_LIST_FOR_NOTE,0))</f>
        <v>5.1.2</v>
      </c>
      <c r="J57" s="1175" t="str">
        <f>INDEX(TEMPLATE_DATA_POINT_FHD,B57,MATCH(TEMPLATE_SPHERE,TEMPLATE_SPHERE_LIST_FOR_NOTE,0))</f>
        <v xml:space="preserve">Изменения стоимости основных фондов за счет их вывода в эксплуатацию</v>
      </c>
      <c r="K57" s="1175" t="str">
        <f>INDEX(TEMPLATE_NOTE_POINT_FHD,B57,MATCH(TEMPLATE_SPHERE,TEMPLATE_SPHERE_LIST_FOR_NOTE,0))</f>
        <v xml:space="preserve">Указываются изменение стоимости основных фондов за счет их вывода из эксплуатации.</v>
      </c>
      <c r="L57" s="1014" t="str">
        <f>IF(I57=0,"",I57)</f>
        <v>5.1.2</v>
      </c>
      <c r="M57" s="1014" t="str">
        <f>IF(J57=0,"",J57)</f>
        <v xml:space="preserve">Изменения стоимости основных фондов за счет их вывода в эксплуатацию</v>
      </c>
      <c r="N57" s="1014" t="str">
        <f>IF(K57=0,"",K57)</f>
        <v xml:space="preserve">Указываются изменение стоимости основных фондов за счет их вывода из эксплуатации.</v>
      </c>
      <c r="O57" s="1127" t="s">
        <v>2153</v>
      </c>
      <c r="P57" s="1127" t="s">
        <v>765</v>
      </c>
      <c r="Q57" s="1127" t="s">
        <v>765</v>
      </c>
      <c r="R57" s="1127" t="s">
        <v>765</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 xml:space="preserve">Изменения стоимости основных фондов за счет их вывода в эксплуатацию</v>
      </c>
      <c r="U57" s="1013" t="s">
        <v>2154</v>
      </c>
      <c r="V57" s="1013" t="s">
        <v>2154</v>
      </c>
      <c r="W57" s="1013" t="s">
        <v>2154</v>
      </c>
      <c r="X57" s="1013"/>
      <c r="Y57" s="1170"/>
      <c r="Z57" s="1016" t="s">
        <v>767</v>
      </c>
      <c r="AA57" s="1016" t="s">
        <v>767</v>
      </c>
      <c r="AB57" s="1016" t="s">
        <v>767</v>
      </c>
      <c r="AC57" s="1016" t="s">
        <v>767</v>
      </c>
      <c r="AD57" s="1016"/>
    </row>
    <row r="58" ht="18" customHeight="1">
      <c r="A58" s="1015"/>
      <c r="B58" s="1069">
        <v>41</v>
      </c>
      <c r="C58" s="1013">
        <v>2</v>
      </c>
      <c r="D58" s="1137"/>
      <c r="E58" s="1013"/>
      <c r="F58" s="1013"/>
      <c r="G58" s="1013"/>
      <c r="H58" s="1061"/>
      <c r="I58" s="1175" t="str">
        <f>INDEX(TEMPLATE_NUMBER_POINT_FHD,B58,MATCH(TEMPLATE_SPHERE,TEMPLATE_SPHERE_LIST_FOR_NOTE,0))</f>
        <v>5.2</v>
      </c>
      <c r="J58" s="1175" t="str">
        <f>INDEX(TEMPLATE_DATA_POINT_FHD,B58,MATCH(TEMPLATE_SPHERE,TEMPLATE_SPHERE_LIST_FOR_NOTE,0))</f>
        <v xml:space="preserve">Изменение стоимости основных фондов за счет их переоценки</v>
      </c>
      <c r="K58" s="1175">
        <f>INDEX(TEMPLATE_NOTE_POINT_FHD,B58,MATCH(TEMPLATE_SPHERE,TEMPLATE_SPHERE_LIST_FOR_NOTE,0))</f>
        <v>0</v>
      </c>
      <c r="L58" s="1014" t="str">
        <f>IF(I58=0,"",I58)</f>
        <v>5.2</v>
      </c>
      <c r="M58" s="1014" t="str">
        <f>IF(J58=0,"",J58)</f>
        <v xml:space="preserve">Изменение стоимости основных фондов за счет их переоценки</v>
      </c>
      <c r="N58" s="1014" t="str">
        <f>IF(K58=0,"",K58)</f>
        <v/>
      </c>
      <c r="O58" s="1127" t="s">
        <v>887</v>
      </c>
      <c r="P58" s="1127" t="s">
        <v>801</v>
      </c>
      <c r="Q58" s="1127" t="s">
        <v>801</v>
      </c>
      <c r="R58" s="1127" t="s">
        <v>801</v>
      </c>
      <c r="S58" s="1127"/>
      <c r="T58" s="1014" t="str">
        <f>IF(TITLE_TYPE_ORG="Регулируемая организация","Изменение стоимости основных фондов за счет их переоценки","за счет их переоценки")</f>
        <v xml:space="preserve">Изменение стоимости основных фондов за счет их переоценки</v>
      </c>
      <c r="U58" s="1013" t="s">
        <v>2155</v>
      </c>
      <c r="V58" s="1013" t="s">
        <v>2155</v>
      </c>
      <c r="W58" s="1013" t="s">
        <v>2155</v>
      </c>
      <c r="X58" s="1013"/>
      <c r="Y58" s="1170"/>
      <c r="Z58" s="1016"/>
      <c r="AA58" s="1019"/>
      <c r="AB58" s="1016"/>
      <c r="AC58" s="1016"/>
      <c r="AD58" s="1016"/>
    </row>
    <row r="59" ht="36" customHeight="1">
      <c r="A59" s="1015"/>
      <c r="B59" s="1069">
        <v>42</v>
      </c>
      <c r="C59" s="1013">
        <v>3</v>
      </c>
      <c r="D59" s="1137" t="s">
        <v>2143</v>
      </c>
      <c r="E59" s="1013" t="s">
        <v>2143</v>
      </c>
      <c r="F59" s="1013" t="s">
        <v>2143</v>
      </c>
      <c r="G59" s="1013"/>
      <c r="H59" s="1061"/>
      <c r="I59" s="1175">
        <f>INDEX(TEMPLATE_NUMBER_POINT_FHD,B59,MATCH(TEMPLATE_SPHERE,TEMPLATE_SPHERE_LIST_FOR_NOTE,0))</f>
        <v>0</v>
      </c>
      <c r="J59" s="1175">
        <f>INDEX(TEMPLATE_DATA_POINT_FHD,B59,MATCH(TEMPLATE_SPHERE,TEMPLATE_SPHERE_LIST_FOR_NOTE,0))</f>
        <v>0</v>
      </c>
      <c r="K59" s="1175">
        <f>INDEX(TEMPLATE_NOTE_POINT_FHD,B59,MATCH(TEMPLATE_SPHERE,TEMPLATE_SPHERE_LIST_FOR_NOTE,0))</f>
        <v>0</v>
      </c>
      <c r="L59" s="1014" t="str">
        <f>IF(I59=0,"",I59)</f>
        <v/>
      </c>
      <c r="M59" s="1014" t="str">
        <f>IF(J59=0,"",J59)</f>
        <v/>
      </c>
      <c r="N59" s="1014" t="str">
        <f>IF(K59=0,"",K59)</f>
        <v/>
      </c>
      <c r="O59" s="1127"/>
      <c r="P59" s="1127" t="s">
        <v>112</v>
      </c>
      <c r="Q59" s="1127" t="s">
        <v>112</v>
      </c>
      <c r="R59" s="1127" t="s">
        <v>112</v>
      </c>
      <c r="S59" s="1127"/>
      <c r="T59" s="1013"/>
      <c r="U59" s="1013" t="s">
        <v>2156</v>
      </c>
      <c r="V59" s="1013" t="s">
        <v>2157</v>
      </c>
      <c r="W59" s="1013" t="s">
        <v>2158</v>
      </c>
      <c r="X59" s="1013"/>
      <c r="Y59" s="1170"/>
      <c r="Z59" s="1016"/>
      <c r="AA59" s="1019"/>
      <c r="AB59" s="1016"/>
      <c r="AC59" s="1016"/>
      <c r="AD59" s="1016"/>
    </row>
    <row r="60" ht="81" customHeight="1">
      <c r="A60" s="1015"/>
      <c r="B60" s="1069">
        <v>43</v>
      </c>
      <c r="C60" s="1013" t="s">
        <v>2159</v>
      </c>
      <c r="D60" s="1137" t="s">
        <v>2159</v>
      </c>
      <c r="E60" s="1013" t="s">
        <v>2159</v>
      </c>
      <c r="F60" s="1013" t="s">
        <v>2159</v>
      </c>
      <c r="G60" s="1013"/>
      <c r="H60" s="1061"/>
      <c r="I60" s="1175" t="str">
        <f>INDEX(TEMPLATE_NUMBER_POINT_FHD,B60,MATCH(TEMPLATE_SPHERE,TEMPLATE_SPHERE_LIST_FOR_NOTE,0))</f>
        <v>6</v>
      </c>
      <c r="J60" s="1175" t="str">
        <f>INDEX(TEMPLATE_DATA_POINT_FHD,B60,MATCH(TEMPLATE_SPHERE,TEMPLATE_SPHERE_LIST_FOR_NOTE,0))</f>
        <v xml:space="preserve">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14" t="str">
        <f>IF(I60=0,"",I60)</f>
        <v>6</v>
      </c>
      <c r="M60" s="1014" t="str">
        <f>IF(J60=0,"",J60)</f>
        <v xml:space="preserve">Годовая бухгалтерская (финансовая) отчетность, включая бухгалтерский баланс и приложения к нему</v>
      </c>
      <c r="N60" s="1014" t="str">
        <f>IF(K60=0,"",K60)</f>
        <v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27" t="s">
        <v>93</v>
      </c>
      <c r="P60" s="1127" t="s">
        <v>93</v>
      </c>
      <c r="Q60" s="1127" t="s">
        <v>93</v>
      </c>
      <c r="R60" s="1127" t="s">
        <v>93</v>
      </c>
      <c r="S60" s="1127"/>
      <c r="T60" s="1013" t="s">
        <v>635</v>
      </c>
      <c r="U60" s="1013" t="s">
        <v>635</v>
      </c>
      <c r="V60" s="1013" t="s">
        <v>635</v>
      </c>
      <c r="W60" s="1013" t="s">
        <v>635</v>
      </c>
      <c r="X60" s="1013"/>
      <c r="Y60" s="1170"/>
      <c r="Z60" s="1016" t="s">
        <v>2160</v>
      </c>
      <c r="AA60" s="1019" t="s">
        <v>2161</v>
      </c>
      <c r="AB60" s="1016" t="s">
        <v>2162</v>
      </c>
      <c r="AC60" s="1016" t="s">
        <v>2161</v>
      </c>
      <c r="AD60" s="1016"/>
    </row>
    <row r="61" ht="9" customHeight="1">
      <c r="A61" s="1015"/>
      <c r="B61" s="1069">
        <v>44</v>
      </c>
      <c r="C61" s="1013"/>
      <c r="D61" s="1137" t="s">
        <v>2163</v>
      </c>
      <c r="E61" s="1013"/>
      <c r="F61" s="1013"/>
      <c r="G61" s="1013"/>
      <c r="H61" s="1061"/>
      <c r="I61" s="1175">
        <f>INDEX(TEMPLATE_NUMBER_POINT_FHD,B61,MATCH(TEMPLATE_SPHERE,TEMPLATE_SPHERE_LIST_FOR_NOTE,0))</f>
        <v>0</v>
      </c>
      <c r="J61" s="1175">
        <f>INDEX(TEMPLATE_DATA_POINT_FHD,B61,MATCH(TEMPLATE_SPHERE,TEMPLATE_SPHERE_LIST_FOR_NOTE,0))</f>
        <v>0</v>
      </c>
      <c r="K61" s="1175">
        <f>INDEX(TEMPLATE_NOTE_POINT_FHD,B61,MATCH(TEMPLATE_SPHERE,TEMPLATE_SPHERE_LIST_FOR_NOTE,0))</f>
        <v>0</v>
      </c>
      <c r="L61" s="1014" t="str">
        <f>IF(I61=0,"",I61)</f>
        <v/>
      </c>
      <c r="M61" s="1014" t="str">
        <f>IF(J61=0,"",J61)</f>
        <v/>
      </c>
      <c r="N61" s="1014" t="str">
        <f>IF(K61=0,"",K61)</f>
        <v/>
      </c>
      <c r="O61" s="1127"/>
      <c r="P61" s="1127" t="s">
        <v>94</v>
      </c>
      <c r="Q61" s="1127"/>
      <c r="R61" s="1127"/>
      <c r="S61" s="1127"/>
      <c r="T61" s="1013"/>
      <c r="U61" s="1013" t="s">
        <v>2164</v>
      </c>
      <c r="V61" s="1013"/>
      <c r="W61" s="1013"/>
      <c r="X61" s="1013"/>
      <c r="Y61" s="1170"/>
      <c r="Z61" s="1016"/>
      <c r="AA61" s="1019"/>
      <c r="AB61" s="1016"/>
      <c r="AC61" s="1016"/>
      <c r="AD61" s="1016"/>
    </row>
    <row r="62" ht="9" customHeight="1">
      <c r="A62" s="1015"/>
      <c r="B62" s="1069">
        <v>45</v>
      </c>
      <c r="C62" s="1013"/>
      <c r="D62" s="1137" t="s">
        <v>2165</v>
      </c>
      <c r="E62" s="1013"/>
      <c r="F62" s="1013"/>
      <c r="G62" s="1013"/>
      <c r="H62" s="1061"/>
      <c r="I62" s="1175">
        <f>INDEX(TEMPLATE_NUMBER_POINT_FHD,B62,MATCH(TEMPLATE_SPHERE,TEMPLATE_SPHERE_LIST_FOR_NOTE,0))</f>
        <v>0</v>
      </c>
      <c r="J62" s="1175">
        <f>INDEX(TEMPLATE_DATA_POINT_FHD,B62,MATCH(TEMPLATE_SPHERE,TEMPLATE_SPHERE_LIST_FOR_NOTE,0))</f>
        <v>0</v>
      </c>
      <c r="K62" s="1175">
        <f>INDEX(TEMPLATE_NOTE_POINT_FHD,B62,MATCH(TEMPLATE_SPHERE,TEMPLATE_SPHERE_LIST_FOR_NOTE,0))</f>
        <v>0</v>
      </c>
      <c r="L62" s="1014" t="str">
        <f>IF(I62=0,"",I62)</f>
        <v/>
      </c>
      <c r="M62" s="1014" t="str">
        <f>IF(J62=0,"",J62)</f>
        <v/>
      </c>
      <c r="N62" s="1014" t="str">
        <f>IF(K62=0,"",K62)</f>
        <v/>
      </c>
      <c r="O62" s="1127"/>
      <c r="P62" s="1127" t="s">
        <v>100</v>
      </c>
      <c r="Q62" s="1127"/>
      <c r="R62" s="1127"/>
      <c r="S62" s="1127"/>
      <c r="T62" s="1013"/>
      <c r="U62" s="1013" t="s">
        <v>2166</v>
      </c>
      <c r="V62" s="1013"/>
      <c r="W62" s="1013"/>
      <c r="X62" s="1013"/>
      <c r="Y62" s="1170"/>
      <c r="Z62" s="1016"/>
      <c r="AA62" s="1019"/>
      <c r="AB62" s="1016"/>
      <c r="AC62" s="1016"/>
      <c r="AD62" s="1016"/>
    </row>
    <row r="63" ht="18" customHeight="1">
      <c r="A63" s="1015"/>
      <c r="B63" s="1069">
        <v>46</v>
      </c>
      <c r="C63" s="1013"/>
      <c r="D63" s="1137" t="s">
        <v>2167</v>
      </c>
      <c r="E63" s="1013"/>
      <c r="F63" s="1013"/>
      <c r="G63" s="1013"/>
      <c r="H63" s="1061"/>
      <c r="I63" s="1175">
        <f>INDEX(TEMPLATE_NUMBER_POINT_FHD,B63,MATCH(TEMPLATE_SPHERE,TEMPLATE_SPHERE_LIST_FOR_NOTE,0))</f>
        <v>0</v>
      </c>
      <c r="J63" s="1175">
        <f>INDEX(TEMPLATE_DATA_POINT_FHD,B63,MATCH(TEMPLATE_SPHERE,TEMPLATE_SPHERE_LIST_FOR_NOTE,0))</f>
        <v>0</v>
      </c>
      <c r="K63" s="1175">
        <f>INDEX(TEMPLATE_NOTE_POINT_FHD,B63,MATCH(TEMPLATE_SPHERE,TEMPLATE_SPHERE_LIST_FOR_NOTE,0))</f>
        <v>0</v>
      </c>
      <c r="L63" s="1014" t="str">
        <f>IF(I63=0,"",I63)</f>
        <v/>
      </c>
      <c r="M63" s="1014" t="str">
        <f>IF(J63=0,"",J63)</f>
        <v/>
      </c>
      <c r="N63" s="1014" t="str">
        <f>IF(K63=0,"",K63)</f>
        <v/>
      </c>
      <c r="O63" s="1127"/>
      <c r="P63" s="1127" t="s">
        <v>148</v>
      </c>
      <c r="Q63" s="1127"/>
      <c r="R63" s="1127"/>
      <c r="S63" s="1127"/>
      <c r="T63" s="1013"/>
      <c r="U63" s="1013" t="s">
        <v>2168</v>
      </c>
      <c r="V63" s="1013"/>
      <c r="W63" s="1013"/>
      <c r="X63" s="1013"/>
      <c r="Y63" s="1170"/>
      <c r="Z63" s="1016"/>
      <c r="AA63" s="1019"/>
      <c r="AB63" s="1016"/>
      <c r="AC63" s="1016"/>
      <c r="AD63" s="1016"/>
    </row>
    <row r="64" ht="18" customHeight="1">
      <c r="A64" s="1015"/>
      <c r="B64" s="1069">
        <v>47</v>
      </c>
      <c r="C64" s="1013"/>
      <c r="D64" s="1137" t="s">
        <v>2169</v>
      </c>
      <c r="E64" s="1013"/>
      <c r="F64" s="1013"/>
      <c r="G64" s="1013"/>
      <c r="H64" s="1061"/>
      <c r="I64" s="1175">
        <f>INDEX(TEMPLATE_NUMBER_POINT_FHD,B64,MATCH(TEMPLATE_SPHERE,TEMPLATE_SPHERE_LIST_FOR_NOTE,0))</f>
        <v>0</v>
      </c>
      <c r="J64" s="1175">
        <f>INDEX(TEMPLATE_DATA_POINT_FHD,B64,MATCH(TEMPLATE_SPHERE,TEMPLATE_SPHERE_LIST_FOR_NOTE,0))</f>
        <v>0</v>
      </c>
      <c r="K64" s="1175">
        <f>INDEX(TEMPLATE_NOTE_POINT_FHD,B64,MATCH(TEMPLATE_SPHERE,TEMPLATE_SPHERE_LIST_FOR_NOTE,0))</f>
        <v>0</v>
      </c>
      <c r="L64" s="1014" t="str">
        <f>IF(I64=0,"",I64)</f>
        <v/>
      </c>
      <c r="M64" s="1014" t="str">
        <f>IF(J64=0,"",J64)</f>
        <v/>
      </c>
      <c r="N64" s="1014" t="str">
        <f>IF(K64=0,"",K64)</f>
        <v/>
      </c>
      <c r="O64" s="1127"/>
      <c r="P64" s="1127" t="s">
        <v>149</v>
      </c>
      <c r="Q64" s="1127"/>
      <c r="R64" s="1127"/>
      <c r="S64" s="1127"/>
      <c r="T64" s="1013"/>
      <c r="U64" s="1013" t="s">
        <v>2170</v>
      </c>
      <c r="V64" s="1013"/>
      <c r="W64" s="1013"/>
      <c r="X64" s="1013"/>
      <c r="Y64" s="1170"/>
      <c r="Z64" s="1016"/>
      <c r="AA64" s="1019" t="s">
        <v>2171</v>
      </c>
      <c r="AB64" s="1016"/>
      <c r="AC64" s="1016"/>
      <c r="AD64" s="1016"/>
    </row>
    <row r="65" ht="18" customHeight="1">
      <c r="A65" s="1015"/>
      <c r="B65" s="1069">
        <v>48</v>
      </c>
      <c r="C65" s="1013"/>
      <c r="D65" s="1137"/>
      <c r="E65" s="1013"/>
      <c r="F65" s="1013"/>
      <c r="G65" s="1013"/>
      <c r="H65" s="1061"/>
      <c r="I65" s="1175">
        <f>INDEX(TEMPLATE_NUMBER_POINT_FHD,B65,MATCH(TEMPLATE_SPHERE,TEMPLATE_SPHERE_LIST_FOR_NOTE,0))</f>
        <v>0</v>
      </c>
      <c r="J65" s="1175">
        <f>INDEX(TEMPLATE_DATA_POINT_FHD,B65,MATCH(TEMPLATE_SPHERE,TEMPLATE_SPHERE_LIST_FOR_NOTE,0))</f>
        <v>0</v>
      </c>
      <c r="K65" s="1175">
        <f>INDEX(TEMPLATE_NOTE_POINT_FHD,B65,MATCH(TEMPLATE_SPHERE,TEMPLATE_SPHERE_LIST_FOR_NOTE,0))</f>
        <v>0</v>
      </c>
      <c r="L65" s="1014" t="str">
        <f>IF(I65=0,"",I65)</f>
        <v/>
      </c>
      <c r="M65" s="1014" t="str">
        <f>IF(J65=0,"",J65)</f>
        <v/>
      </c>
      <c r="N65" s="1014" t="str">
        <f>IF(K65=0,"",K65)</f>
        <v/>
      </c>
      <c r="O65" s="1127"/>
      <c r="P65" s="1127" t="s">
        <v>2084</v>
      </c>
      <c r="Q65" s="1127"/>
      <c r="R65" s="1127"/>
      <c r="S65" s="1127"/>
      <c r="T65" s="1013"/>
      <c r="U65" s="1013" t="s">
        <v>2172</v>
      </c>
      <c r="V65" s="1013"/>
      <c r="W65" s="1013"/>
      <c r="X65" s="1013"/>
      <c r="Y65" s="1170"/>
      <c r="Z65" s="1016"/>
      <c r="AA65" s="1019"/>
      <c r="AB65" s="1016"/>
      <c r="AC65" s="1016"/>
      <c r="AD65" s="1016"/>
    </row>
    <row r="66" ht="18" customHeight="1">
      <c r="A66" s="1015"/>
      <c r="B66" s="1069">
        <v>49</v>
      </c>
      <c r="C66" s="1013"/>
      <c r="D66" s="1137"/>
      <c r="E66" s="1013"/>
      <c r="F66" s="1013"/>
      <c r="G66" s="1013"/>
      <c r="H66" s="1061"/>
      <c r="I66" s="1175">
        <f>INDEX(TEMPLATE_NUMBER_POINT_FHD,B66,MATCH(TEMPLATE_SPHERE,TEMPLATE_SPHERE_LIST_FOR_NOTE,0))</f>
        <v>0</v>
      </c>
      <c r="J66" s="1175">
        <f>INDEX(TEMPLATE_DATA_POINT_FHD,B66,MATCH(TEMPLATE_SPHERE,TEMPLATE_SPHERE_LIST_FOR_NOTE,0))</f>
        <v>0</v>
      </c>
      <c r="K66" s="1175">
        <f>INDEX(TEMPLATE_NOTE_POINT_FHD,B66,MATCH(TEMPLATE_SPHERE,TEMPLATE_SPHERE_LIST_FOR_NOTE,0))</f>
        <v>0</v>
      </c>
      <c r="L66" s="1014" t="str">
        <f>IF(I66=0,"",I66)</f>
        <v/>
      </c>
      <c r="M66" s="1014" t="str">
        <f>IF(J66=0,"",J66)</f>
        <v/>
      </c>
      <c r="N66" s="1014" t="str">
        <f>IF(K66=0,"",K66)</f>
        <v/>
      </c>
      <c r="O66" s="1127"/>
      <c r="P66" s="1127" t="s">
        <v>2088</v>
      </c>
      <c r="Q66" s="1127"/>
      <c r="R66" s="1127"/>
      <c r="S66" s="1127"/>
      <c r="T66" s="1013"/>
      <c r="U66" s="1013" t="s">
        <v>2173</v>
      </c>
      <c r="V66" s="1013"/>
      <c r="W66" s="1013"/>
      <c r="X66" s="1013"/>
      <c r="Y66" s="1170"/>
      <c r="Z66" s="1016"/>
      <c r="AA66" s="1019"/>
      <c r="AB66" s="1016"/>
      <c r="AC66" s="1016"/>
      <c r="AD66" s="1016"/>
    </row>
    <row r="67" ht="27" customHeight="1">
      <c r="A67" s="1015"/>
      <c r="B67" s="1069">
        <v>50</v>
      </c>
      <c r="C67" s="1013"/>
      <c r="D67" s="1137"/>
      <c r="E67" s="1013"/>
      <c r="F67" s="1013"/>
      <c r="G67" s="1013"/>
      <c r="H67" s="1061"/>
      <c r="I67" s="1175">
        <f>INDEX(TEMPLATE_NUMBER_POINT_FHD,B67,MATCH(TEMPLATE_SPHERE,TEMPLATE_SPHERE_LIST_FOR_NOTE,0))</f>
        <v>0</v>
      </c>
      <c r="J67" s="1175">
        <f>INDEX(TEMPLATE_DATA_POINT_FHD,B67,MATCH(TEMPLATE_SPHERE,TEMPLATE_SPHERE_LIST_FOR_NOTE,0))</f>
        <v>0</v>
      </c>
      <c r="K67" s="1175">
        <f>INDEX(TEMPLATE_NOTE_POINT_FHD,B67,MATCH(TEMPLATE_SPHERE,TEMPLATE_SPHERE_LIST_FOR_NOTE,0))</f>
        <v>0</v>
      </c>
      <c r="L67" s="1014" t="str">
        <f>IF(I67=0,"",I67)</f>
        <v/>
      </c>
      <c r="M67" s="1014" t="str">
        <f>IF(J67=0,"",J67)</f>
        <v/>
      </c>
      <c r="N67" s="1014" t="str">
        <f>IF(K67=0,"",K67)</f>
        <v/>
      </c>
      <c r="O67" s="1127"/>
      <c r="P67" s="1127" t="s">
        <v>2174</v>
      </c>
      <c r="Q67" s="1127"/>
      <c r="R67" s="1127"/>
      <c r="S67" s="1127"/>
      <c r="T67" s="1013"/>
      <c r="U67" s="1013" t="s">
        <v>2175</v>
      </c>
      <c r="V67" s="1013"/>
      <c r="W67" s="1013"/>
      <c r="X67" s="1013"/>
      <c r="Y67" s="1170"/>
      <c r="Z67" s="1016"/>
      <c r="AA67" s="1019"/>
      <c r="AB67" s="1016"/>
      <c r="AC67" s="1016"/>
      <c r="AD67" s="1016"/>
    </row>
    <row r="68" ht="27" customHeight="1">
      <c r="A68" s="1015"/>
      <c r="B68" s="1069">
        <v>51</v>
      </c>
      <c r="C68" s="1013"/>
      <c r="D68" s="1137"/>
      <c r="E68" s="1013"/>
      <c r="F68" s="1013"/>
      <c r="G68" s="1013"/>
      <c r="H68" s="1061"/>
      <c r="I68" s="1175">
        <f>INDEX(TEMPLATE_NUMBER_POINT_FHD,B68,MATCH(TEMPLATE_SPHERE,TEMPLATE_SPHERE_LIST_FOR_NOTE,0))</f>
        <v>0</v>
      </c>
      <c r="J68" s="1175">
        <f>INDEX(TEMPLATE_DATA_POINT_FHD,B68,MATCH(TEMPLATE_SPHERE,TEMPLATE_SPHERE_LIST_FOR_NOTE,0))</f>
        <v>0</v>
      </c>
      <c r="K68" s="1175">
        <f>INDEX(TEMPLATE_NOTE_POINT_FHD,B68,MATCH(TEMPLATE_SPHERE,TEMPLATE_SPHERE_LIST_FOR_NOTE,0))</f>
        <v>0</v>
      </c>
      <c r="L68" s="1014" t="str">
        <f>IF(I68=0,"",I68)</f>
        <v/>
      </c>
      <c r="M68" s="1014" t="str">
        <f>IF(J68=0,"",J68)</f>
        <v/>
      </c>
      <c r="N68" s="1014" t="str">
        <f>IF(K68=0,"",K68)</f>
        <v/>
      </c>
      <c r="O68" s="1127"/>
      <c r="P68" s="1127" t="s">
        <v>2176</v>
      </c>
      <c r="Q68" s="1127"/>
      <c r="R68" s="1127"/>
      <c r="S68" s="1127"/>
      <c r="T68" s="1013"/>
      <c r="U68" s="1013" t="s">
        <v>2177</v>
      </c>
      <c r="V68" s="1013"/>
      <c r="W68" s="1013"/>
      <c r="X68" s="1013"/>
      <c r="Y68" s="1170"/>
      <c r="Z68" s="1016"/>
      <c r="AA68" s="1019"/>
      <c r="AB68" s="1016"/>
      <c r="AC68" s="1016"/>
      <c r="AD68" s="1016"/>
    </row>
    <row r="69" ht="9" customHeight="1">
      <c r="A69" s="1015"/>
      <c r="B69" s="1069">
        <v>52</v>
      </c>
      <c r="C69" s="1013"/>
      <c r="D69" s="1137" t="s">
        <v>2178</v>
      </c>
      <c r="E69" s="1013"/>
      <c r="F69" s="1013"/>
      <c r="G69" s="1013"/>
      <c r="H69" s="1061"/>
      <c r="I69" s="1175">
        <f>INDEX(TEMPLATE_NUMBER_POINT_FHD,B69,MATCH(TEMPLATE_SPHERE,TEMPLATE_SPHERE_LIST_FOR_NOTE,0))</f>
        <v>0</v>
      </c>
      <c r="J69" s="1175">
        <f>INDEX(TEMPLATE_DATA_POINT_FHD,B69,MATCH(TEMPLATE_SPHERE,TEMPLATE_SPHERE_LIST_FOR_NOTE,0))</f>
        <v>0</v>
      </c>
      <c r="K69" s="1175">
        <f>INDEX(TEMPLATE_NOTE_POINT_FHD,B69,MATCH(TEMPLATE_SPHERE,TEMPLATE_SPHERE_LIST_FOR_NOTE,0))</f>
        <v>0</v>
      </c>
      <c r="L69" s="1014" t="str">
        <f>IF(I69=0,"",I69)</f>
        <v/>
      </c>
      <c r="M69" s="1014" t="str">
        <f>IF(J69=0,"",J69)</f>
        <v/>
      </c>
      <c r="N69" s="1014" t="str">
        <f>IF(K69=0,"",K69)</f>
        <v/>
      </c>
      <c r="O69" s="1127"/>
      <c r="P69" s="1127" t="s">
        <v>150</v>
      </c>
      <c r="Q69" s="1127"/>
      <c r="R69" s="1127"/>
      <c r="S69" s="1127"/>
      <c r="T69" s="1013"/>
      <c r="U69" s="1013" t="s">
        <v>2179</v>
      </c>
      <c r="V69" s="1013"/>
      <c r="W69" s="1013"/>
      <c r="X69" s="1013"/>
      <c r="Y69" s="1170"/>
      <c r="Z69" s="1016"/>
      <c r="AA69" s="1019"/>
      <c r="AB69" s="1016"/>
      <c r="AC69" s="1016"/>
      <c r="AD69" s="1016"/>
    </row>
    <row r="70" ht="27" customHeight="1">
      <c r="A70" s="1015"/>
      <c r="B70" s="1069">
        <v>53</v>
      </c>
      <c r="C70" s="1013"/>
      <c r="D70" s="1137"/>
      <c r="E70" s="1013" t="s">
        <v>2163</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94</v>
      </c>
      <c r="R70" s="1127"/>
      <c r="S70" s="1127"/>
      <c r="T70" s="1013"/>
      <c r="U70" s="1013"/>
      <c r="V70" s="1013" t="s">
        <v>2180</v>
      </c>
      <c r="W70" s="1013"/>
      <c r="X70" s="1013"/>
      <c r="Y70" s="1170"/>
      <c r="Z70" s="1016"/>
      <c r="AA70" s="1019"/>
      <c r="AB70" s="1016"/>
      <c r="AC70" s="1016"/>
      <c r="AD70" s="1016"/>
    </row>
    <row r="71" ht="36" customHeight="1">
      <c r="A71" s="1015"/>
      <c r="B71" s="1069">
        <v>54</v>
      </c>
      <c r="C71" s="1013"/>
      <c r="D71" s="1137"/>
      <c r="E71" s="1013" t="s">
        <v>2165</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100</v>
      </c>
      <c r="R71" s="1127"/>
      <c r="S71" s="1127"/>
      <c r="T71" s="1013"/>
      <c r="U71" s="1013"/>
      <c r="V71" s="1013" t="s">
        <v>2181</v>
      </c>
      <c r="W71" s="1013"/>
      <c r="X71" s="1013"/>
      <c r="Y71" s="1170"/>
      <c r="Z71" s="1016"/>
      <c r="AA71" s="1019"/>
      <c r="AB71" s="1016"/>
      <c r="AC71" s="1016"/>
      <c r="AD71" s="1016"/>
    </row>
    <row r="72" ht="27" customHeight="1">
      <c r="A72" s="1015"/>
      <c r="B72" s="1069">
        <v>55</v>
      </c>
      <c r="C72" s="1013"/>
      <c r="D72" s="1137"/>
      <c r="E72" s="1013" t="s">
        <v>2167</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2182</v>
      </c>
      <c r="W72" s="1013"/>
      <c r="X72" s="1013"/>
      <c r="Y72" s="1170"/>
      <c r="Z72" s="1016"/>
      <c r="AA72" s="1019"/>
      <c r="AB72" s="1016"/>
      <c r="AC72" s="1016"/>
      <c r="AD72" s="1016"/>
    </row>
    <row r="73" ht="36" customHeight="1">
      <c r="A73" s="1015"/>
      <c r="B73" s="1069">
        <v>56</v>
      </c>
      <c r="C73" s="1013"/>
      <c r="D73" s="1137"/>
      <c r="E73" s="1013" t="s">
        <v>2169</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2183</v>
      </c>
      <c r="W73" s="1013"/>
      <c r="X73" s="1013"/>
      <c r="Y73" s="1170"/>
      <c r="Z73" s="1016"/>
      <c r="AA73" s="1019"/>
      <c r="AB73" s="1016"/>
      <c r="AC73" s="1016"/>
      <c r="AD73" s="1016"/>
    </row>
    <row r="74" ht="18" customHeight="1">
      <c r="A74" s="1015"/>
      <c r="B74" s="1069">
        <v>57</v>
      </c>
      <c r="C74" s="1013"/>
      <c r="D74" s="1137"/>
      <c r="E74" s="1013" t="s">
        <v>2178</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2184</v>
      </c>
      <c r="W74" s="1013"/>
      <c r="X74" s="1013"/>
      <c r="Y74" s="1170"/>
      <c r="Z74" s="1016"/>
      <c r="AA74" s="1019"/>
      <c r="AB74" s="1016"/>
      <c r="AC74" s="1016"/>
      <c r="AD74" s="1016"/>
    </row>
    <row r="75" ht="18" customHeight="1">
      <c r="A75" s="1015"/>
      <c r="B75" s="1069">
        <v>58</v>
      </c>
      <c r="C75" s="1013"/>
      <c r="D75" s="1137"/>
      <c r="E75" s="1013"/>
      <c r="F75" s="1013" t="s">
        <v>2163</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94</v>
      </c>
      <c r="S75" s="1127"/>
      <c r="T75" s="1013"/>
      <c r="U75" s="1013"/>
      <c r="V75" s="1013"/>
      <c r="W75" s="1013" t="s">
        <v>2185</v>
      </c>
      <c r="X75" s="1013"/>
      <c r="Y75" s="1170"/>
      <c r="Z75" s="1016"/>
      <c r="AA75" s="1019"/>
      <c r="AB75" s="1016"/>
      <c r="AC75" s="1016"/>
      <c r="AD75" s="1016"/>
    </row>
    <row r="76" ht="36" customHeight="1">
      <c r="A76" s="1015"/>
      <c r="B76" s="1069">
        <v>59</v>
      </c>
      <c r="C76" s="1013"/>
      <c r="D76" s="1137"/>
      <c r="E76" s="1013"/>
      <c r="F76" s="1013" t="s">
        <v>2165</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100</v>
      </c>
      <c r="S76" s="1127"/>
      <c r="T76" s="1013"/>
      <c r="U76" s="1013"/>
      <c r="V76" s="1013"/>
      <c r="W76" s="1013" t="s">
        <v>2186</v>
      </c>
      <c r="X76" s="1013"/>
      <c r="Y76" s="1170"/>
      <c r="Z76" s="1016"/>
      <c r="AA76" s="1019"/>
      <c r="AB76" s="1016"/>
      <c r="AC76" s="1016"/>
      <c r="AD76" s="1016"/>
    </row>
    <row r="77" ht="18" customHeight="1">
      <c r="A77" s="1015"/>
      <c r="B77" s="1069">
        <v>60</v>
      </c>
      <c r="C77" s="1013"/>
      <c r="D77" s="1137"/>
      <c r="E77" s="1013"/>
      <c r="F77" s="1013" t="s">
        <v>2167</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2187</v>
      </c>
      <c r="X77" s="1013"/>
      <c r="Y77" s="1170"/>
      <c r="Z77" s="1016"/>
      <c r="AA77" s="1019"/>
      <c r="AB77" s="1016"/>
      <c r="AC77" s="1016"/>
      <c r="AD77" s="1016"/>
    </row>
    <row r="78" ht="72" customHeight="1">
      <c r="A78" s="1015"/>
      <c r="B78" s="1069">
        <v>61</v>
      </c>
      <c r="C78" s="1013" t="s">
        <v>2163</v>
      </c>
      <c r="D78" s="1137"/>
      <c r="E78" s="1013"/>
      <c r="F78" s="1013"/>
      <c r="G78" s="1013"/>
      <c r="H78" s="1061"/>
      <c r="I78" s="1175" t="str">
        <f>INDEX(TEMPLATE_NUMBER_POINT_FHD,B78,MATCH(TEMPLATE_SPHERE,TEMPLATE_SPHERE_LIST_FOR_NOTE,0))</f>
        <v>7</v>
      </c>
      <c r="J78" s="1175" t="str">
        <f>INDEX(TEMPLATE_DATA_POINT_FHD,B78,MATCH(TEMPLATE_SPHERE,TEMPLATE_SPHERE_LIST_FOR_NOTE,0))</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K78" s="1175" t="str">
        <f>INDEX(TEMPLATE_NOTE_POINT_FHD,B78,MATCH(TEMPLATE_SPHERE,TEMPLATE_SPHERE_LIST_FOR_NOTE,0))</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14" t="str">
        <f>IF(I78=0,"",I78)</f>
        <v>7</v>
      </c>
      <c r="M78" s="1014" t="str">
        <f>IF(J78=0,"",J78)</f>
        <v xml:space="preserve">Установленная тепловая мощность объектов основных фондов, используемых для теплоснабжения, в том числе по каждому источнику тепловой энергии</v>
      </c>
      <c r="N78" s="1014" t="str">
        <f>IF(K78=0,"",K78)</f>
        <v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27" t="s">
        <v>94</v>
      </c>
      <c r="P78" s="1127"/>
      <c r="Q78" s="1127"/>
      <c r="R78" s="1127"/>
      <c r="S78" s="1127"/>
      <c r="T78" s="1013" t="s">
        <v>640</v>
      </c>
      <c r="U78" s="1013"/>
      <c r="V78" s="1013"/>
      <c r="W78" s="1013"/>
      <c r="X78" s="1013"/>
      <c r="Y78" s="1170"/>
      <c r="Z78" s="1016" t="s">
        <v>2188</v>
      </c>
      <c r="AA78" s="1019"/>
      <c r="AB78" s="1016"/>
      <c r="AC78" s="1016"/>
      <c r="AD78" s="1016"/>
    </row>
    <row r="79" ht="36" customHeight="1">
      <c r="A79" s="1015"/>
      <c r="B79" s="1069">
        <v>62</v>
      </c>
      <c r="C79" s="1013" t="s">
        <v>2165</v>
      </c>
      <c r="D79" s="1137"/>
      <c r="E79" s="1013"/>
      <c r="F79" s="1013"/>
      <c r="G79" s="1013"/>
      <c r="H79" s="1061"/>
      <c r="I79" s="1175" t="str">
        <f>INDEX(TEMPLATE_NUMBER_POINT_FHD,B79,MATCH(TEMPLATE_SPHERE,TEMPLATE_SPHERE_LIST_FOR_NOTE,0))</f>
        <v>8</v>
      </c>
      <c r="J79" s="1175" t="str">
        <f>INDEX(TEMPLATE_DATA_POINT_FHD,B79,MATCH(TEMPLATE_SPHERE,TEMPLATE_SPHERE_LIST_FOR_NOTE,0))</f>
        <v xml:space="preserve">Тепловая нагрузка по договорам, заключенным в рамках осуществления регулируемых видов деятельности</v>
      </c>
      <c r="K79" s="1175" t="str">
        <f>INDEX(TEMPLATE_NOTE_POINT_FHD,B79,MATCH(TEMPLATE_SPHERE,TEMPLATE_SPHERE_LIST_FOR_NOTE,0))</f>
        <v xml:space="preserve">Регулируемыми организациями указывается информация по договорам, заключенным в рамках осуществления регулируемых видов деятельности</v>
      </c>
      <c r="L79" s="1014" t="str">
        <f>IF(I79=0,"",I79)</f>
        <v>8</v>
      </c>
      <c r="M79" s="1014" t="str">
        <f>IF(J79=0,"",J79)</f>
        <v xml:space="preserve">Тепловая нагрузка по договорам, заключенным в рамках осуществления регулируемых видов деятельности</v>
      </c>
      <c r="N79" s="1014" t="str">
        <f>IF(K79=0,"",K79)</f>
        <v xml:space="preserve">Регулируемыми организациями указывается информация по договорам, заключенным в рамках осуществления регулируемых видов деятельности</v>
      </c>
      <c r="O79" s="1127" t="s">
        <v>100</v>
      </c>
      <c r="P79" s="1127"/>
      <c r="Q79" s="1127"/>
      <c r="R79" s="1127"/>
      <c r="S79" s="1127"/>
      <c r="T79" s="1013" t="s">
        <v>2189</v>
      </c>
      <c r="U79" s="1013"/>
      <c r="V79" s="1013"/>
      <c r="W79" s="1013"/>
      <c r="X79" s="1013"/>
      <c r="Y79" s="1170"/>
      <c r="Z79" s="1016" t="s">
        <v>2190</v>
      </c>
      <c r="AA79" s="1019"/>
      <c r="AB79" s="1016"/>
      <c r="AC79" s="1016"/>
      <c r="AD79" s="1016"/>
    </row>
    <row r="80" ht="45" customHeight="1">
      <c r="A80" s="1015"/>
      <c r="B80" s="1069">
        <v>63</v>
      </c>
      <c r="C80" s="1013" t="s">
        <v>2167</v>
      </c>
      <c r="D80" s="1137"/>
      <c r="E80" s="1013"/>
      <c r="F80" s="1013"/>
      <c r="G80" s="1013"/>
      <c r="H80" s="1061"/>
      <c r="I80" s="1175" t="str">
        <f>INDEX(TEMPLATE_NUMBER_POINT_FHD,B80,MATCH(TEMPLATE_SPHERE,TEMPLATE_SPHERE_LIST_FOR_NOTE,0))</f>
        <v>9</v>
      </c>
      <c r="J80" s="1175" t="str">
        <f>INDEX(TEMPLATE_DATA_POINT_FHD,B80,MATCH(TEMPLATE_SPHERE,TEMPLATE_SPHERE_LIST_FOR_NOTE,0))</f>
        <v xml:space="preserve">Объем вырабатываемой регулируемой организацией тепловой энергии в рамках осуществления регулируемых видов деятельности</v>
      </c>
      <c r="K80" s="1175" t="str">
        <f>INDEX(TEMPLATE_NOTE_POINT_FHD,B80,MATCH(TEMPLATE_SPHERE,TEMPLATE_SPHERE_LIST_FOR_NOTE,0))</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L80" s="1014" t="str">
        <f>IF(I80=0,"",I80)</f>
        <v>9</v>
      </c>
      <c r="M80" s="1014" t="str">
        <f>IF(J80=0,"",J80)</f>
        <v xml:space="preserve">Объем вырабатываемой регулируемой организацией тепловой энергии в рамках осуществления регулируемых видов деятельности</v>
      </c>
      <c r="N80" s="1014" t="str">
        <f>IF(K80=0,"",K80)</f>
        <v xml:space="preserve">Регулируемыми организациями указывается информация тепловой энергии, выработанной в рамках осуществления регулируемых видов деятельности.</v>
      </c>
      <c r="O80" s="1127" t="s">
        <v>148</v>
      </c>
      <c r="P80" s="1127"/>
      <c r="Q80" s="1127"/>
      <c r="R80" s="1127"/>
      <c r="S80" s="1127"/>
      <c r="T80" s="1013" t="s">
        <v>2191</v>
      </c>
      <c r="U80" s="1013"/>
      <c r="V80" s="1013"/>
      <c r="W80" s="1013"/>
      <c r="X80" s="1013"/>
      <c r="Y80" s="1170"/>
      <c r="Z80" s="1016" t="s">
        <v>2192</v>
      </c>
      <c r="AA80" s="1019"/>
      <c r="AB80" s="1016"/>
      <c r="AC80" s="1016"/>
      <c r="AD80" s="1016"/>
    </row>
    <row r="81" ht="36" customHeight="1">
      <c r="A81" s="1015"/>
      <c r="B81" s="1069">
        <v>64</v>
      </c>
      <c r="C81" s="1013" t="s">
        <v>2169</v>
      </c>
      <c r="D81" s="1137"/>
      <c r="E81" s="1013"/>
      <c r="F81" s="1013"/>
      <c r="G81" s="1013"/>
      <c r="H81" s="1061"/>
      <c r="I81" s="1175" t="str">
        <f>INDEX(TEMPLATE_NUMBER_POINT_FHD,B81,MATCH(TEMPLATE_SPHERE,TEMPLATE_SPHERE_LIST_FOR_NOTE,0))</f>
        <v>9.1</v>
      </c>
      <c r="J81" s="1175" t="str">
        <f>INDEX(TEMPLATE_DATA_POINT_FHD,B81,MATCH(TEMPLATE_SPHERE,TEMPLATE_SPHERE_LIST_FOR_NOTE,0))</f>
        <v xml:space="preserve">Объем приобретаемой регулируемой организацией тепловой энергии в рамках осуществления регулируемых видов деятельности</v>
      </c>
      <c r="K81" s="1175" t="str">
        <f>INDEX(TEMPLATE_NOTE_POINT_FHD,B81,MATCH(TEMPLATE_SPHERE,TEMPLATE_SPHERE_LIST_FOR_NOTE,0))</f>
        <v xml:space="preserve">Информация указывается только едиными теплоснабжающими организациями.</v>
      </c>
      <c r="L81" s="1014" t="str">
        <f>IF(I81=0,"",I81)</f>
        <v>9.1</v>
      </c>
      <c r="M81" s="1014" t="str">
        <f>IF(J81=0,"",J81)</f>
        <v xml:space="preserve">Объем приобретаемой регулируемой организацией тепловой энергии в рамках осуществления регулируемых видов деятельности</v>
      </c>
      <c r="N81" s="1014" t="str">
        <f>IF(K81=0,"",K81)</f>
        <v xml:space="preserve">Информация указывается только едиными теплоснабжающими организациями.</v>
      </c>
      <c r="O81" s="1127" t="s">
        <v>2075</v>
      </c>
      <c r="P81" s="1127"/>
      <c r="Q81" s="1127"/>
      <c r="R81" s="1127"/>
      <c r="S81" s="1127"/>
      <c r="T81" s="1013" t="s">
        <v>2193</v>
      </c>
      <c r="U81" s="1013"/>
      <c r="V81" s="1013"/>
      <c r="W81" s="1013"/>
      <c r="X81" s="1013"/>
      <c r="Y81" s="1170"/>
      <c r="Z81" s="1016" t="s">
        <v>2194</v>
      </c>
      <c r="AA81" s="1019"/>
      <c r="AB81" s="1016"/>
      <c r="AC81" s="1016"/>
      <c r="AD81" s="1016"/>
    </row>
    <row r="82" ht="90" customHeight="1">
      <c r="A82" s="1015"/>
      <c r="B82" s="1069">
        <v>65</v>
      </c>
      <c r="C82" s="1013" t="s">
        <v>2178</v>
      </c>
      <c r="D82" s="1137"/>
      <c r="E82" s="1013"/>
      <c r="F82" s="1013"/>
      <c r="G82" s="1013"/>
      <c r="H82" s="1061"/>
      <c r="I82" s="1175" t="str">
        <f>INDEX(TEMPLATE_NUMBER_POINT_FHD,B82,MATCH(TEMPLATE_SPHERE,TEMPLATE_SPHERE_LIST_FOR_NOTE,0))</f>
        <v>10</v>
      </c>
      <c r="J82" s="1175" t="str">
        <f>INDEX(TEMPLATE_DATA_POINT_FHD,B82,MATCH(TEMPLATE_SPHERE,TEMPLATE_SPHERE_LIST_FOR_NOTE,0))</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75" t="str">
        <f>INDEX(TEMPLATE_NOTE_POINT_FHD,B82,MATCH(TEMPLATE_SPHERE,TEMPLATE_SPHERE_LIST_FOR_NOTE,0))</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14" t="str">
        <f>IF(I82=0,"",I82)</f>
        <v>10</v>
      </c>
      <c r="M82" s="1014" t="str">
        <f>IF(J82=0,"",J82)</f>
        <v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14" t="str">
        <f>IF(K82=0,"",K82)</f>
        <v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27" t="s">
        <v>149</v>
      </c>
      <c r="P82" s="1127"/>
      <c r="Q82" s="1127"/>
      <c r="R82" s="1127"/>
      <c r="S82" s="1127"/>
      <c r="T82" s="1013" t="s">
        <v>2195</v>
      </c>
      <c r="U82" s="1013"/>
      <c r="V82" s="1013"/>
      <c r="W82" s="1013"/>
      <c r="X82" s="1013"/>
      <c r="Y82" s="1170"/>
      <c r="Z82" s="1016" t="s">
        <v>2196</v>
      </c>
      <c r="AA82" s="1019"/>
      <c r="AB82" s="1016"/>
      <c r="AC82" s="1016"/>
      <c r="AD82" s="1016"/>
    </row>
    <row r="83" ht="9" customHeight="1">
      <c r="A83" s="1015"/>
      <c r="B83" s="1069">
        <v>66</v>
      </c>
      <c r="C83" s="1013"/>
      <c r="D83" s="1137"/>
      <c r="E83" s="1013"/>
      <c r="F83" s="1013"/>
      <c r="G83" s="1013"/>
      <c r="H83" s="1061"/>
      <c r="I83" s="1175" t="str">
        <f>INDEX(TEMPLATE_NUMBER_POINT_FHD,B83,MATCH(TEMPLATE_SPHERE,TEMPLATE_SPHERE_LIST_FOR_NOTE,0))</f>
        <v>10.1</v>
      </c>
      <c r="J83" s="1175" t="str">
        <f>INDEX(TEMPLATE_DATA_POINT_FHD,B83,MATCH(TEMPLATE_SPHERE,TEMPLATE_SPHERE_LIST_FOR_NOTE,0))</f>
        <v xml:space="preserve">По приборам учёта</v>
      </c>
      <c r="K83" s="1175">
        <f>INDEX(TEMPLATE_NOTE_POINT_FHD,B83,MATCH(TEMPLATE_SPHERE,TEMPLATE_SPHERE_LIST_FOR_NOTE,0))</f>
        <v>0</v>
      </c>
      <c r="L83" s="1014" t="str">
        <f>IF(I83=0,"",I83)</f>
        <v>10.1</v>
      </c>
      <c r="M83" s="1014" t="str">
        <f>IF(J83=0,"",J83)</f>
        <v xml:space="preserve">По приборам учёта</v>
      </c>
      <c r="N83" s="1014" t="str">
        <f>IF(K83=0,"",K83)</f>
        <v/>
      </c>
      <c r="O83" s="1127" t="s">
        <v>2084</v>
      </c>
      <c r="P83" s="1127"/>
      <c r="Q83" s="1127"/>
      <c r="R83" s="1127"/>
      <c r="S83" s="1127"/>
      <c r="T83" s="1013" t="s">
        <v>2197</v>
      </c>
      <c r="U83" s="1013"/>
      <c r="V83" s="1013"/>
      <c r="W83" s="1013"/>
      <c r="X83" s="1013"/>
      <c r="Y83" s="1170"/>
      <c r="Z83" s="1016"/>
      <c r="AA83" s="1019"/>
      <c r="AB83" s="1016"/>
      <c r="AC83" s="1016"/>
      <c r="AD83" s="1016"/>
    </row>
    <row r="84" ht="54" customHeight="1">
      <c r="A84" s="1015"/>
      <c r="B84" s="1069">
        <v>67</v>
      </c>
      <c r="C84" s="1013"/>
      <c r="D84" s="1137"/>
      <c r="E84" s="1013"/>
      <c r="F84" s="1013"/>
      <c r="G84" s="1013"/>
      <c r="H84" s="1061"/>
      <c r="I84" s="1175" t="str">
        <f>INDEX(TEMPLATE_NUMBER_POINT_FHD,B84,MATCH(TEMPLATE_SPHERE,TEMPLATE_SPHERE_LIST_FOR_NOTE,0))</f>
        <v>10.1.1</v>
      </c>
      <c r="J84" s="1175" t="str">
        <f>INDEX(TEMPLATE_DATA_POINT_FHD,B84,MATCH(TEMPLATE_SPHERE,TEMPLATE_SPHERE_LIST_FOR_NOTE,0))</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75">
        <f>INDEX(TEMPLATE_NOTE_POINT_FHD,B84,MATCH(TEMPLATE_SPHERE,TEMPLATE_SPHERE_LIST_FOR_NOTE,0))</f>
        <v>0</v>
      </c>
      <c r="L84" s="1014" t="str">
        <f>IF(I84=0,"",I84)</f>
        <v>10.1.1</v>
      </c>
      <c r="M84" s="1014" t="str">
        <f>IF(J84=0,"",J84)</f>
        <v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14" t="str">
        <f>IF(K84=0,"",K84)</f>
        <v/>
      </c>
      <c r="O84" s="1127" t="s">
        <v>2198</v>
      </c>
      <c r="P84" s="1127"/>
      <c r="Q84" s="1127"/>
      <c r="R84" s="1127"/>
      <c r="S84" s="1127"/>
      <c r="T84" s="1013" t="s">
        <v>2199</v>
      </c>
      <c r="U84" s="1013"/>
      <c r="V84" s="1013"/>
      <c r="W84" s="1013"/>
      <c r="X84" s="1013"/>
      <c r="Y84" s="1170"/>
      <c r="Z84" s="1016"/>
      <c r="AA84" s="1019"/>
      <c r="AB84" s="1016"/>
      <c r="AC84" s="1016"/>
      <c r="AD84" s="1016"/>
    </row>
    <row r="85" ht="9" customHeight="1">
      <c r="A85" s="1015"/>
      <c r="B85" s="1069">
        <v>68</v>
      </c>
      <c r="C85" s="1013"/>
      <c r="D85" s="1137"/>
      <c r="E85" s="1013"/>
      <c r="F85" s="1013"/>
      <c r="G85" s="1013"/>
      <c r="H85" s="1061"/>
      <c r="I85" s="1175" t="str">
        <f>INDEX(TEMPLATE_NUMBER_POINT_FHD,B85,MATCH(TEMPLATE_SPHERE,TEMPLATE_SPHERE_LIST_FOR_NOTE,0))</f>
        <v>10.2</v>
      </c>
      <c r="J85" s="1175" t="str">
        <f>INDEX(TEMPLATE_DATA_POINT_FHD,B85,MATCH(TEMPLATE_SPHERE,TEMPLATE_SPHERE_LIST_FOR_NOTE,0))</f>
        <v xml:space="preserve">Расчётным путём</v>
      </c>
      <c r="K85" s="1175">
        <f>INDEX(TEMPLATE_NOTE_POINT_FHD,B85,MATCH(TEMPLATE_SPHERE,TEMPLATE_SPHERE_LIST_FOR_NOTE,0))</f>
        <v>0</v>
      </c>
      <c r="L85" s="1014" t="str">
        <f>IF(I85=0,"",I85)</f>
        <v>10.2</v>
      </c>
      <c r="M85" s="1014" t="str">
        <f>IF(J85=0,"",J85)</f>
        <v xml:space="preserve">Расчётным путём</v>
      </c>
      <c r="N85" s="1014" t="str">
        <f>IF(K85=0,"",K85)</f>
        <v/>
      </c>
      <c r="O85" s="1127" t="s">
        <v>2088</v>
      </c>
      <c r="P85" s="1127"/>
      <c r="Q85" s="1127"/>
      <c r="R85" s="1127"/>
      <c r="S85" s="1127"/>
      <c r="T85" s="1013" t="s">
        <v>2200</v>
      </c>
      <c r="U85" s="1013"/>
      <c r="V85" s="1013"/>
      <c r="W85" s="1013"/>
      <c r="X85" s="1013"/>
      <c r="Y85" s="1170"/>
      <c r="Z85" s="1016"/>
      <c r="AA85" s="1019"/>
      <c r="AB85" s="1016"/>
      <c r="AC85" s="1016"/>
      <c r="AD85" s="1016"/>
    </row>
    <row r="86" ht="27" customHeight="1">
      <c r="A86" s="1015"/>
      <c r="B86" s="1069">
        <v>69</v>
      </c>
      <c r="C86" s="1013"/>
      <c r="D86" s="1137"/>
      <c r="E86" s="1013"/>
      <c r="F86" s="1013"/>
      <c r="G86" s="1013"/>
      <c r="H86" s="1061"/>
      <c r="I86" s="1175" t="str">
        <f>INDEX(TEMPLATE_NUMBER_POINT_FHD,B86,MATCH(TEMPLATE_SPHERE,TEMPLATE_SPHERE_LIST_FOR_NOTE,0))</f>
        <v>10.3</v>
      </c>
      <c r="J86" s="1175" t="str">
        <f>INDEX(TEMPLATE_DATA_POINT_FHD,B86,MATCH(TEMPLATE_SPHERE,TEMPLATE_SPHERE_LIST_FOR_NOTE,0))</f>
        <v xml:space="preserve">По нормативам потребления коммунальных услуг и нормативам потребления коммунальных ресурсов</v>
      </c>
      <c r="K86" s="1175">
        <f>INDEX(TEMPLATE_NOTE_POINT_FHD,B86,MATCH(TEMPLATE_SPHERE,TEMPLATE_SPHERE_LIST_FOR_NOTE,0))</f>
        <v>0</v>
      </c>
      <c r="L86" s="1014" t="str">
        <f>IF(I86=0,"",I86)</f>
        <v>10.3</v>
      </c>
      <c r="M86" s="1014" t="str">
        <f>IF(J86=0,"",J86)</f>
        <v xml:space="preserve">По нормативам потребления коммунальных услуг и нормативам потребления коммунальных ресурсов</v>
      </c>
      <c r="N86" s="1014" t="str">
        <f>IF(K86=0,"",K86)</f>
        <v/>
      </c>
      <c r="O86" s="1127" t="s">
        <v>2201</v>
      </c>
      <c r="P86" s="1127"/>
      <c r="Q86" s="1127"/>
      <c r="R86" s="1127"/>
      <c r="S86" s="1127"/>
      <c r="T86" s="1013" t="s">
        <v>2202</v>
      </c>
      <c r="U86" s="1013"/>
      <c r="V86" s="1013"/>
      <c r="W86" s="1013"/>
      <c r="X86" s="1013"/>
      <c r="Y86" s="1170"/>
      <c r="Z86" s="1016"/>
      <c r="AA86" s="1019"/>
      <c r="AB86" s="1016"/>
      <c r="AC86" s="1016"/>
      <c r="AD86" s="1016"/>
    </row>
    <row r="87" ht="36" customHeight="1">
      <c r="A87" s="1015"/>
      <c r="B87" s="1069">
        <v>70</v>
      </c>
      <c r="C87" s="1013" t="s">
        <v>2203</v>
      </c>
      <c r="D87" s="1137"/>
      <c r="E87" s="1013"/>
      <c r="F87" s="1013"/>
      <c r="G87" s="1013"/>
      <c r="H87" s="1061"/>
      <c r="I87" s="1175" t="str">
        <f>INDEX(TEMPLATE_NUMBER_POINT_FHD,B87,MATCH(TEMPLATE_SPHERE,TEMPLATE_SPHERE_LIST_FOR_NOTE,0))</f>
        <v>11</v>
      </c>
      <c r="J87" s="1175" t="str">
        <f>INDEX(TEMPLATE_DATA_POINT_FHD,B87,MATCH(TEMPLATE_SPHERE,TEMPLATE_SPHERE_LIST_FOR_NOTE,0))</f>
        <v xml:space="preserve">Нормативы технологических потерь при передаче тепловой энергии, теплоносителя по тепловым сетям, утвержденные уполномоченным органом</v>
      </c>
      <c r="K87" s="1175">
        <f>INDEX(TEMPLATE_NOTE_POINT_FHD,B87,MATCH(TEMPLATE_SPHERE,TEMPLATE_SPHERE_LIST_FOR_NOTE,0))</f>
        <v>0</v>
      </c>
      <c r="L87" s="1014" t="str">
        <f>IF(I87=0,"",I87)</f>
        <v>11</v>
      </c>
      <c r="M87" s="1014" t="str">
        <f>IF(J87=0,"",J87)</f>
        <v xml:space="preserve">Нормативы технологических потерь при передаче тепловой энергии, теплоносителя по тепловым сетям, утвержденные уполномоченным органом</v>
      </c>
      <c r="N87" s="1014" t="str">
        <f>IF(K87=0,"",K87)</f>
        <v/>
      </c>
      <c r="O87" s="1127" t="s">
        <v>150</v>
      </c>
      <c r="P87" s="1127"/>
      <c r="Q87" s="1127"/>
      <c r="R87" s="1127"/>
      <c r="S87" s="1127"/>
      <c r="T87" s="1013" t="s">
        <v>2204</v>
      </c>
      <c r="U87" s="1013"/>
      <c r="V87" s="1013"/>
      <c r="W87" s="1013"/>
      <c r="X87" s="1013"/>
      <c r="Y87" s="1170"/>
      <c r="Z87" s="1016"/>
      <c r="AA87" s="1019"/>
      <c r="AB87" s="1016"/>
      <c r="AC87" s="1016"/>
      <c r="AD87" s="1016"/>
    </row>
    <row r="88" ht="18" customHeight="1">
      <c r="A88" s="1015"/>
      <c r="B88" s="1069">
        <v>71</v>
      </c>
      <c r="C88" s="1013" t="s">
        <v>2205</v>
      </c>
      <c r="D88" s="1137"/>
      <c r="E88" s="1013"/>
      <c r="F88" s="1013"/>
      <c r="G88" s="1013"/>
      <c r="H88" s="1061"/>
      <c r="I88" s="1175" t="str">
        <f>INDEX(TEMPLATE_NUMBER_POINT_FHD,B88,MATCH(TEMPLATE_SPHERE,TEMPLATE_SPHERE_LIST_FOR_NOTE,0))</f>
        <v>12</v>
      </c>
      <c r="J88" s="1175" t="str">
        <f>INDEX(TEMPLATE_DATA_POINT_FHD,B88,MATCH(TEMPLATE_SPHERE,TEMPLATE_SPHERE_LIST_FOR_NOTE,0))</f>
        <v xml:space="preserve">Фактический объем потерь при передаче тепловой энергии</v>
      </c>
      <c r="K88" s="1175">
        <f>INDEX(TEMPLATE_NOTE_POINT_FHD,B88,MATCH(TEMPLATE_SPHERE,TEMPLATE_SPHERE_LIST_FOR_NOTE,0))</f>
        <v>0</v>
      </c>
      <c r="L88" s="1014" t="str">
        <f>IF(I88=0,"",I88)</f>
        <v>12</v>
      </c>
      <c r="M88" s="1014" t="str">
        <f>IF(J88=0,"",J88)</f>
        <v xml:space="preserve">Фактический объем потерь при передаче тепловой энергии</v>
      </c>
      <c r="N88" s="1014" t="str">
        <f>IF(K88=0,"",K88)</f>
        <v/>
      </c>
      <c r="O88" s="1127" t="s">
        <v>151</v>
      </c>
      <c r="P88" s="1127"/>
      <c r="Q88" s="1127"/>
      <c r="R88" s="1127"/>
      <c r="S88" s="1127"/>
      <c r="T88" s="1013" t="s">
        <v>672</v>
      </c>
      <c r="U88" s="1013"/>
      <c r="V88" s="1013"/>
      <c r="W88" s="1013"/>
      <c r="X88" s="1013"/>
      <c r="Y88" s="1170"/>
      <c r="Z88" s="1016"/>
      <c r="AA88" s="1019"/>
      <c r="AB88" s="1016"/>
      <c r="AC88" s="1016"/>
      <c r="AD88" s="1016"/>
    </row>
    <row r="89" ht="18" customHeight="1">
      <c r="A89" s="1015"/>
      <c r="B89" s="1069">
        <v>72</v>
      </c>
      <c r="C89" s="1013" t="s">
        <v>2206</v>
      </c>
      <c r="D89" s="1137" t="s">
        <v>2203</v>
      </c>
      <c r="E89" s="1013" t="s">
        <v>2203</v>
      </c>
      <c r="F89" s="1013" t="s">
        <v>2169</v>
      </c>
      <c r="G89" s="1013"/>
      <c r="H89" s="1061"/>
      <c r="I89" s="1175" t="str">
        <f>INDEX(TEMPLATE_NUMBER_POINT_FHD,B89,MATCH(TEMPLATE_SPHERE,TEMPLATE_SPHERE_LIST_FOR_NOTE,0))</f>
        <v>13</v>
      </c>
      <c r="J89" s="1175" t="str">
        <f>INDEX(TEMPLATE_DATA_POINT_FHD,B89,MATCH(TEMPLATE_SPHERE,TEMPLATE_SPHERE_LIST_FOR_NOTE,0))</f>
        <v xml:space="preserve">Среднесписочная численность основного производственного персонала</v>
      </c>
      <c r="K89" s="1175">
        <f>INDEX(TEMPLATE_NOTE_POINT_FHD,B89,MATCH(TEMPLATE_SPHERE,TEMPLATE_SPHERE_LIST_FOR_NOTE,0))</f>
        <v>0</v>
      </c>
      <c r="L89" s="1014" t="str">
        <f>IF(I89=0,"",I89)</f>
        <v>13</v>
      </c>
      <c r="M89" s="1014" t="str">
        <f>IF(J89=0,"",J89)</f>
        <v xml:space="preserve">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680</v>
      </c>
      <c r="U89" s="1013" t="s">
        <v>680</v>
      </c>
      <c r="V89" s="1013" t="s">
        <v>680</v>
      </c>
      <c r="W89" s="1013" t="s">
        <v>680</v>
      </c>
      <c r="X89" s="1013"/>
      <c r="Y89" s="1170"/>
      <c r="Z89" s="1016"/>
      <c r="AA89" s="1019"/>
      <c r="AB89" s="1016"/>
      <c r="AC89" s="1016"/>
      <c r="AD89" s="1016"/>
    </row>
    <row r="90" ht="27" customHeight="1">
      <c r="A90" s="1015"/>
      <c r="B90" s="1069">
        <v>73</v>
      </c>
      <c r="C90" s="1013" t="s">
        <v>2207</v>
      </c>
      <c r="D90" s="1137"/>
      <c r="E90" s="1013"/>
      <c r="F90" s="1013"/>
      <c r="G90" s="1013"/>
      <c r="H90" s="1061"/>
      <c r="I90" s="1175" t="str">
        <f>INDEX(TEMPLATE_NUMBER_POINT_FHD,B90,MATCH(TEMPLATE_SPHERE,TEMPLATE_SPHERE_LIST_FOR_NOTE,0))</f>
        <v>14</v>
      </c>
      <c r="J90" s="1175" t="str">
        <f>INDEX(TEMPLATE_DATA_POINT_FHD,B90,MATCH(TEMPLATE_SPHERE,TEMPLATE_SPHERE_LIST_FOR_NOTE,0))</f>
        <v xml:space="preserve">Среднесписочная численность административно-управленческого персонала</v>
      </c>
      <c r="K90" s="1175">
        <f>INDEX(TEMPLATE_NOTE_POINT_FHD,B90,MATCH(TEMPLATE_SPHERE,TEMPLATE_SPHERE_LIST_FOR_NOTE,0))</f>
        <v>0</v>
      </c>
      <c r="L90" s="1014" t="str">
        <f>IF(I90=0,"",I90)</f>
        <v>14</v>
      </c>
      <c r="M90" s="1014" t="str">
        <f>IF(J90=0,"",J90)</f>
        <v xml:space="preserve">Среднесписочная численность административно-управленческого персонала</v>
      </c>
      <c r="N90" s="1014" t="str">
        <f>IF(K90=0,"",K90)</f>
        <v/>
      </c>
      <c r="O90" s="1127" t="s">
        <v>153</v>
      </c>
      <c r="P90" s="1127"/>
      <c r="Q90" s="1127"/>
      <c r="R90" s="1127"/>
      <c r="S90" s="1127"/>
      <c r="T90" s="1013" t="s">
        <v>682</v>
      </c>
      <c r="U90" s="1013"/>
      <c r="V90" s="1013"/>
      <c r="W90" s="1013"/>
      <c r="X90" s="1013"/>
      <c r="Y90" s="1170"/>
      <c r="Z90" s="1016"/>
      <c r="AA90" s="1019"/>
      <c r="AB90" s="1016"/>
      <c r="AC90" s="1016"/>
      <c r="AD90" s="1016"/>
    </row>
    <row r="91" ht="18" customHeight="1">
      <c r="A91" s="1015"/>
      <c r="B91" s="1069">
        <v>74</v>
      </c>
      <c r="C91" s="1013"/>
      <c r="D91" s="1137" t="s">
        <v>2205</v>
      </c>
      <c r="E91" s="1013" t="s">
        <v>2205</v>
      </c>
      <c r="F91" s="1013"/>
      <c r="G91" s="1013"/>
      <c r="H91" s="1061"/>
      <c r="I91" s="1175">
        <f>INDEX(TEMPLATE_NUMBER_POINT_FHD,B91,MATCH(TEMPLATE_SPHERE,TEMPLATE_SPHERE_LIST_FOR_NOTE,0))</f>
        <v>0</v>
      </c>
      <c r="J91" s="1175">
        <f>INDEX(TEMPLATE_DATA_POINT_FHD,B91,MATCH(TEMPLATE_SPHERE,TEMPLATE_SPHERE_LIST_FOR_NOTE,0))</f>
        <v>0</v>
      </c>
      <c r="K91" s="1175">
        <f>INDEX(TEMPLATE_NOTE_POINT_FHD,B91,MATCH(TEMPLATE_SPHERE,TEMPLATE_SPHERE_LIST_FOR_NOTE,0))</f>
        <v>0</v>
      </c>
      <c r="L91" s="1014" t="str">
        <f>IF(I91=0,"",I91)</f>
        <v/>
      </c>
      <c r="M91" s="1014" t="str">
        <f>IF(J91=0,"",J91)</f>
        <v/>
      </c>
      <c r="N91" s="1014" t="str">
        <f>IF(K91=0,"",K91)</f>
        <v/>
      </c>
      <c r="O91" s="1127"/>
      <c r="P91" s="1127" t="s">
        <v>152</v>
      </c>
      <c r="Q91" s="1127" t="s">
        <v>152</v>
      </c>
      <c r="R91" s="1127"/>
      <c r="S91" s="1127"/>
      <c r="T91" s="1013"/>
      <c r="U91" s="1013" t="s">
        <v>2208</v>
      </c>
      <c r="V91" s="1013" t="s">
        <v>2208</v>
      </c>
      <c r="W91" s="1013"/>
      <c r="X91" s="1013"/>
      <c r="Y91" s="1170"/>
      <c r="Z91" s="1016"/>
      <c r="AA91" s="1019"/>
      <c r="AB91" s="1016"/>
      <c r="AC91" s="1016"/>
      <c r="AD91" s="1016"/>
    </row>
    <row r="92" ht="27" customHeight="1">
      <c r="A92" s="1015"/>
      <c r="B92" s="1069">
        <v>75</v>
      </c>
      <c r="C92" s="1013"/>
      <c r="D92" s="1137" t="s">
        <v>2206</v>
      </c>
      <c r="E92" s="1013"/>
      <c r="F92" s="1013"/>
      <c r="G92" s="1013"/>
      <c r="H92" s="1061"/>
      <c r="I92" s="1175">
        <f>INDEX(TEMPLATE_NUMBER_POINT_FHD,B92,MATCH(TEMPLATE_SPHERE,TEMPLATE_SPHERE_LIST_FOR_NOTE,0))</f>
        <v>0</v>
      </c>
      <c r="J92" s="1175">
        <f>INDEX(TEMPLATE_DATA_POINT_FHD,B92,MATCH(TEMPLATE_SPHERE,TEMPLATE_SPHERE_LIST_FOR_NOTE,0))</f>
        <v>0</v>
      </c>
      <c r="K92" s="1175">
        <f>INDEX(TEMPLATE_NOTE_POINT_FHD,B92,MATCH(TEMPLATE_SPHERE,TEMPLATE_SPHERE_LIST_FOR_NOTE,0))</f>
        <v>0</v>
      </c>
      <c r="L92" s="1014" t="str">
        <f>IF(I92=0,"",I92)</f>
        <v/>
      </c>
      <c r="M92" s="1014" t="str">
        <f>IF(J92=0,"",J92)</f>
        <v/>
      </c>
      <c r="N92" s="1014" t="str">
        <f>IF(K92=0,"",K92)</f>
        <v/>
      </c>
      <c r="O92" s="1127"/>
      <c r="P92" s="1127" t="s">
        <v>153</v>
      </c>
      <c r="Q92" s="1127"/>
      <c r="R92" s="1127"/>
      <c r="S92" s="1127"/>
      <c r="T92" s="1013"/>
      <c r="U92" s="1013" t="s">
        <v>2209</v>
      </c>
      <c r="V92" s="1013"/>
      <c r="W92" s="1013"/>
      <c r="X92" s="1013"/>
      <c r="Y92" s="1170"/>
      <c r="Z92" s="1016"/>
      <c r="AA92" s="1019" t="s">
        <v>2210</v>
      </c>
      <c r="AB92" s="1016"/>
      <c r="AC92" s="1016"/>
      <c r="AD92" s="1016"/>
    </row>
    <row r="93" ht="27" customHeight="1">
      <c r="A93" s="1015"/>
      <c r="B93" s="1069">
        <v>76</v>
      </c>
      <c r="C93" s="1013"/>
      <c r="D93" s="1137"/>
      <c r="E93" s="1013"/>
      <c r="F93" s="1013"/>
      <c r="G93" s="1013"/>
      <c r="H93" s="1061"/>
      <c r="I93" s="1175">
        <f>INDEX(TEMPLATE_NUMBER_POINT_FHD,B93,MATCH(TEMPLATE_SPHERE,TEMPLATE_SPHERE_LIST_FOR_NOTE,0))</f>
        <v>0</v>
      </c>
      <c r="J93" s="1175">
        <f>INDEX(TEMPLATE_DATA_POINT_FHD,B93,MATCH(TEMPLATE_SPHERE,TEMPLATE_SPHERE_LIST_FOR_NOTE,0))</f>
        <v>0</v>
      </c>
      <c r="K93" s="1175">
        <f>INDEX(TEMPLATE_NOTE_POINT_FHD,B93,MATCH(TEMPLATE_SPHERE,TEMPLATE_SPHERE_LIST_FOR_NOTE,0))</f>
        <v>0</v>
      </c>
      <c r="L93" s="1014" t="str">
        <f>IF(I93=0,"",I93)</f>
        <v/>
      </c>
      <c r="M93" s="1014" t="str">
        <f>IF(J93=0,"",J93)</f>
        <v/>
      </c>
      <c r="N93" s="1014" t="str">
        <f>IF(K93=0,"",K93)</f>
        <v/>
      </c>
      <c r="O93" s="1127"/>
      <c r="P93" s="1127" t="s">
        <v>2116</v>
      </c>
      <c r="Q93" s="1127"/>
      <c r="R93" s="1127"/>
      <c r="S93" s="1127"/>
      <c r="T93" s="1013"/>
      <c r="U93" s="1013" t="s">
        <v>2211</v>
      </c>
      <c r="V93" s="1013"/>
      <c r="W93" s="1013"/>
      <c r="X93" s="1013"/>
      <c r="Y93" s="1170"/>
      <c r="Z93" s="1016"/>
      <c r="AA93" s="1019" t="s">
        <v>2212</v>
      </c>
      <c r="AB93" s="1016"/>
      <c r="AC93" s="1016"/>
      <c r="AD93" s="1016"/>
    </row>
    <row r="94" ht="45" customHeight="1">
      <c r="A94" s="1015"/>
      <c r="B94" s="1069">
        <v>77</v>
      </c>
      <c r="C94" s="1013"/>
      <c r="D94" s="1137" t="s">
        <v>2207</v>
      </c>
      <c r="E94" s="1013"/>
      <c r="F94" s="1013"/>
      <c r="G94" s="1013"/>
      <c r="H94" s="1061"/>
      <c r="I94" s="1175">
        <f>INDEX(TEMPLATE_NUMBER_POINT_FHD,B94,MATCH(TEMPLATE_SPHERE,TEMPLATE_SPHERE_LIST_FOR_NOTE,0))</f>
        <v>0</v>
      </c>
      <c r="J94" s="1175">
        <f>INDEX(TEMPLATE_DATA_POINT_FHD,B94,MATCH(TEMPLATE_SPHERE,TEMPLATE_SPHERE_LIST_FOR_NOTE,0))</f>
        <v>0</v>
      </c>
      <c r="K94" s="1175">
        <f>INDEX(TEMPLATE_NOTE_POINT_FHD,B94,MATCH(TEMPLATE_SPHERE,TEMPLATE_SPHERE_LIST_FOR_NOTE,0))</f>
        <v>0</v>
      </c>
      <c r="L94" s="1014" t="str">
        <f>IF(I94=0,"",I94)</f>
        <v/>
      </c>
      <c r="M94" s="1014" t="str">
        <f>IF(J94=0,"",J94)</f>
        <v/>
      </c>
      <c r="N94" s="1014" t="str">
        <f>IF(K94=0,"",K94)</f>
        <v/>
      </c>
      <c r="O94" s="1127"/>
      <c r="P94" s="1127" t="s">
        <v>1469</v>
      </c>
      <c r="Q94" s="1127"/>
      <c r="R94" s="1127"/>
      <c r="S94" s="1127"/>
      <c r="T94" s="1013"/>
      <c r="U94" s="1013" t="s">
        <v>2213</v>
      </c>
      <c r="V94" s="1013"/>
      <c r="W94" s="1013"/>
      <c r="X94" s="1013"/>
      <c r="Y94" s="1170"/>
      <c r="Z94" s="1016"/>
      <c r="AA94" s="1019" t="s">
        <v>2214</v>
      </c>
      <c r="AB94" s="1016"/>
      <c r="AC94" s="1016"/>
      <c r="AD94" s="1016"/>
    </row>
    <row r="95" ht="99" customHeight="1">
      <c r="A95" s="1015"/>
      <c r="B95" s="1069">
        <v>78</v>
      </c>
      <c r="C95" s="1013" t="s">
        <v>2215</v>
      </c>
      <c r="D95" s="1137"/>
      <c r="E95" s="1013"/>
      <c r="F95" s="1013"/>
      <c r="G95" s="1013"/>
      <c r="H95" s="1061"/>
      <c r="I95" s="1175" t="str">
        <f>INDEX(TEMPLATE_NUMBER_POINT_FHD,B95,MATCH(TEMPLATE_SPHERE,TEMPLATE_SPHERE_LIST_FOR_NOTE,0))</f>
        <v>15</v>
      </c>
      <c r="J95" s="1175" t="str">
        <f>INDEX(TEMPLATE_DATA_POINT_FHD,B95,MATCH(TEMPLATE_SPHERE,TEMPLATE_SPHERE_LIST_FOR_NOTE,0))</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75">
        <f>INDEX(TEMPLATE_NOTE_POINT_FHD,B95,MATCH(TEMPLATE_SPHERE,TEMPLATE_SPHERE_LIST_FOR_NOTE,0))</f>
        <v>0</v>
      </c>
      <c r="L95" s="1014" t="str">
        <f>IF(I95=0,"",I95)</f>
        <v>15</v>
      </c>
      <c r="M95" s="1014" t="str">
        <f>IF(J95=0,"",J95)</f>
        <v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14" t="str">
        <f>IF(K95=0,"",K95)</f>
        <v/>
      </c>
      <c r="O95" s="1127" t="s">
        <v>1469</v>
      </c>
      <c r="P95" s="1127"/>
      <c r="Q95" s="1127"/>
      <c r="R95" s="1127"/>
      <c r="S95" s="1127"/>
      <c r="T95" s="1013" t="s">
        <v>2216</v>
      </c>
      <c r="U95" s="1013"/>
      <c r="V95" s="1013"/>
      <c r="W95" s="1013"/>
      <c r="X95" s="1013"/>
      <c r="Y95" s="1170"/>
      <c r="Z95" s="1016"/>
      <c r="AA95" s="1019"/>
      <c r="AB95" s="1016"/>
      <c r="AC95" s="1016"/>
      <c r="AD95" s="1016"/>
    </row>
    <row r="96" ht="99" customHeight="1">
      <c r="A96" s="1015"/>
      <c r="B96" s="1069">
        <v>79</v>
      </c>
      <c r="C96" s="1013" t="s">
        <v>1153</v>
      </c>
      <c r="D96" s="1137"/>
      <c r="E96" s="1013"/>
      <c r="F96" s="1013"/>
      <c r="G96" s="1013"/>
      <c r="H96" s="1061"/>
      <c r="I96" s="1175" t="str">
        <f>INDEX(TEMPLATE_NUMBER_POINT_FHD,B96,MATCH(TEMPLATE_SPHERE,TEMPLATE_SPHERE_LIST_FOR_NOTE,0))</f>
        <v>16</v>
      </c>
      <c r="J96" s="1175" t="str">
        <f>INDEX(TEMPLATE_DATA_POINT_FHD,B96,MATCH(TEMPLATE_SPHERE,TEMPLATE_SPHERE_LIST_FOR_NOTE,0))</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75" t="str">
        <f>INDEX(TEMPLATE_NOTE_POINT_FHD,B96,MATCH(TEMPLATE_SPHERE,TEMPLATE_SPHERE_LIST_FOR_NOTE,0))</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14" t="str">
        <f>IF(I96=0,"",I96)</f>
        <v>16</v>
      </c>
      <c r="M96" s="1014" t="str">
        <f>IF(J96=0,"",J96)</f>
        <v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14" t="str">
        <f>IF(K96=0,"",K96)</f>
        <v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27" t="s">
        <v>1474</v>
      </c>
      <c r="P96" s="1127"/>
      <c r="Q96" s="1127"/>
      <c r="R96" s="1127"/>
      <c r="S96" s="1127"/>
      <c r="T96" s="1013" t="s">
        <v>2217</v>
      </c>
      <c r="U96" s="1013"/>
      <c r="V96" s="1013"/>
      <c r="W96" s="1013"/>
      <c r="X96" s="1013"/>
      <c r="Y96" s="1170"/>
      <c r="Z96" s="1016" t="s">
        <v>2218</v>
      </c>
      <c r="AA96" s="1019"/>
      <c r="AB96" s="1016"/>
      <c r="AC96" s="1016"/>
      <c r="AD96" s="1016"/>
    </row>
    <row r="97" ht="63" customHeight="1">
      <c r="A97" s="1015"/>
      <c r="B97" s="1069">
        <v>80</v>
      </c>
      <c r="C97" s="1013" t="s">
        <v>2219</v>
      </c>
      <c r="D97" s="1137"/>
      <c r="E97" s="1013"/>
      <c r="F97" s="1013"/>
      <c r="G97" s="1013"/>
      <c r="H97" s="1061"/>
      <c r="I97" s="1175" t="str">
        <f>INDEX(TEMPLATE_NUMBER_POINT_FHD,B97,MATCH(TEMPLATE_SPHERE,TEMPLATE_SPHERE_LIST_FOR_NOTE,0))</f>
        <v>17</v>
      </c>
      <c r="J97" s="1175" t="str">
        <f>INDEX(TEMPLATE_DATA_POINT_FHD,B97,MATCH(TEMPLATE_SPHERE,TEMPLATE_SPHERE_LIST_FOR_NOTE,0))</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75" t="str">
        <f>INDEX(TEMPLATE_NOTE_POINT_FHD,B97,MATCH(TEMPLATE_SPHERE,TEMPLATE_SPHERE_LIST_FOR_NOTE,0))</f>
        <v xml:space="preserve">Регулируемыми организациями указывается информация с по договорам, заключенным в рамках осуществления регулируемой деятельности.</v>
      </c>
      <c r="L97" s="1014" t="str">
        <f>IF(I97=0,"",I97)</f>
        <v>17</v>
      </c>
      <c r="M97" s="1014" t="str">
        <f>IF(J97=0,"",J97)</f>
        <v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14" t="str">
        <f>IF(K97=0,"",K97)</f>
        <v xml:space="preserve">Регулируемыми организациями указывается информация с по договорам, заключенным в рамках осуществления регулируемой деятельности.</v>
      </c>
      <c r="O97" s="1127" t="s">
        <v>1486</v>
      </c>
      <c r="P97" s="1127"/>
      <c r="Q97" s="1127"/>
      <c r="R97" s="1127"/>
      <c r="S97" s="1127"/>
      <c r="T97" s="1013" t="s">
        <v>2220</v>
      </c>
      <c r="U97" s="1013"/>
      <c r="V97" s="1013"/>
      <c r="W97" s="1013"/>
      <c r="X97" s="1013"/>
      <c r="Y97" s="1170"/>
      <c r="Z97" s="1016" t="s">
        <v>2221</v>
      </c>
      <c r="AA97" s="1019"/>
      <c r="AB97" s="1016"/>
      <c r="AC97" s="1016"/>
      <c r="AD97" s="1016"/>
    </row>
    <row r="98" ht="63" customHeight="1">
      <c r="A98" s="1015"/>
      <c r="B98" s="1069">
        <v>81</v>
      </c>
      <c r="C98" s="1013" t="s">
        <v>2222</v>
      </c>
      <c r="D98" s="1137"/>
      <c r="E98" s="1013"/>
      <c r="F98" s="1013"/>
      <c r="G98" s="1013"/>
      <c r="H98" s="1061"/>
      <c r="I98" s="1175" t="str">
        <f>INDEX(TEMPLATE_NUMBER_POINT_FHD,B98,MATCH(TEMPLATE_SPHERE,TEMPLATE_SPHERE_LIST_FOR_NOTE,0))</f>
        <v>18</v>
      </c>
      <c r="J98" s="1175" t="str">
        <f>INDEX(TEMPLATE_DATA_POINT_FHD,B98,MATCH(TEMPLATE_SPHERE,TEMPLATE_SPHERE_LIST_FOR_NOTE,0))</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75" t="str">
        <f>INDEX(TEMPLATE_NOTE_POINT_FHD,B98,MATCH(TEMPLATE_SPHERE,TEMPLATE_SPHERE_LIST_FOR_NOTE,0))</f>
        <v xml:space="preserve">Регулируемыми организациями указывается информация с по договорам, заключенным в рамках осуществления регулируемой деятельности.</v>
      </c>
      <c r="L98" s="1014" t="str">
        <f>IF(I98=0,"",I98)</f>
        <v>18</v>
      </c>
      <c r="M98" s="1014" t="str">
        <f>IF(J98=0,"",J98)</f>
        <v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14" t="str">
        <f>IF(K98=0,"",K98)</f>
        <v xml:space="preserve">Регулируемыми организациями указывается информация с по договорам, заключенным в рамках осуществления регулируемой деятельности.</v>
      </c>
      <c r="O98" s="1127" t="s">
        <v>1500</v>
      </c>
      <c r="P98" s="1127"/>
      <c r="Q98" s="1127"/>
      <c r="R98" s="1127"/>
      <c r="S98" s="1127"/>
      <c r="T98" s="1013" t="s">
        <v>2223</v>
      </c>
      <c r="U98" s="1013"/>
      <c r="V98" s="1013"/>
      <c r="W98" s="1013"/>
      <c r="X98" s="1013"/>
      <c r="Y98" s="1170"/>
      <c r="Z98" s="1016" t="s">
        <v>2221</v>
      </c>
      <c r="AA98" s="1019"/>
      <c r="AB98" s="1016"/>
      <c r="AC98" s="1016"/>
      <c r="AD98" s="1016"/>
    </row>
    <row r="99" ht="90" customHeight="1">
      <c r="A99" s="1015"/>
      <c r="B99" s="1069">
        <v>82</v>
      </c>
      <c r="C99" s="1013" t="s">
        <v>2224</v>
      </c>
      <c r="D99" s="1137"/>
      <c r="E99" s="1013"/>
      <c r="F99" s="1013"/>
      <c r="G99" s="1013"/>
      <c r="H99" s="1061"/>
      <c r="I99" s="1175" t="str">
        <f>INDEX(TEMPLATE_NUMBER_POINT_FHD,B99,MATCH(TEMPLATE_SPHERE,TEMPLATE_SPHERE_LIST_FOR_NOTE,0))</f>
        <v>19</v>
      </c>
      <c r="J99" s="1175" t="str">
        <f>INDEX(TEMPLATE_DATA_POINT_FHD,B99,MATCH(TEMPLATE_SPHERE,TEMPLATE_SPHERE_LIST_FOR_NOTE,0))</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75" t="str">
        <f>INDEX(TEMPLATE_NOTE_POINT_FHD,B99,MATCH(TEMPLATE_SPHERE,TEMPLATE_SPHERE_LIST_FOR_NOTE,0))</f>
        <v xml:space="preserve">Указывается ссылка на документ, предварительно загруженный в хранилище файлов ФГИС ЕИАС.</v>
      </c>
      <c r="L99" s="1014" t="str">
        <f>IF(I99=0,"",I99)</f>
        <v>19</v>
      </c>
      <c r="M99" s="1014" t="str">
        <f>IF(J99=0,"",J99)</f>
        <v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14" t="str">
        <f>IF(K99=0,"",K99)</f>
        <v xml:space="preserve">Указывается ссылка на документ, предварительно загруженный в хранилище файлов ФГИС ЕИАС.</v>
      </c>
      <c r="O99" s="1127" t="s">
        <v>1512</v>
      </c>
      <c r="P99" s="1127"/>
      <c r="Q99" s="1127"/>
      <c r="R99" s="1127"/>
      <c r="S99" s="1127"/>
      <c r="T99" s="1013" t="s">
        <v>2225</v>
      </c>
      <c r="U99" s="1013"/>
      <c r="V99" s="1013"/>
      <c r="W99" s="1013"/>
      <c r="X99" s="1013"/>
      <c r="Y99" s="1170"/>
      <c r="Z99" s="1016" t="s">
        <v>637</v>
      </c>
      <c r="AA99" s="1019"/>
      <c r="AB99" s="1016"/>
      <c r="AC99" s="1016"/>
      <c r="AD99" s="1016"/>
    </row>
    <row r="100" ht="27" customHeight="1">
      <c r="A100" s="1015"/>
      <c r="B100" s="1069">
        <v>83</v>
      </c>
      <c r="C100" s="1013"/>
      <c r="D100" s="1137"/>
      <c r="E100" s="1013"/>
      <c r="F100" s="1013"/>
      <c r="G100" s="1013"/>
      <c r="H100" s="1061"/>
      <c r="I100" s="1175" t="str">
        <f>INDEX(TEMPLATE_NUMBER_POINT_FHD,B100,MATCH(TEMPLATE_SPHERE,TEMPLATE_SPHERE_LIST_FOR_NOTE,0))</f>
        <v>19.1</v>
      </c>
      <c r="J100" s="1175" t="str">
        <f>INDEX(TEMPLATE_DATA_POINT_FHD,B100,MATCH(TEMPLATE_SPHERE,TEMPLATE_SPHERE_LIST_FOR_NOTE,0))</f>
        <v xml:space="preserve">Информация о показателях физического износа объектов теплоснабжения</v>
      </c>
      <c r="K100" s="1175" t="str">
        <f>INDEX(TEMPLATE_NOTE_POINT_FHD,B100,MATCH(TEMPLATE_SPHERE,TEMPLATE_SPHERE_LIST_FOR_NOTE,0))</f>
        <v xml:space="preserve">Указывается ссылка на документ, предварительно загруженный в хранилище файлов ФГИС ЕИАС.</v>
      </c>
      <c r="L100" s="1014" t="str">
        <f>IF(I100=0,"",I100)</f>
        <v>19.1</v>
      </c>
      <c r="M100" s="1014" t="str">
        <f>IF(J100=0,"",J100)</f>
        <v xml:space="preserve">Информация о показателях физического износа объектов теплоснабжения</v>
      </c>
      <c r="N100" s="1014" t="str">
        <f>IF(K100=0,"",K100)</f>
        <v xml:space="preserve">Указывается ссылка на документ, предварительно загруженный в хранилище файлов ФГИС ЕИАС.</v>
      </c>
      <c r="O100" s="1127" t="s">
        <v>2226</v>
      </c>
      <c r="P100" s="1127"/>
      <c r="Q100" s="1127"/>
      <c r="R100" s="1127"/>
      <c r="S100" s="1127"/>
      <c r="T100" s="1013" t="s">
        <v>2227</v>
      </c>
      <c r="U100" s="1013"/>
      <c r="V100" s="1013"/>
      <c r="W100" s="1013"/>
      <c r="X100" s="1013"/>
      <c r="Y100" s="1170"/>
      <c r="Z100" s="1016" t="s">
        <v>637</v>
      </c>
      <c r="AA100" s="1019"/>
      <c r="AB100" s="1016"/>
      <c r="AC100" s="1016"/>
      <c r="AD100" s="1016"/>
    </row>
    <row r="101" ht="27" customHeight="1">
      <c r="A101" s="1015"/>
      <c r="B101" s="1069">
        <v>84</v>
      </c>
      <c r="C101" s="1013"/>
      <c r="D101" s="1137"/>
      <c r="E101" s="1013"/>
      <c r="F101" s="1013"/>
      <c r="G101" s="1013"/>
      <c r="H101" s="1061"/>
      <c r="I101" s="1175" t="str">
        <f>INDEX(TEMPLATE_NUMBER_POINT_FHD,B101,MATCH(TEMPLATE_SPHERE,TEMPLATE_SPHERE_LIST_FOR_NOTE,0))</f>
        <v>19.2</v>
      </c>
      <c r="J101" s="1175" t="str">
        <f>INDEX(TEMPLATE_DATA_POINT_FHD,B101,MATCH(TEMPLATE_SPHERE,TEMPLATE_SPHERE_LIST_FOR_NOTE,0))</f>
        <v xml:space="preserve">Информация о показателях энергетической эффективности объектов теплоснабжения</v>
      </c>
      <c r="K101" s="1175" t="str">
        <f>INDEX(TEMPLATE_NOTE_POINT_FHD,B101,MATCH(TEMPLATE_SPHERE,TEMPLATE_SPHERE_LIST_FOR_NOTE,0))</f>
        <v xml:space="preserve">Указывается ссылка на документ, предварительно загруженный в хранилище файлов ФГИС ЕИАС.</v>
      </c>
      <c r="L101" s="1014" t="str">
        <f>IF(I101=0,"",I101)</f>
        <v>19.2</v>
      </c>
      <c r="M101" s="1014" t="str">
        <f>IF(J101=0,"",J101)</f>
        <v xml:space="preserve">Информация о показателях энергетической эффективности объектов теплоснабжения</v>
      </c>
      <c r="N101" s="1014" t="str">
        <f>IF(K101=0,"",K101)</f>
        <v xml:space="preserve">Указывается ссылка на документ, предварительно загруженный в хранилище файлов ФГИС ЕИАС.</v>
      </c>
      <c r="O101" s="1127" t="s">
        <v>2228</v>
      </c>
      <c r="P101" s="1127"/>
      <c r="Q101" s="1127"/>
      <c r="R101" s="1127"/>
      <c r="S101" s="1127"/>
      <c r="T101" s="1013" t="s">
        <v>2229</v>
      </c>
      <c r="U101" s="1013"/>
      <c r="V101" s="1013"/>
      <c r="W101" s="1013"/>
      <c r="X101" s="1013"/>
      <c r="Y101" s="1170"/>
      <c r="Z101" s="1016" t="s">
        <v>637</v>
      </c>
      <c r="AA101" s="1019"/>
      <c r="AB101" s="1016"/>
      <c r="AC101" s="1016"/>
      <c r="AD101" s="1016"/>
    </row>
    <row r="102" ht="9" customHeight="1">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r="103" ht="9" customHeight="1">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r="104" ht="9" customHeight="1">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r="105" ht="9" customHeight="1">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r="106" ht="9" customHeight="1">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r="107" ht="9" customHeight="1">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r="108" ht="9" customHeight="1">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r="109" ht="9" customHeight="1">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r="110" ht="9" customHeight="1">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r="111" ht="9" customHeight="1">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r="112" ht="9" customHeight="1">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r="113" ht="9" customHeight="1">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r="114" ht="9" customHeight="1">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r="115" ht="9" customHeight="1">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r="116" ht="9" customHeight="1">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r="117" ht="9" customHeight="1">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r="118" ht="9" customHeight="1">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r="119" ht="9" customHeight="1">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r="120" ht="9" customHeight="1">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r="121" ht="9" customHeight="1">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r="122" ht="9" customHeight="1">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r="123" ht="9" customHeight="1">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r="124" ht="9" customHeight="1">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r="125" ht="9" customHeight="1">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r="126" ht="9" customHeight="1">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r="127" ht="9" customHeight="1">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r="128" ht="9" customHeight="1">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r="129" ht="9" customHeight="1">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r="130" ht="9" customHeight="1">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r="131" ht="9" customHeight="1">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r="132" ht="9" customHeight="1">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r="133" ht="9" customHeight="1">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r="134" ht="9" customHeight="1">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r="135" ht="9" customHeight="1">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r="136" ht="9" customHeight="1">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r="137" ht="9" customHeight="1">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r="138" ht="9" customHeight="1">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r="139" ht="9" customHeight="1">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r="140" ht="9" customHeight="1">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r="141" ht="9" customHeight="1">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r="142" ht="9" customHeight="1">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r="143" ht="9" customHeight="1">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r="144" ht="9" customHeight="1">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r="145" ht="9" customHeight="1">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r="146" ht="9" customHeight="1">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r="147" ht="9" customHeight="1">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r="148" ht="90" customHeight="1">
      <c r="A148" s="1015" t="s">
        <v>1667</v>
      </c>
      <c r="B148" s="1015"/>
      <c r="C148" s="1013" t="s">
        <v>2230</v>
      </c>
      <c r="D148" s="1013" t="s">
        <v>1568</v>
      </c>
      <c r="E148" s="1013" t="s">
        <v>1669</v>
      </c>
      <c r="F148" s="1013" t="s">
        <v>2231</v>
      </c>
      <c r="G148" s="1013"/>
      <c r="H148" s="1013"/>
      <c r="I148" s="1133"/>
      <c r="J148" s="1133"/>
      <c r="K148" s="1133"/>
      <c r="L148" s="1133"/>
      <c r="M148" s="1063" t="str">
        <f>IF(TEMPLATE_SPHERE="HEAT",T148,IF(TEMPLATE_SPHERE="TKO",X148,U148))</f>
        <v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18"/>
      <c r="O148" s="1013"/>
      <c r="P148" s="1014"/>
      <c r="Q148" s="1014"/>
      <c r="R148" s="1014"/>
      <c r="S148" s="1013"/>
      <c r="T148" s="1013" t="s">
        <v>2232</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 xml:space="preserv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14"/>
      <c r="W148" s="1014"/>
      <c r="X148" s="1013" t="s">
        <v>2233</v>
      </c>
      <c r="Y148" s="1170"/>
      <c r="Z148" s="1016"/>
      <c r="AA148" s="1019"/>
      <c r="AB148" s="1016"/>
      <c r="AC148" s="1016"/>
      <c r="AD148" s="1016"/>
    </row>
    <row r="149" ht="9" customHeight="1">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r="150" ht="9" customHeight="1">
      <c r="A150" s="1015" t="s">
        <v>1671</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r="151" ht="9" customHeight="1">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r="152" ht="9" customHeight="1">
      <c r="A152" s="1015" t="s">
        <v>1674</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r="153" ht="9" customHeight="1">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r="154" ht="9" customHeight="1">
      <c r="A154" s="1015" t="s">
        <v>1678</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autoFilter="0" deleteColumns="1" deleteRows="1" insertColumns="1" insertRows="1" sheet="1" sort="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6" tint="0.40000000000000002"/>
  </sheetPr>
  <sheetViews>
    <sheetView showGridLines="0" topLeftCell="I4" workbookViewId="0">
      <selection activeCell="A1" sqref="A1"/>
    </sheetView>
  </sheetViews>
  <sheetFormatPr defaultColWidth="10.57421875" defaultRowHeight="14.25" customHeight="1"/>
  <cols>
    <col hidden="1" min="1" max="1" style="9217" width="10.57421875"/>
    <col customWidth="1" hidden="1" min="2" max="2" style="9217" width="11.00390625"/>
    <col hidden="1" min="3" max="3" style="9217" width="10.57421875"/>
    <col customWidth="1" hidden="1" min="4" max="4" style="9217" width="11.8515625"/>
    <col customWidth="1" hidden="1" min="5" max="5" style="9217" width="12.28125"/>
    <col customWidth="1" hidden="1" min="6" max="8" style="10312" width="12.28125"/>
    <col customWidth="1" min="9" max="9" style="10313" width="3.00390625"/>
    <col customWidth="1" min="10" max="11" style="10314" width="3.00390625"/>
    <col customWidth="1" min="12" max="12" style="10315" width="12.00390625"/>
    <col customWidth="1" min="13" max="13" style="9138" width="31.00390625"/>
    <col customWidth="1" min="14" max="14" style="9138" width="1.00390625"/>
    <col customWidth="1" min="15" max="18" style="9138" width="24.00390625"/>
    <col customWidth="1" min="19" max="19" style="9138" width="11.00390625"/>
    <col customWidth="1" min="20" max="20" style="9138" width="3.7109375"/>
    <col customWidth="1" min="21" max="21" style="9138" width="11.00390625"/>
    <col customWidth="1" min="22" max="22" style="9138" width="8.57421875"/>
    <col customWidth="1" min="23" max="23" style="9138" width="4.00390625"/>
    <col customWidth="1" min="24" max="24" style="9138" width="115.00390625"/>
    <col customWidth="1" min="25" max="29" style="9218" width="10.00390625"/>
    <col hidden="1" min="30" max="30" style="9138" width="10.57421875"/>
  </cols>
  <sheetData>
    <row r="1" ht="22.5" hidden="1" customHeight="1">
      <c r="R1" s="497"/>
      <c r="S1" s="497"/>
      <c r="AD1" s="1325" t="s">
        <v>14</v>
      </c>
    </row>
    <row r="2" ht="14.25" hidden="1" customHeight="1">
      <c r="V2" s="497"/>
      <c r="AD2" s="1325">
        <v>0</v>
      </c>
    </row>
    <row r="3" ht="14.25" hidden="1" customHeight="1">
      <c r="AD3" s="1325">
        <v>0</v>
      </c>
    </row>
    <row r="4" ht="14.65" customHeight="1">
      <c r="J4" s="546"/>
      <c r="K4" s="546"/>
      <c r="L4" s="1445"/>
      <c r="M4" s="533"/>
      <c r="N4" s="533"/>
      <c r="O4" s="679"/>
      <c r="P4" s="679"/>
      <c r="Q4" s="679"/>
      <c r="R4" s="679"/>
      <c r="S4" s="679"/>
      <c r="T4" s="679"/>
      <c r="U4" s="679"/>
      <c r="V4" s="679"/>
      <c r="AD4" s="1325">
        <v>14</v>
      </c>
    </row>
    <row r="5" ht="67.200000000000003" customHeight="1">
      <c r="J5" s="546"/>
      <c r="K5" s="546"/>
      <c r="L5" s="2773" t="s">
        <v>2234</v>
      </c>
      <c r="M5" s="2773"/>
      <c r="N5" s="2773"/>
      <c r="O5" s="2773"/>
      <c r="P5" s="2773"/>
      <c r="Q5" s="2773"/>
      <c r="R5" s="2773"/>
      <c r="S5" s="2773"/>
      <c r="T5" s="2773"/>
      <c r="U5" s="2773"/>
      <c r="V5" s="1413"/>
      <c r="AD5" s="1325">
        <v>64</v>
      </c>
    </row>
    <row r="6" ht="14.65" customHeight="1">
      <c r="J6" s="546"/>
      <c r="K6" s="546"/>
      <c r="L6" s="2774" t="str">
        <f>IF(org=0,"Не определено",org)</f>
        <v xml:space="preserve">АО "ДГК" СП "Биробиджанская ТЭЦ"</v>
      </c>
      <c r="M6" s="2774"/>
      <c r="N6" s="2774"/>
      <c r="O6" s="2774"/>
      <c r="P6" s="2774"/>
      <c r="Q6" s="2774"/>
      <c r="R6" s="2774"/>
      <c r="S6" s="2774"/>
      <c r="T6" s="2774"/>
      <c r="U6" s="2774"/>
      <c r="V6" s="1413"/>
      <c r="AD6" s="1325">
        <v>14</v>
      </c>
    </row>
    <row r="7" ht="14.65" customHeight="1">
      <c r="J7" s="546"/>
      <c r="K7" s="546"/>
      <c r="L7" s="1445"/>
      <c r="M7" s="533"/>
      <c r="N7" s="533"/>
      <c r="O7" s="492"/>
      <c r="P7" s="492"/>
      <c r="Q7" s="492"/>
      <c r="R7" s="492"/>
      <c r="S7" s="492"/>
      <c r="T7" s="492"/>
      <c r="U7" s="492"/>
      <c r="V7" s="492"/>
      <c r="W7" s="679"/>
      <c r="AD7" s="1325">
        <v>14</v>
      </c>
    </row>
    <row r="8" s="9344" customFormat="1" ht="48.25" customHeight="1">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r="9" s="9344" customFormat="1" ht="24" customHeight="1">
      <c r="A9" s="1538"/>
      <c r="B9" s="1538"/>
      <c r="C9" s="1538"/>
      <c r="D9" s="1538"/>
      <c r="E9" s="1538"/>
      <c r="F9" s="1538"/>
      <c r="G9" s="1538"/>
      <c r="H9" s="1538"/>
      <c r="L9" s="1446"/>
      <c r="M9" s="465" t="s">
        <v>427</v>
      </c>
      <c r="N9" s="474"/>
      <c r="O9" s="2421" t="str">
        <f>IF(TITLE_DATE_CHANGE_PERIOD="",IF(TITLE_DATE_PR="","",TITLE_DATE_PR),TITLE_DATE_CHANGE_PERIOD)</f>
        <v>45658</v>
      </c>
      <c r="P9" s="2421"/>
      <c r="Q9" s="2421"/>
      <c r="R9" s="2421"/>
      <c r="S9" s="2421"/>
      <c r="T9" s="2421"/>
      <c r="U9" s="2421"/>
      <c r="V9" s="496"/>
      <c r="W9" s="496"/>
      <c r="X9" s="450"/>
      <c r="Y9" s="538"/>
      <c r="Z9" s="538"/>
      <c r="AA9" s="538"/>
      <c r="AB9" s="538"/>
      <c r="AC9" s="538"/>
      <c r="AD9" s="588">
        <v>23</v>
      </c>
    </row>
    <row r="10" s="9344" customFormat="1" ht="24" customHeight="1">
      <c r="A10" s="1538"/>
      <c r="B10" s="1538"/>
      <c r="C10" s="1538"/>
      <c r="D10" s="1538"/>
      <c r="E10" s="1538"/>
      <c r="F10" s="1538"/>
      <c r="G10" s="1538"/>
      <c r="H10" s="1538"/>
      <c r="L10" s="1420"/>
      <c r="M10" s="465" t="s">
        <v>428</v>
      </c>
      <c r="N10" s="474"/>
      <c r="O10" s="2421" t="str">
        <f>IF(TITLE_NUMBER_PR_CHANGE="",IF(TITLE_NUMBER_PR="","",TITLE_NUMBER_PR),TITLE_NUMBER_PR_CHANGE)</f>
        <v>ДГК-01.1/22560</v>
      </c>
      <c r="P10" s="2421"/>
      <c r="Q10" s="2421"/>
      <c r="R10" s="2421"/>
      <c r="S10" s="2421"/>
      <c r="T10" s="2421"/>
      <c r="U10" s="2421"/>
      <c r="V10" s="496"/>
      <c r="W10" s="496"/>
      <c r="X10" s="450"/>
      <c r="Y10" s="538"/>
      <c r="Z10" s="538"/>
      <c r="AA10" s="538"/>
      <c r="AB10" s="538"/>
      <c r="AC10" s="538"/>
      <c r="AD10" s="588">
        <v>23</v>
      </c>
    </row>
    <row r="11" s="9344" customFormat="1" ht="24" customHeight="1">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r="12" s="9344" customFormat="1" ht="11.25" hidden="1" customHeight="1">
      <c r="A12" s="1538"/>
      <c r="B12" s="1538"/>
      <c r="C12" s="1538"/>
      <c r="D12" s="1538"/>
      <c r="E12" s="1538"/>
      <c r="F12" s="1538"/>
      <c r="G12" s="1538"/>
      <c r="H12" s="1538"/>
      <c r="L12" s="2775"/>
      <c r="M12" s="2775"/>
      <c r="N12" s="1457"/>
      <c r="O12" s="496"/>
      <c r="P12" s="496"/>
      <c r="Q12" s="496"/>
      <c r="R12" s="496"/>
      <c r="S12" s="496"/>
      <c r="T12" s="496"/>
      <c r="U12" s="496"/>
      <c r="V12" s="448" t="s">
        <v>431</v>
      </c>
      <c r="Y12" s="538"/>
      <c r="Z12" s="538"/>
      <c r="AA12" s="538"/>
      <c r="AB12" s="538"/>
      <c r="AC12" s="538"/>
      <c r="AD12" s="588">
        <v>0</v>
      </c>
    </row>
    <row r="13" ht="14.65" customHeight="1">
      <c r="J13" s="546"/>
      <c r="K13" s="546"/>
      <c r="L13" s="1445"/>
      <c r="M13" s="533"/>
      <c r="N13" s="1414"/>
      <c r="O13" s="2422"/>
      <c r="P13" s="2422"/>
      <c r="Q13" s="2422"/>
      <c r="R13" s="2422"/>
      <c r="S13" s="2422"/>
      <c r="T13" s="2422"/>
      <c r="U13" s="2422"/>
      <c r="V13" s="2422"/>
      <c r="AD13" s="1325">
        <v>14</v>
      </c>
    </row>
    <row r="14" ht="14.65" customHeight="1">
      <c r="J14" s="546"/>
      <c r="K14" s="546"/>
      <c r="L14" s="2297" t="s">
        <v>307</v>
      </c>
      <c r="M14" s="2297"/>
      <c r="N14" s="2297"/>
      <c r="O14" s="2297"/>
      <c r="P14" s="2297"/>
      <c r="Q14" s="2297"/>
      <c r="R14" s="2297"/>
      <c r="S14" s="2297"/>
      <c r="T14" s="2297"/>
      <c r="U14" s="2297"/>
      <c r="V14" s="2297"/>
      <c r="W14" s="2297"/>
      <c r="X14" s="2297" t="s">
        <v>308</v>
      </c>
      <c r="AD14" s="1325">
        <v>14</v>
      </c>
    </row>
    <row r="15" ht="14.65" customHeight="1">
      <c r="J15" s="546"/>
      <c r="K15" s="546"/>
      <c r="L15" s="2443" t="s">
        <v>89</v>
      </c>
      <c r="M15" s="2379" t="s">
        <v>433</v>
      </c>
      <c r="N15" s="471"/>
      <c r="O15" s="2444" t="s">
        <v>2235</v>
      </c>
      <c r="P15" s="2445"/>
      <c r="Q15" s="2445"/>
      <c r="R15" s="2445"/>
      <c r="S15" s="2445"/>
      <c r="T15" s="2445"/>
      <c r="U15" s="2446"/>
      <c r="V15" s="2447" t="s">
        <v>435</v>
      </c>
      <c r="W15" s="2450" t="s">
        <v>1150</v>
      </c>
      <c r="X15" s="2297"/>
      <c r="AD15" s="1325">
        <v>14</v>
      </c>
    </row>
    <row r="16" ht="35.649999999999999" customHeight="1">
      <c r="J16" s="546"/>
      <c r="K16" s="546"/>
      <c r="L16" s="2443"/>
      <c r="M16" s="2379"/>
      <c r="N16" s="1201"/>
      <c r="O16" s="2430" t="s">
        <v>438</v>
      </c>
      <c r="P16" s="2430" t="s">
        <v>439</v>
      </c>
      <c r="Q16" s="2432" t="s">
        <v>440</v>
      </c>
      <c r="R16" s="2433"/>
      <c r="S16" s="2432" t="s">
        <v>455</v>
      </c>
      <c r="T16" s="2439"/>
      <c r="U16" s="2433"/>
      <c r="V16" s="2448"/>
      <c r="W16" s="2451"/>
      <c r="X16" s="2297"/>
      <c r="AD16" s="1325">
        <v>34</v>
      </c>
    </row>
    <row r="17" ht="35.649999999999999" customHeight="1">
      <c r="A17" s="1540" t="s">
        <v>134</v>
      </c>
      <c r="B17" s="1540" t="s">
        <v>135</v>
      </c>
      <c r="C17" s="1540" t="s">
        <v>136</v>
      </c>
      <c r="D17" s="1540" t="s">
        <v>137</v>
      </c>
      <c r="E17" s="1540"/>
      <c r="J17" s="546"/>
      <c r="K17" s="546"/>
      <c r="L17" s="2443"/>
      <c r="M17" s="2379"/>
      <c r="N17" s="472"/>
      <c r="O17" s="2431"/>
      <c r="P17" s="2431"/>
      <c r="Q17" s="1392" t="s">
        <v>449</v>
      </c>
      <c r="R17" s="1392" t="s">
        <v>450</v>
      </c>
      <c r="S17" s="1462" t="s">
        <v>451</v>
      </c>
      <c r="T17" s="2440" t="s">
        <v>452</v>
      </c>
      <c r="U17" s="2441"/>
      <c r="V17" s="2449"/>
      <c r="W17" s="2452"/>
      <c r="X17" s="2297"/>
      <c r="AD17" s="1325">
        <v>34</v>
      </c>
    </row>
    <row r="18" s="9831" customFormat="1" ht="11.5" customHeight="1">
      <c r="A18" s="1540"/>
      <c r="B18" s="1540"/>
      <c r="C18" s="1540"/>
      <c r="D18" s="1540"/>
      <c r="E18" s="1540"/>
      <c r="F18" s="1532"/>
      <c r="G18" s="1532"/>
      <c r="H18" s="1532"/>
      <c r="I18" s="1416"/>
      <c r="J18" s="1417"/>
      <c r="K18" s="1424">
        <v>1</v>
      </c>
      <c r="L18" s="1447" t="s">
        <v>110</v>
      </c>
      <c r="M18" s="1425" t="s">
        <v>111</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r="19" ht="21" customHeight="1">
      <c r="A19" s="1533" t="s">
        <v>177</v>
      </c>
      <c r="B19" s="1533" t="s">
        <v>178</v>
      </c>
      <c r="C19" s="1533" t="s">
        <v>179</v>
      </c>
      <c r="D19" s="1533" t="s">
        <v>180</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403</v>
      </c>
      <c r="Z19" s="670"/>
      <c r="AA19" s="670" t="str">
        <f>IF(M19="","",M19)</f>
        <v xml:space="preserve">Наименование тарифа</v>
      </c>
      <c r="AB19" s="670"/>
      <c r="AC19" s="670"/>
      <c r="AD19" s="1325">
        <v>20</v>
      </c>
    </row>
    <row r="20" ht="21" customHeight="1">
      <c r="A20" s="1533" t="s">
        <v>177</v>
      </c>
      <c r="B20" s="1533" t="s">
        <v>178</v>
      </c>
      <c r="C20" s="1533" t="s">
        <v>179</v>
      </c>
      <c r="D20" s="1533" t="s">
        <v>180</v>
      </c>
      <c r="E20" s="1533"/>
      <c r="F20" s="1535"/>
      <c r="G20" s="1535"/>
      <c r="H20" s="1535"/>
      <c r="I20" s="1460"/>
      <c r="J20" s="522"/>
      <c r="K20" s="523"/>
      <c r="L20" s="1463" t="str">
        <f>INDEX(PT_DIFFERENTIATION_NUM_TER,MATCH(B19,PT_DIFFERENTIATION_TER_ID,0))</f>
        <v>.</v>
      </c>
      <c r="M20" s="478" t="s">
        <v>404</v>
      </c>
      <c r="N20" s="470"/>
      <c r="O20" s="2776" t="str">
        <f>INDEX(PT_DIFFERENTIATION_TER,MATCH(B19,PT_DIFFERENTIATION_TER_ID,0))</f>
        <v/>
      </c>
      <c r="P20" s="2776"/>
      <c r="Q20" s="2776"/>
      <c r="R20" s="2776"/>
      <c r="S20" s="2776"/>
      <c r="T20" s="2776"/>
      <c r="U20" s="2776"/>
      <c r="V20" s="2776"/>
      <c r="W20" s="2776"/>
      <c r="X20" s="1428" t="s">
        <v>405</v>
      </c>
      <c r="Z20" s="670"/>
      <c r="AA20" s="670" t="str">
        <f>IF(M20="","",M20)</f>
        <v xml:space="preserve">Территория действия тарифа</v>
      </c>
      <c r="AB20" s="670"/>
      <c r="AC20" s="670"/>
      <c r="AD20" s="1325">
        <v>20</v>
      </c>
    </row>
    <row r="21" ht="24" customHeight="1">
      <c r="A21" s="1533" t="s">
        <v>177</v>
      </c>
      <c r="B21" s="1533" t="s">
        <v>178</v>
      </c>
      <c r="C21" s="1533" t="s">
        <v>179</v>
      </c>
      <c r="D21" s="1533" t="s">
        <v>180</v>
      </c>
      <c r="E21" s="1533"/>
      <c r="F21" s="1535"/>
      <c r="G21" s="1535"/>
      <c r="H21" s="1535"/>
      <c r="I21" s="524"/>
      <c r="J21" s="522"/>
      <c r="K21" s="523"/>
      <c r="L21" s="1463" t="str">
        <f>INDEX(PT_DIFFERENTIATION_NUM_CS,MATCH(C19,PT_DIFFERENTIATION_CS_ID,0))</f>
        <v>..</v>
      </c>
      <c r="M21" s="479" t="s">
        <v>406</v>
      </c>
      <c r="N21" s="470"/>
      <c r="O21" s="2776" t="str">
        <f>INDEX(PT_DIFFERENTIATION_CS,MATCH(C19,PT_DIFFERENTIATION_CS_ID,0))</f>
        <v/>
      </c>
      <c r="P21" s="2776"/>
      <c r="Q21" s="2776"/>
      <c r="R21" s="2776"/>
      <c r="S21" s="2776"/>
      <c r="T21" s="2776"/>
      <c r="U21" s="2776"/>
      <c r="V21" s="2776"/>
      <c r="W21" s="2776"/>
      <c r="X21" s="1428" t="s">
        <v>407</v>
      </c>
      <c r="Z21" s="670"/>
      <c r="AA21" s="670" t="str">
        <f>IF(M21="","",M21)</f>
        <v xml:space="preserve">Наименование системы теплоснабжения</v>
      </c>
      <c r="AB21" s="670"/>
      <c r="AC21" s="670"/>
      <c r="AD21" s="1325">
        <v>23</v>
      </c>
    </row>
    <row r="22" ht="21" customHeight="1">
      <c r="A22" s="1533" t="s">
        <v>177</v>
      </c>
      <c r="B22" s="1533" t="s">
        <v>178</v>
      </c>
      <c r="C22" s="1533" t="s">
        <v>179</v>
      </c>
      <c r="D22" s="1533" t="s">
        <v>180</v>
      </c>
      <c r="E22" s="1533"/>
      <c r="F22" s="1535"/>
      <c r="G22" s="1535"/>
      <c r="H22" s="1535"/>
      <c r="I22" s="524"/>
      <c r="J22" s="522"/>
      <c r="K22" s="523"/>
      <c r="L22" s="1463" t="str">
        <f>INDEX(PT_DIFFERENTIATION_NUM_IST_TE,MATCH(D19,PT_DIFFERENTIATION_IST_TE_ID,0))</f>
        <v>...</v>
      </c>
      <c r="M22" s="480" t="s">
        <v>408</v>
      </c>
      <c r="N22" s="470"/>
      <c r="O22" s="2776" t="str">
        <f>INDEX(PT_DIFFERENTIATION_IST_TE,MATCH(D19,PT_DIFFERENTIATION_IST_TE_ID,0))</f>
        <v/>
      </c>
      <c r="P22" s="2776"/>
      <c r="Q22" s="2776"/>
      <c r="R22" s="2776"/>
      <c r="S22" s="2776"/>
      <c r="T22" s="2776"/>
      <c r="U22" s="2776"/>
      <c r="V22" s="2776"/>
      <c r="W22" s="2776"/>
      <c r="X22" s="1428" t="s">
        <v>409</v>
      </c>
      <c r="Z22" s="670"/>
      <c r="AA22" s="670" t="str">
        <f>IF(M22="","",M22)</f>
        <v xml:space="preserve">Источник тепловой энергии</v>
      </c>
      <c r="AB22" s="670"/>
      <c r="AC22" s="670"/>
      <c r="AD22" s="1325">
        <v>20</v>
      </c>
    </row>
    <row r="23" ht="96.75" customHeight="1">
      <c r="A23" s="1533" t="s">
        <v>177</v>
      </c>
      <c r="B23" s="1533" t="s">
        <v>178</v>
      </c>
      <c r="C23" s="1533" t="s">
        <v>179</v>
      </c>
      <c r="D23" s="1533" t="s">
        <v>180</v>
      </c>
      <c r="E23" s="1533"/>
      <c r="F23" s="2777" t="str">
        <f>L22&amp;".1"</f>
        <v>....1</v>
      </c>
      <c r="I23" s="2427">
        <v>1</v>
      </c>
      <c r="J23" s="1461"/>
      <c r="K23" s="526"/>
      <c r="L23" s="1463" t="str">
        <f>$F$23</f>
        <v>....1</v>
      </c>
      <c r="M23" s="455" t="s">
        <v>411</v>
      </c>
      <c r="N23" s="470"/>
      <c r="O23" s="2475"/>
      <c r="P23" s="2475"/>
      <c r="Q23" s="2475"/>
      <c r="R23" s="2475"/>
      <c r="S23" s="2475"/>
      <c r="T23" s="2475"/>
      <c r="U23" s="2475"/>
      <c r="V23" s="2475"/>
      <c r="W23" s="2475"/>
      <c r="X23" s="1428" t="s">
        <v>412</v>
      </c>
      <c r="Z23" s="670"/>
      <c r="AA23" s="670" t="str">
        <f>IF(M23="","",M23)</f>
        <v xml:space="preserve">Схема подключения теплопотребляющей установки к коллектору источника тепловой энергии</v>
      </c>
      <c r="AB23" s="670"/>
      <c r="AC23" s="670"/>
      <c r="AD23" s="1325">
        <v>92</v>
      </c>
    </row>
    <row r="24" ht="86.25" customHeight="1">
      <c r="A24" s="1533" t="s">
        <v>177</v>
      </c>
      <c r="B24" s="1533" t="s">
        <v>178</v>
      </c>
      <c r="C24" s="1533" t="s">
        <v>179</v>
      </c>
      <c r="D24" s="1533" t="s">
        <v>180</v>
      </c>
      <c r="E24" s="1533"/>
      <c r="F24" s="2777"/>
      <c r="G24" s="2387" t="str">
        <f>F23&amp;".1"</f>
        <v>....1.1</v>
      </c>
      <c r="I24" s="2427"/>
      <c r="J24" s="2427">
        <v>1</v>
      </c>
      <c r="K24" s="527"/>
      <c r="L24" s="1463" t="str">
        <f>$G$24</f>
        <v>....1.1</v>
      </c>
      <c r="M24" s="456" t="s">
        <v>414</v>
      </c>
      <c r="N24" s="470"/>
      <c r="O24" s="2415"/>
      <c r="P24" s="2416"/>
      <c r="Q24" s="2416"/>
      <c r="R24" s="2416"/>
      <c r="S24" s="2416"/>
      <c r="T24" s="2416"/>
      <c r="U24" s="2416"/>
      <c r="V24" s="2416"/>
      <c r="W24" s="2417"/>
      <c r="X24" s="1428" t="s">
        <v>415</v>
      </c>
      <c r="Z24" s="670"/>
      <c r="AA24" s="670" t="str">
        <f>IF(M24="","",M24)</f>
        <v xml:space="preserve">Группа потребителей</v>
      </c>
      <c r="AB24" s="670"/>
      <c r="AC24" s="670"/>
      <c r="AD24" s="1325">
        <v>82</v>
      </c>
    </row>
    <row r="25" ht="11.5" customHeight="1">
      <c r="A25" s="1533" t="s">
        <v>177</v>
      </c>
      <c r="B25" s="1533" t="s">
        <v>178</v>
      </c>
      <c r="C25" s="1533" t="s">
        <v>179</v>
      </c>
      <c r="D25" s="1533" t="s">
        <v>180</v>
      </c>
      <c r="E25" s="1533"/>
      <c r="F25" s="2777"/>
      <c r="G25" s="2387"/>
      <c r="H25" s="2387" t="str">
        <f>G24&amp;".1"</f>
        <v>....1.1.1</v>
      </c>
      <c r="I25" s="2427"/>
      <c r="J25" s="2427"/>
      <c r="K25" s="527">
        <v>1</v>
      </c>
      <c r="L25" s="1463" t="str">
        <f>$H$25</f>
        <v>....1.1.1</v>
      </c>
      <c r="M25" s="1517"/>
      <c r="N25" s="470"/>
      <c r="O25" s="921"/>
      <c r="P25" s="495"/>
      <c r="Q25" s="921"/>
      <c r="R25" s="1427"/>
      <c r="S25" s="2772"/>
      <c r="T25" s="2277" t="s">
        <v>67</v>
      </c>
      <c r="U25" s="2772"/>
      <c r="V25" s="2277" t="s">
        <v>19</v>
      </c>
      <c r="W25" s="495"/>
      <c r="X25" s="2423" t="s">
        <v>417</v>
      </c>
      <c r="Y25" s="681">
        <f>STRCHECKDATE(O26:W26)</f>
      </c>
      <c r="Z25" s="670"/>
      <c r="AA25" s="670" t="str">
        <f>IF(M25="","",M25)</f>
        <v/>
      </c>
      <c r="AB25" s="670"/>
      <c r="AC25" s="670"/>
      <c r="AD25" s="1325">
        <v>11</v>
      </c>
    </row>
    <row r="26" ht="11.5" customHeight="1">
      <c r="A26" s="1533" t="s">
        <v>177</v>
      </c>
      <c r="B26" s="1533" t="s">
        <v>178</v>
      </c>
      <c r="C26" s="1533" t="s">
        <v>179</v>
      </c>
      <c r="D26" s="1533" t="s">
        <v>180</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r="27" ht="15.75" customHeight="1">
      <c r="A27" s="1533" t="s">
        <v>177</v>
      </c>
      <c r="B27" s="1533" t="s">
        <v>178</v>
      </c>
      <c r="C27" s="1533" t="s">
        <v>179</v>
      </c>
      <c r="D27" s="1533" t="s">
        <v>180</v>
      </c>
      <c r="E27" s="1533"/>
      <c r="F27" s="2777"/>
      <c r="G27" s="2387"/>
      <c r="I27" s="2427"/>
      <c r="J27" s="2427"/>
      <c r="K27" s="526"/>
      <c r="L27" s="1448"/>
      <c r="M27" s="458" t="s">
        <v>418</v>
      </c>
      <c r="N27" s="537"/>
      <c r="O27" s="537"/>
      <c r="P27" s="537"/>
      <c r="Q27" s="537"/>
      <c r="R27" s="537"/>
      <c r="S27" s="537"/>
      <c r="T27" s="537"/>
      <c r="U27" s="537"/>
      <c r="V27" s="537"/>
      <c r="W27" s="494"/>
      <c r="X27" s="2425"/>
      <c r="Z27" s="670"/>
      <c r="AA27" s="670" t="str">
        <f>IF(M27="","",M27)</f>
        <v xml:space="preserve">Добавить вид теплоносителя (параметры теплоносителя)</v>
      </c>
      <c r="AB27" s="670"/>
      <c r="AC27" s="670"/>
      <c r="AD27" s="1325">
        <v>15</v>
      </c>
    </row>
    <row r="28" ht="15.75" customHeight="1">
      <c r="A28" s="1533" t="s">
        <v>177</v>
      </c>
      <c r="B28" s="1533" t="s">
        <v>178</v>
      </c>
      <c r="C28" s="1533" t="s">
        <v>179</v>
      </c>
      <c r="D28" s="1533" t="s">
        <v>180</v>
      </c>
      <c r="E28" s="1533"/>
      <c r="F28" s="2777"/>
      <c r="I28" s="2427"/>
      <c r="J28" s="1461"/>
      <c r="K28" s="526"/>
      <c r="L28" s="1448"/>
      <c r="M28" s="457" t="s">
        <v>419</v>
      </c>
      <c r="N28" s="537"/>
      <c r="O28" s="537"/>
      <c r="P28" s="537"/>
      <c r="Q28" s="537"/>
      <c r="R28" s="537"/>
      <c r="S28" s="537"/>
      <c r="T28" s="537"/>
      <c r="U28" s="537"/>
      <c r="V28" s="536"/>
      <c r="W28" s="537"/>
      <c r="X28" s="473"/>
      <c r="Z28" s="670"/>
      <c r="AA28" s="670" t="str">
        <f>IF(M28="","",M28)</f>
        <v xml:space="preserve">Добавить группу потребителей</v>
      </c>
      <c r="AB28" s="670"/>
      <c r="AC28" s="670"/>
      <c r="AD28" s="1325">
        <v>15</v>
      </c>
    </row>
    <row r="29" ht="14.65" customHeight="1">
      <c r="A29" s="1533" t="s">
        <v>177</v>
      </c>
      <c r="B29" s="1533" t="s">
        <v>178</v>
      </c>
      <c r="C29" s="1533" t="s">
        <v>179</v>
      </c>
      <c r="D29" s="1533" t="s">
        <v>180</v>
      </c>
      <c r="E29" s="1533"/>
      <c r="F29" s="1535"/>
      <c r="G29" s="1535"/>
      <c r="H29" s="707"/>
      <c r="I29" s="530"/>
      <c r="J29" s="545"/>
      <c r="K29" s="525"/>
      <c r="L29" s="1448"/>
      <c r="M29" s="535" t="s">
        <v>420</v>
      </c>
      <c r="N29" s="537"/>
      <c r="O29" s="537"/>
      <c r="P29" s="537"/>
      <c r="Q29" s="537"/>
      <c r="R29" s="537"/>
      <c r="S29" s="537"/>
      <c r="T29" s="537"/>
      <c r="U29" s="537"/>
      <c r="V29" s="536"/>
      <c r="W29" s="537"/>
      <c r="X29" s="473"/>
      <c r="Z29" s="670"/>
      <c r="AA29" s="670" t="str">
        <f>IF(M29="","",M29)</f>
        <v xml:space="preserve">Добавить схему подключения</v>
      </c>
      <c r="AB29" s="670"/>
      <c r="AC29" s="670"/>
      <c r="AD29" s="1325">
        <v>14</v>
      </c>
    </row>
    <row r="30" ht="14.65" customHeight="1">
      <c r="A30" s="1533" t="s">
        <v>177</v>
      </c>
      <c r="B30" s="1533" t="s">
        <v>178</v>
      </c>
      <c r="C30" s="1533" t="s">
        <v>179</v>
      </c>
      <c r="D30" s="1533"/>
      <c r="E30" s="1533" t="s">
        <v>592</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r="31" ht="14.65" customHeight="1">
      <c r="A31" s="1533" t="s">
        <v>177</v>
      </c>
      <c r="B31" s="1533" t="s">
        <v>178</v>
      </c>
      <c r="C31" s="1533"/>
      <c r="D31" s="1533"/>
      <c r="E31" s="1533" t="s">
        <v>2236</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r="32" ht="14.65" customHeight="1">
      <c r="A32" s="1533" t="s">
        <v>2237</v>
      </c>
      <c r="B32" s="1533"/>
      <c r="C32" s="1533"/>
      <c r="D32" s="1533"/>
      <c r="E32" s="1533" t="s">
        <v>105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r="33" s="9278" customFormat="1" ht="11.5" customHeight="1">
      <c r="A33" s="1533"/>
      <c r="B33" s="1533"/>
      <c r="C33" s="1533"/>
      <c r="D33" s="1533"/>
      <c r="E33" s="1533" t="s">
        <v>166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r="34" ht="11.5" customHeight="1">
      <c r="F34" s="1330"/>
      <c r="G34" s="1330"/>
      <c r="H34" s="707"/>
      <c r="I34" s="1325"/>
      <c r="J34" s="1325"/>
      <c r="K34" s="1325"/>
      <c r="Y34" s="1325"/>
      <c r="Z34" s="1325"/>
      <c r="AA34" s="1325"/>
      <c r="AB34" s="1325"/>
      <c r="AC34" s="1325"/>
      <c r="AD34" s="1325">
        <v>11</v>
      </c>
    </row>
    <row r="35" ht="28.5" customHeight="1">
      <c r="H35" s="707"/>
      <c r="L35" s="1458" t="s">
        <v>809</v>
      </c>
      <c r="M35" s="2455" t="s">
        <v>2238</v>
      </c>
      <c r="N35" s="2455"/>
      <c r="O35" s="2455"/>
      <c r="P35" s="2455"/>
      <c r="Q35" s="2455"/>
      <c r="R35" s="2455"/>
      <c r="S35" s="2455"/>
      <c r="T35" s="2455"/>
      <c r="U35" s="2455"/>
      <c r="V35" s="2455"/>
      <c r="W35" s="2455"/>
      <c r="X35" s="2455"/>
      <c r="AD35" s="1325">
        <v>27</v>
      </c>
    </row>
    <row r="36" ht="109.2" customHeight="1">
      <c r="H36" s="707"/>
      <c r="I36" s="1473"/>
      <c r="M36" s="2455" t="s">
        <v>2239</v>
      </c>
      <c r="N36" s="2455"/>
      <c r="O36" s="2455"/>
      <c r="P36" s="2455"/>
      <c r="Q36" s="2455"/>
      <c r="R36" s="2455"/>
      <c r="S36" s="2455"/>
      <c r="T36" s="2455"/>
      <c r="U36" s="2455"/>
      <c r="V36" s="2455"/>
      <c r="W36" s="2455"/>
      <c r="X36" s="2455"/>
      <c r="AD36" s="1325">
        <v>104</v>
      </c>
    </row>
    <row r="37" ht="14.65" customHeight="1">
      <c r="H37" s="707"/>
      <c r="AD37" s="1325">
        <v>14</v>
      </c>
    </row>
    <row r="38" ht="14.65" customHeight="1">
      <c r="H38" s="707"/>
      <c r="AD38" s="1325">
        <v>14</v>
      </c>
    </row>
    <row r="39" ht="14.65" customHeight="1">
      <c r="H39" s="707"/>
      <c r="AD39" s="1325">
        <v>14</v>
      </c>
    </row>
    <row r="40" ht="14.65" customHeight="1">
      <c r="H40" s="707"/>
      <c r="AD40" s="1325">
        <v>14</v>
      </c>
    </row>
    <row r="41" ht="22.5" hidden="1" customHeight="1">
      <c r="A41" s="1330" t="s">
        <v>83</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autoFilter="0" deleteColumns="1" deleteRows="1" formatColumns="0" formatRows="0" insertColumns="1" insertRows="1" sheet="1" sort="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4">
    <dataValidation sqref="S65561 S131097 S196633 S262169 S327705 S393241 S458777 S524313 S589849 S655385 S720921 S786457 S851993 S917529 S983065 U65561 U131097 U196633 U262169 U327705 U393241 U458777 U524313 U589849 U655385 U720921 U786457 U851993 U917529 U983065 U25 S25" allowBlank="1" prompt="Выберите дату из календаря (иконка справа от указанной ячейки), либо введите дату непосредственно в ячейку в формате - 'ДД.ММ.ГГГГ'." showErrorMessage="1" showInputMessage="1"/>
    <dataValidation sqref="T65561 T131097 T196633 T262169 T327705 T393241 T458777 T524313 T589849 T655385 T720921 T786457 T851993 T917529 T983065 V589849 V655385 V720921 V786457 V851993 V917529 V983065 V65561 V131097 V458777 V196633 V262169 V327705 V393241 V25 T25 V524313" allowBlank="1" prompt="Для выбора выполните двойной щелчок левой клавиши мыши по соответствующей ячейке." showErrorMessage="1" showInputMessage="1"/>
    <dataValidation sqref="R26 R65562 R131098 R196634 R262170 R327706 R393242 R458778 R524314 R589850 R655386 R720922 R786458 R851994 R917530 R983066" allowBlank="1" promptTitle="checkPeriodRange"/>
    <dataValidation sqref="L131099:X131105 L196635:X196641 L262171:X262177 L327707:X327713 L393243:X393249 L458779:X458785 L524315:X524321 L589851:X589857 L655387:X655393 L720923:X720929 L786459:X786465 L851995:X852001 L917531:X917537 L983067:X983073 L65563:X65569" allowBlank="1"/>
  </dataValidation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extLst>
    <ext xmlns:x14="http://schemas.microsoft.com/office/spreadsheetml/2009/9/main" uri="{CCE6A557-97BC-4b89-ADB6-D9C93CAAB3DF}">
      <x14:dataValidations xmlns:xm="http://schemas.microsoft.com/office/excel/2006/main" count="4">
        <x14:dataValidation xr:uid="{005B0084-002D-4692-B754-0089001000FF}" type="list" allowBlank="1" error="Выберите значение из списка" errorTitle="Ошибка" showErrorMessage="1" showInputMessage="1">
          <x14:formula1>
            <xm:f>kind_of_scheme_in</xm:f>
          </x14:formula1>
          <xm:sqref>O983063:P983063 O65559:P65559 O131095:P131095 O196631:P196631 O262167:P262167 O327703:P327703 O393239:P393239 O458775:P458775 O524311:P524311 O589847:P589847 O655383:P655383 O720919:P720919 O786455:P786455 O851991:P851991 O917527:P917527</xm:sqref>
        </x14:dataValidation>
        <x14:dataValidation xr:uid="{00620014-009B-48BD-B0DC-009700880026}" type="textLength" allowBlank="1" error="Допускается ввод не более 900 символов!" errorTitle="Ошибка" operator="lessThanOrEqual" showErrorMessage="1" showInputMessage="1">
          <x14:formula1>
            <xm:f>900</xm:f>
          </x14:formula1>
          <xm:sqref>X65555:X65562 X131091:X131098 X196627:X196634 X262163:X262170 X327699:X327706 X393235:X393242 X458771:X458778 X524307:X524314 X589843:X589850 X655379:X655386 X720915:X720922 X786451:X786458 X851987:X851994 X917523:X917530 X983059:X983066</xm:sqref>
        </x14:dataValidation>
        <x14:dataValidation xr:uid="{002E00F1-00A2-495B-AC84-000400540059}" type="list" allowBlank="1" error="Выберите значение из списка" errorTitle="Ошибка" prompt="Выберите значение из списка" showInputMessage="1">
          <x14:formula1>
            <xm:f>kind_of_cons</xm:f>
          </x14:formula1>
          <xm:sqref>O983064:W983064 O65560:W65560 O131096:W131096 O196632:W196632 O262168:W262168 O327704:W327704 O393240:W393240 O458776:W458776 O524312:W524312 O589848:W589848 O655384:W655384 O720920:W720920 O786456:W786456 O851992:W851992 O917528:W917528</xm:sqref>
        </x14:dataValidation>
        <x14:dataValidation xr:uid="{00CB00C2-001A-43CC-B620-0097003400EB}" type="list" allowBlank="1" error="Выберите значение из списка" errorTitle="Ошибка" showErrorMessage="1" showInputMessage="1">
          <x14:formula1>
            <xm:f>kind_of_heat_transfer</xm:f>
          </x14:formula1>
          <xm:sqref>M65561 M131097 M196633 M262169 M327705 M393241 M458777 M524313 M589849 M655385 M720921 M786457 M851993 M917529 M983065</xm:sqref>
        </x14:dataValidation>
      </x14:dataValidations>
    </ext>
  </extLs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row r="1" ht="11.25" customHeight="1">
      <c r="A1" s="236"/>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showGridLines="0" topLeftCell="A1" workbookViewId="0">
      <selection activeCell="A1" sqref="A1"/>
    </sheetView>
  </sheetViews>
  <sheetFormatPr defaultRowHeight="11.25" customHeight="1"/>
  <cols>
    <col customWidth="1" min="1" max="1" style="12187" width="10.57421875"/>
    <col customWidth="1" min="2" max="2" style="12187" width="8.7109375"/>
    <col customWidth="1" min="3" max="3" style="12187" width="18.140625"/>
    <col customWidth="1" min="4" max="4" style="12187" width="12.57421875"/>
  </cols>
  <sheetData>
    <row r="1" ht="11.25" customHeight="1">
      <c r="A1" s="2785" t="s">
        <v>2240</v>
      </c>
      <c r="B1" s="2786" t="s">
        <v>2241</v>
      </c>
      <c r="C1" s="2787" t="s">
        <v>2242</v>
      </c>
      <c r="D1" s="2788"/>
      <c r="E1" s="1006" t="s">
        <v>2243</v>
      </c>
    </row>
    <row r="2" ht="11.25" customHeight="1">
      <c r="A2" s="2789"/>
      <c r="B2" s="935" t="s">
        <v>26</v>
      </c>
      <c r="C2" s="923"/>
      <c r="D2" s="934"/>
      <c r="E2" s="1006"/>
    </row>
    <row r="3" ht="11.25" customHeight="1">
      <c r="A3" s="2790"/>
      <c r="B3" s="2791" t="s">
        <v>33</v>
      </c>
      <c r="C3" s="923"/>
      <c r="D3" s="934"/>
      <c r="E3" s="1006"/>
    </row>
    <row r="4" ht="11.25" customHeight="1">
      <c r="A4" s="2792"/>
      <c r="B4" s="936" t="s">
        <v>1667</v>
      </c>
      <c r="C4" s="923"/>
      <c r="D4" s="934"/>
      <c r="E4" s="1006"/>
    </row>
    <row r="5" ht="11.25" customHeight="1">
      <c r="A5" s="2793"/>
      <c r="B5" s="936" t="s">
        <v>1661</v>
      </c>
      <c r="C5" s="2794" t="s">
        <v>2007</v>
      </c>
      <c r="D5" s="2795" t="s">
        <v>2244</v>
      </c>
      <c r="E5" s="1006"/>
    </row>
    <row r="6" s="9278" customFormat="1" ht="11.25" customHeight="1">
      <c r="A6" s="2796"/>
      <c r="B6" s="936" t="s">
        <v>1671</v>
      </c>
      <c r="C6" s="923"/>
      <c r="D6" s="934"/>
      <c r="E6" s="1006"/>
    </row>
    <row r="7" ht="11.25" customHeight="1">
      <c r="A7" s="2797"/>
      <c r="B7" s="936" t="s">
        <v>1678</v>
      </c>
      <c r="C7" s="923"/>
      <c r="D7" s="934"/>
      <c r="E7" s="1006"/>
    </row>
    <row r="8" ht="11.25" customHeight="1">
      <c r="A8" s="926"/>
      <c r="B8" s="936" t="s">
        <v>1674</v>
      </c>
      <c r="C8" s="923"/>
      <c r="D8" s="934"/>
      <c r="E8" s="1006"/>
    </row>
  </sheetData>
  <sheetProtection autoFilter="0" deleteColumns="1" deleteRows="1" formatColumns="0" formatRows="0" insertColumns="1" insertRows="1" sheet="1" sort="1"/>
  <mergeCells count="1">
    <mergeCell ref="C1:D1"/>
  </mergeCells>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2" style="9278" width="9.140625"/>
    <col customWidth="1" min="3" max="3" style="9278" width="20.7109375"/>
    <col customWidth="1" min="4" max="4" style="9278" width="25.140625"/>
    <col min="5" max="9" style="9278" width="9.140625"/>
  </cols>
  <sheetData>
    <row r="1" ht="11.25" customHeight="1">
      <c r="A1" s="238" t="s">
        <v>2245</v>
      </c>
      <c r="B1" s="238" t="s">
        <v>2246</v>
      </c>
      <c r="C1" s="238" t="s">
        <v>2247</v>
      </c>
      <c r="D1" s="238" t="s">
        <v>2248</v>
      </c>
      <c r="E1" s="238" t="s">
        <v>2249</v>
      </c>
      <c r="F1" s="238" t="s">
        <v>2250</v>
      </c>
      <c r="G1" s="238" t="s">
        <v>2251</v>
      </c>
      <c r="H1" s="238" t="s">
        <v>2252</v>
      </c>
      <c r="I1" s="238" t="s">
        <v>2253</v>
      </c>
    </row>
    <row r="2" ht="11.25" customHeight="1">
      <c r="A2" s="5869" t="s">
        <v>2254</v>
      </c>
      <c r="B2" s="5869" t="s">
        <v>16</v>
      </c>
      <c r="C2" s="5869" t="s">
        <v>2255</v>
      </c>
      <c r="D2" s="5869" t="s">
        <v>2256</v>
      </c>
      <c r="E2" s="5869" t="s">
        <v>2257</v>
      </c>
      <c r="F2" s="5869" t="s">
        <v>2258</v>
      </c>
      <c r="G2" s="5869" t="s">
        <v>2259</v>
      </c>
      <c r="H2" s="5869" t="s">
        <v>28</v>
      </c>
      <c r="I2" s="5869" t="s">
        <v>813</v>
      </c>
    </row>
    <row r="3" ht="11.25" customHeight="1">
      <c r="A3" s="5869" t="s">
        <v>2254</v>
      </c>
      <c r="B3" s="5869" t="s">
        <v>16</v>
      </c>
      <c r="C3" s="5869" t="s">
        <v>13</v>
      </c>
      <c r="D3" s="5869" t="s">
        <v>47</v>
      </c>
      <c r="E3" s="5869" t="s">
        <v>50</v>
      </c>
      <c r="F3" s="5869" t="s">
        <v>52</v>
      </c>
      <c r="G3" s="5869" t="s">
        <v>28</v>
      </c>
      <c r="H3" s="5869" t="s">
        <v>28</v>
      </c>
      <c r="I3" s="5869" t="s">
        <v>813</v>
      </c>
    </row>
    <row r="4" ht="11.25" customHeight="1">
      <c r="A4" s="5869" t="s">
        <v>2254</v>
      </c>
      <c r="B4" s="5869" t="s">
        <v>16</v>
      </c>
      <c r="C4" s="5869" t="s">
        <v>2260</v>
      </c>
      <c r="D4" s="5869" t="s">
        <v>2261</v>
      </c>
      <c r="E4" s="5869" t="s">
        <v>2262</v>
      </c>
      <c r="F4" s="5869" t="s">
        <v>2263</v>
      </c>
      <c r="G4" s="5869" t="s">
        <v>2264</v>
      </c>
      <c r="H4" s="5869" t="s">
        <v>28</v>
      </c>
      <c r="I4" s="5869" t="s">
        <v>813</v>
      </c>
    </row>
    <row r="5" ht="11.25" customHeight="1">
      <c r="A5" s="5869" t="s">
        <v>2254</v>
      </c>
      <c r="B5" s="5869" t="s">
        <v>16</v>
      </c>
      <c r="C5" s="5869" t="s">
        <v>2265</v>
      </c>
      <c r="D5" s="5869" t="s">
        <v>2266</v>
      </c>
      <c r="E5" s="5869" t="s">
        <v>2267</v>
      </c>
      <c r="F5" s="5869" t="s">
        <v>2268</v>
      </c>
      <c r="G5" s="5869" t="s">
        <v>2269</v>
      </c>
      <c r="H5" s="5869" t="s">
        <v>28</v>
      </c>
      <c r="I5" s="5869" t="s">
        <v>813</v>
      </c>
    </row>
    <row r="6" ht="11.25" customHeight="1">
      <c r="A6" s="5869" t="s">
        <v>2254</v>
      </c>
      <c r="B6" s="5869" t="s">
        <v>16</v>
      </c>
      <c r="C6" s="5869" t="s">
        <v>2270</v>
      </c>
      <c r="D6" s="5869" t="s">
        <v>2271</v>
      </c>
      <c r="E6" s="5869" t="s">
        <v>2272</v>
      </c>
      <c r="F6" s="5869" t="s">
        <v>2273</v>
      </c>
      <c r="G6" s="5869" t="s">
        <v>28</v>
      </c>
      <c r="H6" s="5869" t="s">
        <v>28</v>
      </c>
      <c r="I6" s="5869" t="s">
        <v>813</v>
      </c>
    </row>
    <row r="7" ht="11.25" customHeight="1">
      <c r="A7" s="5869" t="s">
        <v>2254</v>
      </c>
      <c r="B7" s="5869" t="s">
        <v>16</v>
      </c>
      <c r="C7" s="5869" t="s">
        <v>2274</v>
      </c>
      <c r="D7" s="5869" t="s">
        <v>2275</v>
      </c>
      <c r="E7" s="5869" t="s">
        <v>2276</v>
      </c>
      <c r="F7" s="5869" t="s">
        <v>2273</v>
      </c>
      <c r="G7" s="5869" t="s">
        <v>28</v>
      </c>
      <c r="H7" s="5869" t="s">
        <v>28</v>
      </c>
      <c r="I7" s="5869" t="s">
        <v>813</v>
      </c>
    </row>
    <row r="8" ht="11.25" customHeight="1">
      <c r="A8" s="5869" t="s">
        <v>2254</v>
      </c>
      <c r="B8" s="5869" t="s">
        <v>16</v>
      </c>
      <c r="C8" s="5869" t="s">
        <v>2277</v>
      </c>
      <c r="D8" s="5869" t="s">
        <v>2278</v>
      </c>
      <c r="E8" s="5869" t="s">
        <v>2279</v>
      </c>
      <c r="F8" s="5869" t="s">
        <v>2280</v>
      </c>
      <c r="G8" s="5869" t="s">
        <v>2281</v>
      </c>
      <c r="H8" s="5869" t="s">
        <v>28</v>
      </c>
      <c r="I8" s="5869" t="s">
        <v>813</v>
      </c>
    </row>
    <row r="9" ht="11.25" customHeight="1">
      <c r="A9" s="5869" t="s">
        <v>2254</v>
      </c>
      <c r="B9" s="5869" t="s">
        <v>16</v>
      </c>
      <c r="C9" s="5869" t="s">
        <v>2282</v>
      </c>
      <c r="D9" s="5869" t="s">
        <v>2283</v>
      </c>
      <c r="E9" s="5869" t="s">
        <v>2284</v>
      </c>
      <c r="F9" s="5869" t="s">
        <v>2280</v>
      </c>
      <c r="G9" s="5869" t="s">
        <v>2285</v>
      </c>
      <c r="H9" s="5869" t="s">
        <v>28</v>
      </c>
      <c r="I9" s="5869" t="s">
        <v>813</v>
      </c>
    </row>
    <row r="10" ht="11.25" customHeight="1">
      <c r="A10" s="5869" t="s">
        <v>2254</v>
      </c>
      <c r="B10" s="5869" t="s">
        <v>16</v>
      </c>
      <c r="C10" s="5869" t="s">
        <v>2286</v>
      </c>
      <c r="D10" s="5869" t="s">
        <v>2287</v>
      </c>
      <c r="E10" s="5869" t="s">
        <v>2288</v>
      </c>
      <c r="F10" s="5869" t="s">
        <v>2273</v>
      </c>
      <c r="G10" s="5869" t="s">
        <v>2289</v>
      </c>
      <c r="H10" s="5869" t="s">
        <v>28</v>
      </c>
      <c r="I10" s="5869" t="s">
        <v>813</v>
      </c>
    </row>
    <row r="11" ht="11.25" customHeight="1">
      <c r="A11" s="5869" t="s">
        <v>2254</v>
      </c>
      <c r="B11" s="5869" t="s">
        <v>16</v>
      </c>
      <c r="C11" s="5869" t="s">
        <v>2290</v>
      </c>
      <c r="D11" s="5869" t="s">
        <v>2291</v>
      </c>
      <c r="E11" s="5869" t="s">
        <v>2292</v>
      </c>
      <c r="F11" s="5869" t="s">
        <v>2293</v>
      </c>
      <c r="G11" s="5869" t="s">
        <v>28</v>
      </c>
      <c r="H11" s="5869" t="s">
        <v>28</v>
      </c>
      <c r="I11" s="5869" t="s">
        <v>813</v>
      </c>
    </row>
    <row r="12" ht="11.25" customHeight="1">
      <c r="A12" s="5869" t="s">
        <v>2254</v>
      </c>
      <c r="B12" s="5869" t="s">
        <v>16</v>
      </c>
      <c r="C12" s="5869" t="s">
        <v>28</v>
      </c>
      <c r="D12" s="5869" t="s">
        <v>2294</v>
      </c>
      <c r="E12" s="5869" t="s">
        <v>2295</v>
      </c>
      <c r="F12" s="5869" t="s">
        <v>2280</v>
      </c>
      <c r="G12" s="5869" t="s">
        <v>28</v>
      </c>
      <c r="H12" s="5869" t="s">
        <v>28</v>
      </c>
      <c r="I12" s="5869" t="s">
        <v>813</v>
      </c>
    </row>
    <row r="13" ht="11.25" customHeight="1">
      <c r="A13" s="5869" t="s">
        <v>2254</v>
      </c>
      <c r="B13" s="5869" t="s">
        <v>16</v>
      </c>
      <c r="C13" s="5869" t="s">
        <v>2296</v>
      </c>
      <c r="D13" s="5869" t="s">
        <v>2297</v>
      </c>
      <c r="E13" s="5869" t="s">
        <v>2298</v>
      </c>
      <c r="F13" s="5869" t="s">
        <v>2268</v>
      </c>
      <c r="G13" s="5869" t="s">
        <v>2299</v>
      </c>
      <c r="H13" s="5869" t="s">
        <v>28</v>
      </c>
      <c r="I13" s="5869" t="s">
        <v>813</v>
      </c>
    </row>
    <row r="14" ht="11.25" customHeight="1">
      <c r="A14" s="5869" t="s">
        <v>2254</v>
      </c>
      <c r="B14" s="5869" t="s">
        <v>16</v>
      </c>
      <c r="C14" s="5869" t="s">
        <v>2300</v>
      </c>
      <c r="D14" s="5869" t="s">
        <v>2301</v>
      </c>
      <c r="E14" s="5869" t="s">
        <v>2302</v>
      </c>
      <c r="F14" s="5869" t="s">
        <v>2303</v>
      </c>
      <c r="G14" s="5869" t="s">
        <v>2304</v>
      </c>
      <c r="H14" s="5869" t="s">
        <v>28</v>
      </c>
      <c r="I14" s="5869" t="s">
        <v>813</v>
      </c>
    </row>
    <row r="15" ht="11.25" customHeight="1">
      <c r="A15" s="5869" t="s">
        <v>2254</v>
      </c>
      <c r="B15" s="5869" t="s">
        <v>16</v>
      </c>
      <c r="C15" s="5869" t="s">
        <v>2305</v>
      </c>
      <c r="D15" s="5869" t="s">
        <v>2306</v>
      </c>
      <c r="E15" s="5869" t="s">
        <v>2307</v>
      </c>
      <c r="F15" s="5869" t="s">
        <v>2273</v>
      </c>
      <c r="G15" s="5869" t="s">
        <v>2308</v>
      </c>
      <c r="H15" s="5869" t="s">
        <v>28</v>
      </c>
      <c r="I15" s="5869" t="s">
        <v>813</v>
      </c>
    </row>
    <row r="16" ht="11.25" customHeight="1">
      <c r="A16" s="5869" t="s">
        <v>2254</v>
      </c>
      <c r="B16" s="5869" t="s">
        <v>16</v>
      </c>
      <c r="C16" s="5869" t="s">
        <v>2309</v>
      </c>
      <c r="D16" s="5869" t="s">
        <v>2310</v>
      </c>
      <c r="E16" s="5869" t="s">
        <v>2311</v>
      </c>
      <c r="F16" s="5869" t="s">
        <v>2268</v>
      </c>
      <c r="G16" s="5869" t="s">
        <v>2312</v>
      </c>
      <c r="H16" s="5869" t="s">
        <v>28</v>
      </c>
      <c r="I16" s="5869" t="s">
        <v>813</v>
      </c>
    </row>
    <row r="17" ht="11.25" customHeight="1">
      <c r="A17" s="5869" t="s">
        <v>2254</v>
      </c>
      <c r="B17" s="5869" t="s">
        <v>16</v>
      </c>
      <c r="C17" s="5869" t="s">
        <v>2313</v>
      </c>
      <c r="D17" s="5869" t="s">
        <v>2314</v>
      </c>
      <c r="E17" s="5869" t="s">
        <v>2315</v>
      </c>
      <c r="F17" s="5869" t="s">
        <v>2273</v>
      </c>
      <c r="G17" s="5869" t="s">
        <v>2316</v>
      </c>
      <c r="H17" s="5869" t="s">
        <v>28</v>
      </c>
      <c r="I17" s="5869" t="s">
        <v>813</v>
      </c>
    </row>
    <row r="18" ht="11.25" customHeight="1">
      <c r="A18" s="5869" t="s">
        <v>2254</v>
      </c>
      <c r="B18" s="5869" t="s">
        <v>16</v>
      </c>
      <c r="C18" s="5869" t="s">
        <v>2317</v>
      </c>
      <c r="D18" s="5869" t="s">
        <v>2318</v>
      </c>
      <c r="E18" s="5869" t="s">
        <v>2319</v>
      </c>
      <c r="F18" s="5869" t="s">
        <v>2320</v>
      </c>
      <c r="G18" s="5869" t="s">
        <v>2321</v>
      </c>
      <c r="H18" s="5869" t="s">
        <v>28</v>
      </c>
      <c r="I18" s="5869" t="s">
        <v>813</v>
      </c>
    </row>
    <row r="19" ht="11.25" customHeight="1">
      <c r="A19" s="5869" t="s">
        <v>2254</v>
      </c>
      <c r="B19" s="5869" t="s">
        <v>16</v>
      </c>
      <c r="C19" s="5869" t="s">
        <v>2322</v>
      </c>
      <c r="D19" s="5869" t="s">
        <v>2323</v>
      </c>
      <c r="E19" s="5869" t="s">
        <v>2324</v>
      </c>
      <c r="F19" s="5869" t="s">
        <v>2325</v>
      </c>
      <c r="G19" s="5869" t="s">
        <v>28</v>
      </c>
      <c r="H19" s="5869" t="s">
        <v>28</v>
      </c>
      <c r="I19" s="5869" t="s">
        <v>813</v>
      </c>
    </row>
    <row r="20" ht="11.25" customHeight="1">
      <c r="A20" s="5869" t="s">
        <v>2254</v>
      </c>
      <c r="B20" s="5869" t="s">
        <v>16</v>
      </c>
      <c r="C20" s="5869" t="s">
        <v>2326</v>
      </c>
      <c r="D20" s="5869" t="s">
        <v>2327</v>
      </c>
      <c r="E20" s="5869" t="s">
        <v>2324</v>
      </c>
      <c r="F20" s="5869" t="s">
        <v>2328</v>
      </c>
      <c r="G20" s="5869" t="s">
        <v>2329</v>
      </c>
      <c r="H20" s="5869" t="s">
        <v>28</v>
      </c>
      <c r="I20" s="5869" t="s">
        <v>813</v>
      </c>
    </row>
    <row r="21" ht="11.25" customHeight="1">
      <c r="A21" s="5869" t="s">
        <v>2254</v>
      </c>
      <c r="B21" s="5869" t="s">
        <v>16</v>
      </c>
      <c r="C21" s="5869" t="s">
        <v>2330</v>
      </c>
      <c r="D21" s="5869" t="s">
        <v>2331</v>
      </c>
      <c r="E21" s="5869" t="s">
        <v>2332</v>
      </c>
      <c r="F21" s="5869" t="s">
        <v>2273</v>
      </c>
      <c r="G21" s="5869" t="s">
        <v>2333</v>
      </c>
      <c r="H21" s="5869" t="s">
        <v>28</v>
      </c>
      <c r="I21" s="5869" t="s">
        <v>813</v>
      </c>
    </row>
    <row r="22" ht="11.25" customHeight="1">
      <c r="A22" s="5869" t="s">
        <v>2254</v>
      </c>
      <c r="B22" s="5869" t="s">
        <v>16</v>
      </c>
      <c r="C22" s="5869" t="s">
        <v>2334</v>
      </c>
      <c r="D22" s="5869" t="s">
        <v>2335</v>
      </c>
      <c r="E22" s="5869" t="s">
        <v>2336</v>
      </c>
      <c r="F22" s="5869" t="s">
        <v>2337</v>
      </c>
      <c r="G22" s="5869" t="s">
        <v>28</v>
      </c>
      <c r="H22" s="5869" t="s">
        <v>2338</v>
      </c>
      <c r="I22" s="5869" t="s">
        <v>813</v>
      </c>
    </row>
    <row r="23" ht="11.25" customHeight="1">
      <c r="A23" s="5869" t="s">
        <v>2254</v>
      </c>
      <c r="B23" s="5869" t="s">
        <v>16</v>
      </c>
      <c r="C23" s="5869" t="s">
        <v>2339</v>
      </c>
      <c r="D23" s="5869" t="s">
        <v>2340</v>
      </c>
      <c r="E23" s="5869" t="s">
        <v>2341</v>
      </c>
      <c r="F23" s="5869" t="s">
        <v>2337</v>
      </c>
      <c r="G23" s="5869" t="s">
        <v>28</v>
      </c>
      <c r="H23" s="5869" t="s">
        <v>2338</v>
      </c>
      <c r="I23" s="5869" t="s">
        <v>813</v>
      </c>
    </row>
    <row r="24" ht="11.25" customHeight="1">
      <c r="A24" s="5869" t="s">
        <v>2254</v>
      </c>
      <c r="B24" s="5869" t="s">
        <v>16</v>
      </c>
      <c r="C24" s="5869" t="s">
        <v>2342</v>
      </c>
      <c r="D24" s="5869" t="s">
        <v>2343</v>
      </c>
      <c r="E24" s="5869" t="s">
        <v>2344</v>
      </c>
      <c r="F24" s="5869" t="s">
        <v>2345</v>
      </c>
      <c r="G24" s="5869" t="s">
        <v>2346</v>
      </c>
      <c r="H24" s="5869" t="s">
        <v>2347</v>
      </c>
      <c r="I24" s="5869" t="s">
        <v>813</v>
      </c>
    </row>
    <row r="25" ht="11.25" customHeight="1">
      <c r="A25" s="5869" t="s">
        <v>2254</v>
      </c>
      <c r="B25" s="5869" t="s">
        <v>16</v>
      </c>
      <c r="C25" s="5869" t="s">
        <v>2348</v>
      </c>
      <c r="D25" s="5869" t="s">
        <v>2349</v>
      </c>
      <c r="E25" s="5869" t="s">
        <v>2350</v>
      </c>
      <c r="F25" s="5869" t="s">
        <v>2337</v>
      </c>
      <c r="G25" s="5869" t="s">
        <v>2351</v>
      </c>
      <c r="H25" s="5869" t="s">
        <v>28</v>
      </c>
      <c r="I25" s="5869" t="s">
        <v>813</v>
      </c>
    </row>
    <row r="26" ht="11.25" customHeight="1">
      <c r="A26" s="5869" t="s">
        <v>2254</v>
      </c>
      <c r="B26" s="5869" t="s">
        <v>16</v>
      </c>
      <c r="C26" s="5869" t="s">
        <v>2352</v>
      </c>
      <c r="D26" s="5869" t="s">
        <v>2353</v>
      </c>
      <c r="E26" s="5869" t="s">
        <v>2354</v>
      </c>
      <c r="F26" s="5869" t="s">
        <v>2268</v>
      </c>
      <c r="G26" s="5869" t="s">
        <v>2355</v>
      </c>
      <c r="H26" s="5869" t="s">
        <v>28</v>
      </c>
      <c r="I26" s="5869" t="s">
        <v>813</v>
      </c>
    </row>
    <row r="27" ht="11.25" customHeight="1">
      <c r="A27" s="5869" t="s">
        <v>2254</v>
      </c>
      <c r="B27" s="5869" t="s">
        <v>16</v>
      </c>
      <c r="C27" s="5869" t="s">
        <v>2356</v>
      </c>
      <c r="D27" s="5869" t="s">
        <v>2357</v>
      </c>
      <c r="E27" s="5869" t="s">
        <v>2358</v>
      </c>
      <c r="F27" s="5869" t="s">
        <v>2345</v>
      </c>
      <c r="G27" s="5869" t="s">
        <v>2359</v>
      </c>
      <c r="H27" s="5869" t="s">
        <v>28</v>
      </c>
      <c r="I27" s="5869" t="s">
        <v>813</v>
      </c>
    </row>
    <row r="28" ht="11.25" customHeight="1">
      <c r="A28" s="5869" t="s">
        <v>2254</v>
      </c>
      <c r="B28" s="5869" t="s">
        <v>16</v>
      </c>
      <c r="C28" s="5869" t="s">
        <v>2360</v>
      </c>
      <c r="D28" s="5869" t="s">
        <v>2361</v>
      </c>
      <c r="E28" s="5869" t="s">
        <v>2362</v>
      </c>
      <c r="F28" s="5869" t="s">
        <v>2280</v>
      </c>
      <c r="G28" s="5869" t="s">
        <v>2363</v>
      </c>
      <c r="H28" s="5869" t="s">
        <v>28</v>
      </c>
      <c r="I28" s="5869" t="s">
        <v>813</v>
      </c>
    </row>
    <row r="29" ht="11.25" customHeight="1">
      <c r="A29" s="5869" t="s">
        <v>2254</v>
      </c>
      <c r="B29" s="5869" t="s">
        <v>16</v>
      </c>
      <c r="C29" s="5869" t="s">
        <v>2364</v>
      </c>
      <c r="D29" s="5869" t="s">
        <v>2365</v>
      </c>
      <c r="E29" s="5869" t="s">
        <v>2366</v>
      </c>
      <c r="F29" s="5869" t="s">
        <v>2268</v>
      </c>
      <c r="G29" s="5869" t="s">
        <v>2367</v>
      </c>
      <c r="H29" s="5869" t="s">
        <v>28</v>
      </c>
      <c r="I29" s="5869" t="s">
        <v>813</v>
      </c>
    </row>
    <row r="30" ht="11.25" customHeight="1">
      <c r="A30" s="5869" t="s">
        <v>2254</v>
      </c>
      <c r="B30" s="5869" t="s">
        <v>16</v>
      </c>
      <c r="C30" s="5869" t="s">
        <v>2368</v>
      </c>
      <c r="D30" s="5869" t="s">
        <v>2369</v>
      </c>
      <c r="E30" s="5869" t="s">
        <v>2370</v>
      </c>
      <c r="F30" s="5869" t="s">
        <v>2345</v>
      </c>
      <c r="G30" s="5869" t="s">
        <v>2371</v>
      </c>
      <c r="H30" s="5869" t="s">
        <v>28</v>
      </c>
      <c r="I30" s="5869" t="s">
        <v>813</v>
      </c>
    </row>
    <row r="31" ht="11.25" customHeight="1">
      <c r="A31" s="5869" t="s">
        <v>2254</v>
      </c>
      <c r="B31" s="5869" t="s">
        <v>16</v>
      </c>
      <c r="C31" s="5869" t="s">
        <v>2372</v>
      </c>
      <c r="D31" s="5869" t="s">
        <v>2373</v>
      </c>
      <c r="E31" s="5869" t="s">
        <v>2374</v>
      </c>
      <c r="F31" s="5869" t="s">
        <v>2268</v>
      </c>
      <c r="G31" s="5869" t="s">
        <v>2375</v>
      </c>
      <c r="H31" s="5869" t="s">
        <v>2376</v>
      </c>
      <c r="I31" s="5869" t="s">
        <v>813</v>
      </c>
    </row>
    <row r="32" ht="11.25" customHeight="1">
      <c r="A32" s="5869" t="s">
        <v>2254</v>
      </c>
      <c r="B32" s="5869" t="s">
        <v>16</v>
      </c>
      <c r="C32" s="5869" t="s">
        <v>2377</v>
      </c>
      <c r="D32" s="5869" t="s">
        <v>2378</v>
      </c>
      <c r="E32" s="5869" t="s">
        <v>2379</v>
      </c>
      <c r="F32" s="5869" t="s">
        <v>2268</v>
      </c>
      <c r="G32" s="5869" t="s">
        <v>2380</v>
      </c>
      <c r="H32" s="5869" t="s">
        <v>2381</v>
      </c>
      <c r="I32" s="5869" t="s">
        <v>813</v>
      </c>
    </row>
    <row r="33" ht="11.25" customHeight="1">
      <c r="A33" s="5869" t="s">
        <v>2254</v>
      </c>
      <c r="B33" s="5869" t="s">
        <v>16</v>
      </c>
      <c r="C33" s="5869" t="s">
        <v>2382</v>
      </c>
      <c r="D33" s="5869" t="s">
        <v>2383</v>
      </c>
      <c r="E33" s="5869" t="s">
        <v>2384</v>
      </c>
      <c r="F33" s="5869" t="s">
        <v>2273</v>
      </c>
      <c r="G33" s="5869" t="s">
        <v>2385</v>
      </c>
      <c r="H33" s="5869" t="s">
        <v>28</v>
      </c>
      <c r="I33" s="5869" t="s">
        <v>813</v>
      </c>
    </row>
    <row r="34" ht="11.25" customHeight="1">
      <c r="A34" s="5869" t="s">
        <v>2254</v>
      </c>
      <c r="B34" s="5869" t="s">
        <v>16</v>
      </c>
      <c r="C34" s="5869" t="s">
        <v>2386</v>
      </c>
      <c r="D34" s="5869" t="s">
        <v>2387</v>
      </c>
      <c r="E34" s="5869" t="s">
        <v>2388</v>
      </c>
      <c r="F34" s="5869" t="s">
        <v>2345</v>
      </c>
      <c r="G34" s="5869" t="s">
        <v>28</v>
      </c>
      <c r="H34" s="5869" t="s">
        <v>28</v>
      </c>
      <c r="I34" s="5869" t="s">
        <v>813</v>
      </c>
    </row>
    <row r="35" ht="11.25" customHeight="1">
      <c r="A35" s="5869" t="s">
        <v>2254</v>
      </c>
      <c r="B35" s="5869" t="s">
        <v>16</v>
      </c>
      <c r="C35" s="5869" t="s">
        <v>2389</v>
      </c>
      <c r="D35" s="5869" t="s">
        <v>2390</v>
      </c>
      <c r="E35" s="5869" t="s">
        <v>2391</v>
      </c>
      <c r="F35" s="5869" t="s">
        <v>2392</v>
      </c>
      <c r="G35" s="5869" t="s">
        <v>2393</v>
      </c>
      <c r="H35" s="5869" t="s">
        <v>28</v>
      </c>
      <c r="I35" s="5869" t="s">
        <v>813</v>
      </c>
    </row>
    <row r="36" ht="11.25" customHeight="1">
      <c r="A36" s="5869" t="s">
        <v>2254</v>
      </c>
      <c r="B36" s="5869" t="s">
        <v>16</v>
      </c>
      <c r="C36" s="5869" t="s">
        <v>2394</v>
      </c>
      <c r="D36" s="5869" t="s">
        <v>2395</v>
      </c>
      <c r="E36" s="5869" t="s">
        <v>2396</v>
      </c>
      <c r="F36" s="5869" t="s">
        <v>2273</v>
      </c>
      <c r="G36" s="5869" t="s">
        <v>2397</v>
      </c>
      <c r="H36" s="5869" t="s">
        <v>28</v>
      </c>
      <c r="I36" s="5869" t="s">
        <v>813</v>
      </c>
    </row>
    <row r="37" ht="11.25" customHeight="1">
      <c r="A37" s="5869" t="s">
        <v>2254</v>
      </c>
      <c r="B37" s="5869" t="s">
        <v>16</v>
      </c>
      <c r="C37" s="5869" t="s">
        <v>2398</v>
      </c>
      <c r="D37" s="5869" t="s">
        <v>2399</v>
      </c>
      <c r="E37" s="5869" t="s">
        <v>2400</v>
      </c>
      <c r="F37" s="5869" t="s">
        <v>2345</v>
      </c>
      <c r="G37" s="5869" t="s">
        <v>2401</v>
      </c>
      <c r="H37" s="5869" t="s">
        <v>28</v>
      </c>
      <c r="I37" s="5869" t="s">
        <v>813</v>
      </c>
    </row>
    <row r="38" ht="11.25" customHeight="1">
      <c r="A38" s="5869" t="s">
        <v>2254</v>
      </c>
      <c r="B38" s="5869" t="s">
        <v>16</v>
      </c>
      <c r="C38" s="5869" t="s">
        <v>2402</v>
      </c>
      <c r="D38" s="5869" t="s">
        <v>2403</v>
      </c>
      <c r="E38" s="5869" t="s">
        <v>2404</v>
      </c>
      <c r="F38" s="5869" t="s">
        <v>2268</v>
      </c>
      <c r="G38" s="5869" t="s">
        <v>2405</v>
      </c>
      <c r="H38" s="5869" t="s">
        <v>28</v>
      </c>
      <c r="I38" s="5869" t="s">
        <v>813</v>
      </c>
    </row>
    <row r="39" ht="11.25" customHeight="1">
      <c r="A39" s="5869" t="s">
        <v>2254</v>
      </c>
      <c r="B39" s="5869" t="s">
        <v>16</v>
      </c>
      <c r="C39" s="5869" t="s">
        <v>2406</v>
      </c>
      <c r="D39" s="5869" t="s">
        <v>2407</v>
      </c>
      <c r="E39" s="5869" t="s">
        <v>2324</v>
      </c>
      <c r="F39" s="5869" t="s">
        <v>2408</v>
      </c>
      <c r="G39" s="5869" t="s">
        <v>28</v>
      </c>
      <c r="H39" s="5869" t="s">
        <v>28</v>
      </c>
      <c r="I39" s="5869" t="s">
        <v>813</v>
      </c>
    </row>
    <row r="40" ht="11.25" customHeight="1">
      <c r="A40" s="5869" t="s">
        <v>2254</v>
      </c>
      <c r="B40" s="5869" t="s">
        <v>16</v>
      </c>
      <c r="C40" s="5869" t="s">
        <v>2409</v>
      </c>
      <c r="D40" s="5869" t="s">
        <v>2410</v>
      </c>
      <c r="E40" s="5869" t="s">
        <v>2411</v>
      </c>
      <c r="F40" s="5869" t="s">
        <v>2268</v>
      </c>
      <c r="G40" s="5869" t="s">
        <v>2412</v>
      </c>
      <c r="H40" s="5869" t="s">
        <v>2413</v>
      </c>
      <c r="I40" s="5869" t="s">
        <v>813</v>
      </c>
    </row>
    <row r="41" ht="11.25" customHeight="1">
      <c r="A41" s="5869" t="s">
        <v>2254</v>
      </c>
      <c r="B41" s="5869" t="s">
        <v>16</v>
      </c>
      <c r="C41" s="5869" t="s">
        <v>2414</v>
      </c>
      <c r="D41" s="5869" t="s">
        <v>2415</v>
      </c>
      <c r="E41" s="5869" t="s">
        <v>2416</v>
      </c>
      <c r="F41" s="5869" t="s">
        <v>2417</v>
      </c>
      <c r="G41" s="5869" t="s">
        <v>28</v>
      </c>
      <c r="H41" s="5869" t="s">
        <v>28</v>
      </c>
      <c r="I41" s="5869" t="s">
        <v>813</v>
      </c>
    </row>
    <row r="42" ht="11.25" customHeight="1">
      <c r="A42" s="5869" t="s">
        <v>2254</v>
      </c>
      <c r="B42" s="5869" t="s">
        <v>16</v>
      </c>
      <c r="C42" s="5869" t="s">
        <v>2418</v>
      </c>
      <c r="D42" s="5869" t="s">
        <v>2419</v>
      </c>
      <c r="E42" s="5869" t="s">
        <v>2420</v>
      </c>
      <c r="F42" s="5869" t="s">
        <v>2421</v>
      </c>
      <c r="G42" s="5869" t="s">
        <v>28</v>
      </c>
      <c r="H42" s="5869" t="s">
        <v>28</v>
      </c>
      <c r="I42" s="5869" t="s">
        <v>813</v>
      </c>
    </row>
    <row r="43" ht="11.25" customHeight="1">
      <c r="A43" s="5869" t="s">
        <v>2254</v>
      </c>
      <c r="B43" s="5869" t="s">
        <v>16</v>
      </c>
      <c r="C43" s="5869" t="s">
        <v>2422</v>
      </c>
      <c r="D43" s="5869" t="s">
        <v>2423</v>
      </c>
      <c r="E43" s="5869" t="s">
        <v>2420</v>
      </c>
      <c r="F43" s="5869" t="s">
        <v>2424</v>
      </c>
      <c r="G43" s="5869" t="s">
        <v>2425</v>
      </c>
      <c r="H43" s="5869" t="s">
        <v>28</v>
      </c>
      <c r="I43" s="5869" t="s">
        <v>813</v>
      </c>
    </row>
    <row r="44" ht="11.25" customHeight="1">
      <c r="A44" s="5869" t="s">
        <v>2254</v>
      </c>
      <c r="B44" s="5869" t="s">
        <v>16</v>
      </c>
      <c r="C44" s="5869" t="s">
        <v>2426</v>
      </c>
      <c r="D44" s="5869" t="s">
        <v>2427</v>
      </c>
      <c r="E44" s="5869" t="s">
        <v>2428</v>
      </c>
      <c r="F44" s="5869" t="s">
        <v>2429</v>
      </c>
      <c r="G44" s="5869" t="s">
        <v>28</v>
      </c>
      <c r="H44" s="5869" t="s">
        <v>28</v>
      </c>
      <c r="I44" s="5869" t="s">
        <v>813</v>
      </c>
    </row>
    <row r="45" ht="11.25" customHeight="1">
      <c r="A45" s="5869" t="s">
        <v>2254</v>
      </c>
      <c r="B45" s="5869" t="s">
        <v>16</v>
      </c>
      <c r="C45" s="5869" t="s">
        <v>2430</v>
      </c>
      <c r="D45" s="5869" t="s">
        <v>2431</v>
      </c>
      <c r="E45" s="5869" t="s">
        <v>2432</v>
      </c>
      <c r="F45" s="5869" t="s">
        <v>2280</v>
      </c>
      <c r="G45" s="5869" t="s">
        <v>2433</v>
      </c>
      <c r="H45" s="5869" t="s">
        <v>28</v>
      </c>
      <c r="I45" s="5869" t="s">
        <v>813</v>
      </c>
    </row>
    <row r="46" ht="11.25" customHeight="1">
      <c r="A46" s="5869" t="s">
        <v>2254</v>
      </c>
      <c r="B46" s="5869" t="s">
        <v>16</v>
      </c>
      <c r="C46" s="5869" t="s">
        <v>2434</v>
      </c>
      <c r="D46" s="5869" t="s">
        <v>2435</v>
      </c>
      <c r="E46" s="5869" t="s">
        <v>2436</v>
      </c>
      <c r="F46" s="5869" t="s">
        <v>2280</v>
      </c>
      <c r="G46" s="5869" t="s">
        <v>2437</v>
      </c>
      <c r="H46" s="5869" t="s">
        <v>28</v>
      </c>
      <c r="I46" s="5869" t="s">
        <v>813</v>
      </c>
    </row>
    <row r="47" ht="11.25" customHeight="1">
      <c r="A47" s="5869" t="s">
        <v>2254</v>
      </c>
      <c r="B47" s="5869" t="s">
        <v>16</v>
      </c>
      <c r="C47" s="5869" t="s">
        <v>2438</v>
      </c>
      <c r="D47" s="5869" t="s">
        <v>2439</v>
      </c>
      <c r="E47" s="5869" t="s">
        <v>2440</v>
      </c>
      <c r="F47" s="5869" t="s">
        <v>2441</v>
      </c>
      <c r="G47" s="5869" t="s">
        <v>28</v>
      </c>
      <c r="H47" s="5869" t="s">
        <v>28</v>
      </c>
      <c r="I47" s="5869" t="s">
        <v>813</v>
      </c>
    </row>
    <row r="48" ht="11.25" customHeight="1">
      <c r="A48" s="5869" t="s">
        <v>2254</v>
      </c>
      <c r="B48" s="5869" t="s">
        <v>16</v>
      </c>
      <c r="C48" s="5869" t="s">
        <v>2442</v>
      </c>
      <c r="D48" s="5869" t="s">
        <v>2443</v>
      </c>
      <c r="E48" s="5869" t="s">
        <v>2324</v>
      </c>
      <c r="F48" s="5869" t="s">
        <v>2444</v>
      </c>
      <c r="G48" s="5869" t="s">
        <v>2445</v>
      </c>
      <c r="H48" s="5869" t="s">
        <v>28</v>
      </c>
      <c r="I48" s="5869" t="s">
        <v>813</v>
      </c>
    </row>
    <row r="49" ht="11.25" customHeight="1">
      <c r="A49" s="5869" t="s">
        <v>2254</v>
      </c>
      <c r="B49" s="5869" t="s">
        <v>16</v>
      </c>
      <c r="C49" s="5869" t="s">
        <v>2255</v>
      </c>
      <c r="D49" s="5869" t="s">
        <v>2256</v>
      </c>
      <c r="E49" s="5869" t="s">
        <v>2257</v>
      </c>
      <c r="F49" s="5869" t="s">
        <v>2258</v>
      </c>
      <c r="G49" s="5869" t="s">
        <v>2259</v>
      </c>
      <c r="H49" s="5869" t="s">
        <v>28</v>
      </c>
      <c r="I49" s="5869" t="s">
        <v>899</v>
      </c>
    </row>
    <row r="50" ht="11.25" customHeight="1">
      <c r="A50" s="5869" t="s">
        <v>2254</v>
      </c>
      <c r="B50" s="5869" t="s">
        <v>16</v>
      </c>
      <c r="C50" s="5869" t="s">
        <v>13</v>
      </c>
      <c r="D50" s="5869" t="s">
        <v>47</v>
      </c>
      <c r="E50" s="5869" t="s">
        <v>50</v>
      </c>
      <c r="F50" s="5869" t="s">
        <v>52</v>
      </c>
      <c r="G50" s="5869" t="s">
        <v>28</v>
      </c>
      <c r="H50" s="5869" t="s">
        <v>28</v>
      </c>
      <c r="I50" s="5869" t="s">
        <v>899</v>
      </c>
    </row>
    <row r="51" ht="11.25" customHeight="1">
      <c r="A51" s="5869" t="s">
        <v>2254</v>
      </c>
      <c r="B51" s="5869" t="s">
        <v>16</v>
      </c>
      <c r="C51" s="5869" t="s">
        <v>2277</v>
      </c>
      <c r="D51" s="5869" t="s">
        <v>2278</v>
      </c>
      <c r="E51" s="5869" t="s">
        <v>2279</v>
      </c>
      <c r="F51" s="5869" t="s">
        <v>2280</v>
      </c>
      <c r="G51" s="5869" t="s">
        <v>2281</v>
      </c>
      <c r="H51" s="5869" t="s">
        <v>28</v>
      </c>
      <c r="I51" s="5869" t="s">
        <v>899</v>
      </c>
    </row>
    <row r="52" ht="11.25" customHeight="1">
      <c r="A52" s="5869" t="s">
        <v>2254</v>
      </c>
      <c r="B52" s="5869" t="s">
        <v>16</v>
      </c>
      <c r="C52" s="5869" t="s">
        <v>2282</v>
      </c>
      <c r="D52" s="5869" t="s">
        <v>2283</v>
      </c>
      <c r="E52" s="5869" t="s">
        <v>2284</v>
      </c>
      <c r="F52" s="5869" t="s">
        <v>2280</v>
      </c>
      <c r="G52" s="5869" t="s">
        <v>2285</v>
      </c>
      <c r="H52" s="5869" t="s">
        <v>28</v>
      </c>
      <c r="I52" s="5869" t="s">
        <v>899</v>
      </c>
    </row>
    <row r="53" ht="11.25" customHeight="1">
      <c r="A53" s="5869" t="s">
        <v>2254</v>
      </c>
      <c r="B53" s="5869" t="s">
        <v>16</v>
      </c>
      <c r="C53" s="5869" t="s">
        <v>28</v>
      </c>
      <c r="D53" s="5869" t="s">
        <v>2294</v>
      </c>
      <c r="E53" s="5869" t="s">
        <v>2295</v>
      </c>
      <c r="F53" s="5869" t="s">
        <v>2280</v>
      </c>
      <c r="G53" s="5869" t="s">
        <v>28</v>
      </c>
      <c r="H53" s="5869" t="s">
        <v>28</v>
      </c>
      <c r="I53" s="5869" t="s">
        <v>899</v>
      </c>
    </row>
    <row r="54" ht="11.25" customHeight="1">
      <c r="A54" s="5869" t="s">
        <v>2254</v>
      </c>
      <c r="B54" s="5869" t="s">
        <v>16</v>
      </c>
      <c r="C54" s="5869" t="s">
        <v>2309</v>
      </c>
      <c r="D54" s="5869" t="s">
        <v>2310</v>
      </c>
      <c r="E54" s="5869" t="s">
        <v>2311</v>
      </c>
      <c r="F54" s="5869" t="s">
        <v>2268</v>
      </c>
      <c r="G54" s="5869" t="s">
        <v>2312</v>
      </c>
      <c r="H54" s="5869" t="s">
        <v>28</v>
      </c>
      <c r="I54" s="5869" t="s">
        <v>899</v>
      </c>
    </row>
    <row r="55" ht="11.25" customHeight="1">
      <c r="A55" s="5869" t="s">
        <v>2254</v>
      </c>
      <c r="B55" s="5869" t="s">
        <v>16</v>
      </c>
      <c r="C55" s="5869" t="s">
        <v>2317</v>
      </c>
      <c r="D55" s="5869" t="s">
        <v>2318</v>
      </c>
      <c r="E55" s="5869" t="s">
        <v>2319</v>
      </c>
      <c r="F55" s="5869" t="s">
        <v>2320</v>
      </c>
      <c r="G55" s="5869" t="s">
        <v>2321</v>
      </c>
      <c r="H55" s="5869" t="s">
        <v>28</v>
      </c>
      <c r="I55" s="5869" t="s">
        <v>899</v>
      </c>
    </row>
    <row r="56" ht="11.25" customHeight="1">
      <c r="A56" s="5869" t="s">
        <v>2254</v>
      </c>
      <c r="B56" s="5869" t="s">
        <v>16</v>
      </c>
      <c r="C56" s="5869" t="s">
        <v>2326</v>
      </c>
      <c r="D56" s="5869" t="s">
        <v>2327</v>
      </c>
      <c r="E56" s="5869" t="s">
        <v>2324</v>
      </c>
      <c r="F56" s="5869" t="s">
        <v>2328</v>
      </c>
      <c r="G56" s="5869" t="s">
        <v>2329</v>
      </c>
      <c r="H56" s="5869" t="s">
        <v>28</v>
      </c>
      <c r="I56" s="5869" t="s">
        <v>899</v>
      </c>
    </row>
    <row r="57" ht="11.25" customHeight="1">
      <c r="A57" s="5869" t="s">
        <v>2254</v>
      </c>
      <c r="B57" s="5869" t="s">
        <v>16</v>
      </c>
      <c r="C57" s="5869" t="s">
        <v>2334</v>
      </c>
      <c r="D57" s="5869" t="s">
        <v>2335</v>
      </c>
      <c r="E57" s="5869" t="s">
        <v>2336</v>
      </c>
      <c r="F57" s="5869" t="s">
        <v>2337</v>
      </c>
      <c r="G57" s="5869" t="s">
        <v>28</v>
      </c>
      <c r="H57" s="5869" t="s">
        <v>2338</v>
      </c>
      <c r="I57" s="5869" t="s">
        <v>899</v>
      </c>
    </row>
    <row r="58" ht="11.25" customHeight="1">
      <c r="A58" s="5869" t="s">
        <v>2254</v>
      </c>
      <c r="B58" s="5869" t="s">
        <v>16</v>
      </c>
      <c r="C58" s="5869" t="s">
        <v>2377</v>
      </c>
      <c r="D58" s="5869" t="s">
        <v>2378</v>
      </c>
      <c r="E58" s="5869" t="s">
        <v>2379</v>
      </c>
      <c r="F58" s="5869" t="s">
        <v>2268</v>
      </c>
      <c r="G58" s="5869" t="s">
        <v>2380</v>
      </c>
      <c r="H58" s="5869" t="s">
        <v>2381</v>
      </c>
      <c r="I58" s="5869" t="s">
        <v>899</v>
      </c>
    </row>
    <row r="59" ht="11.25" customHeight="1">
      <c r="A59" s="5869" t="s">
        <v>2254</v>
      </c>
      <c r="B59" s="5869" t="s">
        <v>16</v>
      </c>
      <c r="C59" s="5869" t="s">
        <v>2398</v>
      </c>
      <c r="D59" s="5869" t="s">
        <v>2399</v>
      </c>
      <c r="E59" s="5869" t="s">
        <v>2400</v>
      </c>
      <c r="F59" s="5869" t="s">
        <v>2345</v>
      </c>
      <c r="G59" s="5869" t="s">
        <v>2401</v>
      </c>
      <c r="H59" s="5869" t="s">
        <v>28</v>
      </c>
      <c r="I59" s="5869" t="s">
        <v>899</v>
      </c>
    </row>
    <row r="60" ht="11.25" customHeight="1">
      <c r="A60" s="5869" t="s">
        <v>2254</v>
      </c>
      <c r="B60" s="5869" t="s">
        <v>16</v>
      </c>
      <c r="C60" s="5869" t="s">
        <v>2418</v>
      </c>
      <c r="D60" s="5869" t="s">
        <v>2419</v>
      </c>
      <c r="E60" s="5869" t="s">
        <v>2420</v>
      </c>
      <c r="F60" s="5869" t="s">
        <v>2421</v>
      </c>
      <c r="G60" s="5869" t="s">
        <v>28</v>
      </c>
      <c r="H60" s="5869" t="s">
        <v>28</v>
      </c>
      <c r="I60" s="5869" t="s">
        <v>899</v>
      </c>
    </row>
    <row r="61" ht="11.25" customHeight="1">
      <c r="A61" s="5869" t="s">
        <v>2254</v>
      </c>
      <c r="B61" s="5869" t="s">
        <v>16</v>
      </c>
      <c r="C61" s="5869" t="s">
        <v>2422</v>
      </c>
      <c r="D61" s="5869" t="s">
        <v>2423</v>
      </c>
      <c r="E61" s="5869" t="s">
        <v>2420</v>
      </c>
      <c r="F61" s="5869" t="s">
        <v>2424</v>
      </c>
      <c r="G61" s="5869" t="s">
        <v>2425</v>
      </c>
      <c r="H61" s="5869" t="s">
        <v>28</v>
      </c>
      <c r="I61" s="5869" t="s">
        <v>899</v>
      </c>
    </row>
    <row r="62" ht="11.25" customHeight="1">
      <c r="A62" s="5869" t="s">
        <v>2254</v>
      </c>
      <c r="B62" s="5869" t="s">
        <v>16</v>
      </c>
      <c r="C62" s="5869" t="s">
        <v>2438</v>
      </c>
      <c r="D62" s="5869" t="s">
        <v>2439</v>
      </c>
      <c r="E62" s="5869" t="s">
        <v>2440</v>
      </c>
      <c r="F62" s="5869" t="s">
        <v>2441</v>
      </c>
      <c r="G62" s="5869" t="s">
        <v>28</v>
      </c>
      <c r="H62" s="5869" t="s">
        <v>28</v>
      </c>
      <c r="I62" s="5869" t="s">
        <v>899</v>
      </c>
    </row>
    <row r="63" ht="11.25" customHeight="1">
      <c r="A63" s="5869" t="s">
        <v>2254</v>
      </c>
      <c r="B63" s="5869" t="s">
        <v>16</v>
      </c>
      <c r="C63" s="5869" t="s">
        <v>2255</v>
      </c>
      <c r="D63" s="5869" t="s">
        <v>2256</v>
      </c>
      <c r="E63" s="5869" t="s">
        <v>2257</v>
      </c>
      <c r="F63" s="5869" t="s">
        <v>2258</v>
      </c>
      <c r="G63" s="5869" t="s">
        <v>2259</v>
      </c>
      <c r="H63" s="5869" t="s">
        <v>28</v>
      </c>
      <c r="I63" s="5869" t="s">
        <v>859</v>
      </c>
    </row>
    <row r="64" ht="11.25" customHeight="1">
      <c r="A64" s="5869" t="s">
        <v>2254</v>
      </c>
      <c r="B64" s="5869" t="s">
        <v>16</v>
      </c>
      <c r="C64" s="5869" t="s">
        <v>2265</v>
      </c>
      <c r="D64" s="5869" t="s">
        <v>2266</v>
      </c>
      <c r="E64" s="5869" t="s">
        <v>2267</v>
      </c>
      <c r="F64" s="5869" t="s">
        <v>2268</v>
      </c>
      <c r="G64" s="5869" t="s">
        <v>2269</v>
      </c>
      <c r="H64" s="5869" t="s">
        <v>28</v>
      </c>
      <c r="I64" s="5869" t="s">
        <v>859</v>
      </c>
    </row>
    <row r="65" ht="11.25" customHeight="1">
      <c r="A65" s="5869" t="s">
        <v>2254</v>
      </c>
      <c r="B65" s="5869" t="s">
        <v>16</v>
      </c>
      <c r="C65" s="5869" t="s">
        <v>2277</v>
      </c>
      <c r="D65" s="5869" t="s">
        <v>2278</v>
      </c>
      <c r="E65" s="5869" t="s">
        <v>2279</v>
      </c>
      <c r="F65" s="5869" t="s">
        <v>2280</v>
      </c>
      <c r="G65" s="5869" t="s">
        <v>2281</v>
      </c>
      <c r="H65" s="5869" t="s">
        <v>28</v>
      </c>
      <c r="I65" s="5869" t="s">
        <v>859</v>
      </c>
    </row>
    <row r="66" ht="11.25" customHeight="1">
      <c r="A66" s="5869" t="s">
        <v>2254</v>
      </c>
      <c r="B66" s="5869" t="s">
        <v>16</v>
      </c>
      <c r="C66" s="5869" t="s">
        <v>2282</v>
      </c>
      <c r="D66" s="5869" t="s">
        <v>2283</v>
      </c>
      <c r="E66" s="5869" t="s">
        <v>2284</v>
      </c>
      <c r="F66" s="5869" t="s">
        <v>2280</v>
      </c>
      <c r="G66" s="5869" t="s">
        <v>2285</v>
      </c>
      <c r="H66" s="5869" t="s">
        <v>28</v>
      </c>
      <c r="I66" s="5869" t="s">
        <v>859</v>
      </c>
    </row>
    <row r="67" ht="11.25" customHeight="1">
      <c r="A67" s="5869" t="s">
        <v>2254</v>
      </c>
      <c r="B67" s="5869" t="s">
        <v>16</v>
      </c>
      <c r="C67" s="5869" t="s">
        <v>2286</v>
      </c>
      <c r="D67" s="5869" t="s">
        <v>2287</v>
      </c>
      <c r="E67" s="5869" t="s">
        <v>2288</v>
      </c>
      <c r="F67" s="5869" t="s">
        <v>2273</v>
      </c>
      <c r="G67" s="5869" t="s">
        <v>2289</v>
      </c>
      <c r="H67" s="5869" t="s">
        <v>28</v>
      </c>
      <c r="I67" s="5869" t="s">
        <v>859</v>
      </c>
    </row>
    <row r="68" ht="11.25" customHeight="1">
      <c r="A68" s="5869" t="s">
        <v>2254</v>
      </c>
      <c r="B68" s="5869" t="s">
        <v>16</v>
      </c>
      <c r="C68" s="5869" t="s">
        <v>28</v>
      </c>
      <c r="D68" s="5869" t="s">
        <v>2294</v>
      </c>
      <c r="E68" s="5869" t="s">
        <v>2295</v>
      </c>
      <c r="F68" s="5869" t="s">
        <v>2280</v>
      </c>
      <c r="G68" s="5869" t="s">
        <v>28</v>
      </c>
      <c r="H68" s="5869" t="s">
        <v>28</v>
      </c>
      <c r="I68" s="5869" t="s">
        <v>859</v>
      </c>
    </row>
    <row r="69" ht="11.25" customHeight="1">
      <c r="A69" s="5869" t="s">
        <v>2254</v>
      </c>
      <c r="B69" s="5869" t="s">
        <v>16</v>
      </c>
      <c r="C69" s="5869" t="s">
        <v>2446</v>
      </c>
      <c r="D69" s="5869" t="s">
        <v>2447</v>
      </c>
      <c r="E69" s="5869" t="s">
        <v>2448</v>
      </c>
      <c r="F69" s="5869" t="s">
        <v>581</v>
      </c>
      <c r="G69" s="5869" t="s">
        <v>28</v>
      </c>
      <c r="H69" s="5869" t="s">
        <v>28</v>
      </c>
      <c r="I69" s="5869" t="s">
        <v>859</v>
      </c>
    </row>
    <row r="70" ht="11.25" customHeight="1">
      <c r="A70" s="5869" t="s">
        <v>2254</v>
      </c>
      <c r="B70" s="5869" t="s">
        <v>16</v>
      </c>
      <c r="C70" s="5869" t="s">
        <v>2449</v>
      </c>
      <c r="D70" s="5869" t="s">
        <v>2450</v>
      </c>
      <c r="E70" s="5869" t="s">
        <v>2451</v>
      </c>
      <c r="F70" s="5869" t="s">
        <v>2268</v>
      </c>
      <c r="G70" s="5869" t="s">
        <v>28</v>
      </c>
      <c r="H70" s="5869" t="s">
        <v>2452</v>
      </c>
      <c r="I70" s="5869" t="s">
        <v>859</v>
      </c>
    </row>
    <row r="71" ht="11.25" customHeight="1">
      <c r="A71" s="5869" t="s">
        <v>2254</v>
      </c>
      <c r="B71" s="5869" t="s">
        <v>16</v>
      </c>
      <c r="C71" s="5869" t="s">
        <v>2453</v>
      </c>
      <c r="D71" s="5869" t="s">
        <v>2454</v>
      </c>
      <c r="E71" s="5869" t="s">
        <v>2455</v>
      </c>
      <c r="F71" s="5869" t="s">
        <v>2280</v>
      </c>
      <c r="G71" s="5869" t="s">
        <v>2456</v>
      </c>
      <c r="H71" s="5869" t="s">
        <v>28</v>
      </c>
      <c r="I71" s="5869" t="s">
        <v>859</v>
      </c>
    </row>
    <row r="72" ht="11.25" customHeight="1">
      <c r="A72" s="5869" t="s">
        <v>2254</v>
      </c>
      <c r="B72" s="5869" t="s">
        <v>16</v>
      </c>
      <c r="C72" s="5869" t="s">
        <v>2457</v>
      </c>
      <c r="D72" s="5869" t="s">
        <v>2458</v>
      </c>
      <c r="E72" s="5869" t="s">
        <v>2459</v>
      </c>
      <c r="F72" s="5869" t="s">
        <v>2268</v>
      </c>
      <c r="G72" s="5869" t="s">
        <v>2460</v>
      </c>
      <c r="H72" s="5869" t="s">
        <v>2461</v>
      </c>
      <c r="I72" s="5869" t="s">
        <v>859</v>
      </c>
    </row>
    <row r="73" ht="11.25" customHeight="1">
      <c r="A73" s="5869" t="s">
        <v>2254</v>
      </c>
      <c r="B73" s="5869" t="s">
        <v>16</v>
      </c>
      <c r="C73" s="5869" t="s">
        <v>2296</v>
      </c>
      <c r="D73" s="5869" t="s">
        <v>2297</v>
      </c>
      <c r="E73" s="5869" t="s">
        <v>2298</v>
      </c>
      <c r="F73" s="5869" t="s">
        <v>2268</v>
      </c>
      <c r="G73" s="5869" t="s">
        <v>2299</v>
      </c>
      <c r="H73" s="5869" t="s">
        <v>28</v>
      </c>
      <c r="I73" s="5869" t="s">
        <v>859</v>
      </c>
    </row>
    <row r="74" ht="11.25" customHeight="1">
      <c r="A74" s="5869" t="s">
        <v>2254</v>
      </c>
      <c r="B74" s="5869" t="s">
        <v>16</v>
      </c>
      <c r="C74" s="5869" t="s">
        <v>2300</v>
      </c>
      <c r="D74" s="5869" t="s">
        <v>2301</v>
      </c>
      <c r="E74" s="5869" t="s">
        <v>2302</v>
      </c>
      <c r="F74" s="5869" t="s">
        <v>2303</v>
      </c>
      <c r="G74" s="5869" t="s">
        <v>2304</v>
      </c>
      <c r="H74" s="5869" t="s">
        <v>28</v>
      </c>
      <c r="I74" s="5869" t="s">
        <v>859</v>
      </c>
    </row>
    <row r="75" ht="11.25" customHeight="1">
      <c r="A75" s="5869" t="s">
        <v>2254</v>
      </c>
      <c r="B75" s="5869" t="s">
        <v>16</v>
      </c>
      <c r="C75" s="5869" t="s">
        <v>2462</v>
      </c>
      <c r="D75" s="5869" t="s">
        <v>2463</v>
      </c>
      <c r="E75" s="5869" t="s">
        <v>2464</v>
      </c>
      <c r="F75" s="5869" t="s">
        <v>2303</v>
      </c>
      <c r="G75" s="5869" t="s">
        <v>28</v>
      </c>
      <c r="H75" s="5869" t="s">
        <v>28</v>
      </c>
      <c r="I75" s="5869" t="s">
        <v>859</v>
      </c>
    </row>
    <row r="76" ht="11.25" customHeight="1">
      <c r="A76" s="5869" t="s">
        <v>2254</v>
      </c>
      <c r="B76" s="5869" t="s">
        <v>16</v>
      </c>
      <c r="C76" s="5869" t="s">
        <v>2309</v>
      </c>
      <c r="D76" s="5869" t="s">
        <v>2310</v>
      </c>
      <c r="E76" s="5869" t="s">
        <v>2311</v>
      </c>
      <c r="F76" s="5869" t="s">
        <v>2268</v>
      </c>
      <c r="G76" s="5869" t="s">
        <v>2312</v>
      </c>
      <c r="H76" s="5869" t="s">
        <v>28</v>
      </c>
      <c r="I76" s="5869" t="s">
        <v>859</v>
      </c>
    </row>
    <row r="77" ht="11.25" customHeight="1">
      <c r="A77" s="5869" t="s">
        <v>2254</v>
      </c>
      <c r="B77" s="5869" t="s">
        <v>16</v>
      </c>
      <c r="C77" s="5869" t="s">
        <v>2313</v>
      </c>
      <c r="D77" s="5869" t="s">
        <v>2314</v>
      </c>
      <c r="E77" s="5869" t="s">
        <v>2315</v>
      </c>
      <c r="F77" s="5869" t="s">
        <v>2273</v>
      </c>
      <c r="G77" s="5869" t="s">
        <v>2316</v>
      </c>
      <c r="H77" s="5869" t="s">
        <v>28</v>
      </c>
      <c r="I77" s="5869" t="s">
        <v>859</v>
      </c>
    </row>
    <row r="78" ht="11.25" customHeight="1">
      <c r="A78" s="5869" t="s">
        <v>2254</v>
      </c>
      <c r="B78" s="5869" t="s">
        <v>16</v>
      </c>
      <c r="C78" s="5869" t="s">
        <v>2317</v>
      </c>
      <c r="D78" s="5869" t="s">
        <v>2318</v>
      </c>
      <c r="E78" s="5869" t="s">
        <v>2319</v>
      </c>
      <c r="F78" s="5869" t="s">
        <v>2320</v>
      </c>
      <c r="G78" s="5869" t="s">
        <v>2321</v>
      </c>
      <c r="H78" s="5869" t="s">
        <v>28</v>
      </c>
      <c r="I78" s="5869" t="s">
        <v>859</v>
      </c>
    </row>
    <row r="79" ht="11.25" customHeight="1">
      <c r="A79" s="5869" t="s">
        <v>2254</v>
      </c>
      <c r="B79" s="5869" t="s">
        <v>16</v>
      </c>
      <c r="C79" s="5869" t="s">
        <v>2326</v>
      </c>
      <c r="D79" s="5869" t="s">
        <v>2327</v>
      </c>
      <c r="E79" s="5869" t="s">
        <v>2324</v>
      </c>
      <c r="F79" s="5869" t="s">
        <v>2328</v>
      </c>
      <c r="G79" s="5869" t="s">
        <v>2329</v>
      </c>
      <c r="H79" s="5869" t="s">
        <v>28</v>
      </c>
      <c r="I79" s="5869" t="s">
        <v>859</v>
      </c>
    </row>
    <row r="80" ht="11.25" customHeight="1">
      <c r="A80" s="5869" t="s">
        <v>2254</v>
      </c>
      <c r="B80" s="5869" t="s">
        <v>16</v>
      </c>
      <c r="C80" s="5869" t="s">
        <v>2330</v>
      </c>
      <c r="D80" s="5869" t="s">
        <v>2331</v>
      </c>
      <c r="E80" s="5869" t="s">
        <v>2332</v>
      </c>
      <c r="F80" s="5869" t="s">
        <v>2273</v>
      </c>
      <c r="G80" s="5869" t="s">
        <v>2333</v>
      </c>
      <c r="H80" s="5869" t="s">
        <v>28</v>
      </c>
      <c r="I80" s="5869" t="s">
        <v>859</v>
      </c>
    </row>
    <row r="81" ht="11.25" customHeight="1">
      <c r="A81" s="5869" t="s">
        <v>2254</v>
      </c>
      <c r="B81" s="5869" t="s">
        <v>16</v>
      </c>
      <c r="C81" s="5869" t="s">
        <v>2465</v>
      </c>
      <c r="D81" s="5869" t="s">
        <v>2466</v>
      </c>
      <c r="E81" s="5869" t="s">
        <v>2467</v>
      </c>
      <c r="F81" s="5869" t="s">
        <v>2468</v>
      </c>
      <c r="G81" s="5869" t="s">
        <v>28</v>
      </c>
      <c r="H81" s="5869" t="s">
        <v>28</v>
      </c>
      <c r="I81" s="5869" t="s">
        <v>859</v>
      </c>
    </row>
    <row r="82" ht="11.25" customHeight="1">
      <c r="A82" s="5869" t="s">
        <v>2254</v>
      </c>
      <c r="B82" s="5869" t="s">
        <v>16</v>
      </c>
      <c r="C82" s="5869" t="s">
        <v>2334</v>
      </c>
      <c r="D82" s="5869" t="s">
        <v>2335</v>
      </c>
      <c r="E82" s="5869" t="s">
        <v>2336</v>
      </c>
      <c r="F82" s="5869" t="s">
        <v>2337</v>
      </c>
      <c r="G82" s="5869" t="s">
        <v>28</v>
      </c>
      <c r="H82" s="5869" t="s">
        <v>2338</v>
      </c>
      <c r="I82" s="5869" t="s">
        <v>859</v>
      </c>
    </row>
    <row r="83" ht="11.25" customHeight="1">
      <c r="A83" s="5869" t="s">
        <v>2254</v>
      </c>
      <c r="B83" s="5869" t="s">
        <v>16</v>
      </c>
      <c r="C83" s="5869" t="s">
        <v>2469</v>
      </c>
      <c r="D83" s="5869" t="s">
        <v>2470</v>
      </c>
      <c r="E83" s="5869" t="s">
        <v>2471</v>
      </c>
      <c r="F83" s="5869" t="s">
        <v>2320</v>
      </c>
      <c r="G83" s="5869" t="s">
        <v>2472</v>
      </c>
      <c r="H83" s="5869" t="s">
        <v>2473</v>
      </c>
      <c r="I83" s="5869" t="s">
        <v>859</v>
      </c>
    </row>
    <row r="84" ht="11.25" customHeight="1">
      <c r="A84" s="5869" t="s">
        <v>2254</v>
      </c>
      <c r="B84" s="5869" t="s">
        <v>16</v>
      </c>
      <c r="C84" s="5869" t="s">
        <v>2474</v>
      </c>
      <c r="D84" s="5869" t="s">
        <v>2475</v>
      </c>
      <c r="E84" s="5869" t="s">
        <v>2476</v>
      </c>
      <c r="F84" s="5869" t="s">
        <v>2268</v>
      </c>
      <c r="G84" s="5869" t="s">
        <v>2477</v>
      </c>
      <c r="H84" s="5869" t="s">
        <v>28</v>
      </c>
      <c r="I84" s="5869" t="s">
        <v>859</v>
      </c>
    </row>
    <row r="85" ht="11.25" customHeight="1">
      <c r="A85" s="5869" t="s">
        <v>2254</v>
      </c>
      <c r="B85" s="5869" t="s">
        <v>16</v>
      </c>
      <c r="C85" s="5869" t="s">
        <v>2348</v>
      </c>
      <c r="D85" s="5869" t="s">
        <v>2349</v>
      </c>
      <c r="E85" s="5869" t="s">
        <v>2350</v>
      </c>
      <c r="F85" s="5869" t="s">
        <v>2337</v>
      </c>
      <c r="G85" s="5869" t="s">
        <v>2351</v>
      </c>
      <c r="H85" s="5869" t="s">
        <v>28</v>
      </c>
      <c r="I85" s="5869" t="s">
        <v>859</v>
      </c>
    </row>
    <row r="86" ht="11.25" customHeight="1">
      <c r="A86" s="5869" t="s">
        <v>2254</v>
      </c>
      <c r="B86" s="5869" t="s">
        <v>16</v>
      </c>
      <c r="C86" s="5869" t="s">
        <v>2478</v>
      </c>
      <c r="D86" s="5869" t="s">
        <v>2479</v>
      </c>
      <c r="E86" s="5869" t="s">
        <v>2480</v>
      </c>
      <c r="F86" s="5869" t="s">
        <v>2481</v>
      </c>
      <c r="G86" s="5869" t="s">
        <v>28</v>
      </c>
      <c r="H86" s="5869" t="s">
        <v>28</v>
      </c>
      <c r="I86" s="5869" t="s">
        <v>859</v>
      </c>
    </row>
    <row r="87" ht="11.25" customHeight="1">
      <c r="A87" s="5869" t="s">
        <v>2254</v>
      </c>
      <c r="B87" s="5869" t="s">
        <v>16</v>
      </c>
      <c r="C87" s="5869" t="s">
        <v>2352</v>
      </c>
      <c r="D87" s="5869" t="s">
        <v>2353</v>
      </c>
      <c r="E87" s="5869" t="s">
        <v>2354</v>
      </c>
      <c r="F87" s="5869" t="s">
        <v>2268</v>
      </c>
      <c r="G87" s="5869" t="s">
        <v>2355</v>
      </c>
      <c r="H87" s="5869" t="s">
        <v>28</v>
      </c>
      <c r="I87" s="5869" t="s">
        <v>859</v>
      </c>
    </row>
    <row r="88" ht="11.25" customHeight="1">
      <c r="A88" s="5869" t="s">
        <v>2254</v>
      </c>
      <c r="B88" s="5869" t="s">
        <v>16</v>
      </c>
      <c r="C88" s="5869" t="s">
        <v>2356</v>
      </c>
      <c r="D88" s="5869" t="s">
        <v>2357</v>
      </c>
      <c r="E88" s="5869" t="s">
        <v>2358</v>
      </c>
      <c r="F88" s="5869" t="s">
        <v>2345</v>
      </c>
      <c r="G88" s="5869" t="s">
        <v>2359</v>
      </c>
      <c r="H88" s="5869" t="s">
        <v>28</v>
      </c>
      <c r="I88" s="5869" t="s">
        <v>859</v>
      </c>
    </row>
    <row r="89" ht="11.25" customHeight="1">
      <c r="A89" s="5869" t="s">
        <v>2254</v>
      </c>
      <c r="B89" s="5869" t="s">
        <v>16</v>
      </c>
      <c r="C89" s="5869" t="s">
        <v>2482</v>
      </c>
      <c r="D89" s="5869" t="s">
        <v>2483</v>
      </c>
      <c r="E89" s="5869" t="s">
        <v>2484</v>
      </c>
      <c r="F89" s="5869" t="s">
        <v>2268</v>
      </c>
      <c r="G89" s="5869" t="s">
        <v>28</v>
      </c>
      <c r="H89" s="5869" t="s">
        <v>2485</v>
      </c>
      <c r="I89" s="5869" t="s">
        <v>859</v>
      </c>
    </row>
    <row r="90" ht="11.25" customHeight="1">
      <c r="A90" s="5869" t="s">
        <v>2254</v>
      </c>
      <c r="B90" s="5869" t="s">
        <v>16</v>
      </c>
      <c r="C90" s="5869" t="s">
        <v>2486</v>
      </c>
      <c r="D90" s="5869" t="s">
        <v>2487</v>
      </c>
      <c r="E90" s="5869" t="s">
        <v>2488</v>
      </c>
      <c r="F90" s="5869" t="s">
        <v>2345</v>
      </c>
      <c r="G90" s="5869" t="s">
        <v>2489</v>
      </c>
      <c r="H90" s="5869" t="s">
        <v>28</v>
      </c>
      <c r="I90" s="5869" t="s">
        <v>859</v>
      </c>
    </row>
    <row r="91" ht="11.25" customHeight="1">
      <c r="A91" s="5869" t="s">
        <v>2254</v>
      </c>
      <c r="B91" s="5869" t="s">
        <v>16</v>
      </c>
      <c r="C91" s="5869" t="s">
        <v>2490</v>
      </c>
      <c r="D91" s="5869" t="s">
        <v>2491</v>
      </c>
      <c r="E91" s="5869" t="s">
        <v>2492</v>
      </c>
      <c r="F91" s="5869" t="s">
        <v>2392</v>
      </c>
      <c r="G91" s="5869" t="s">
        <v>2493</v>
      </c>
      <c r="H91" s="5869" t="s">
        <v>28</v>
      </c>
      <c r="I91" s="5869" t="s">
        <v>859</v>
      </c>
    </row>
    <row r="92" ht="11.25" customHeight="1">
      <c r="A92" s="5869" t="s">
        <v>2254</v>
      </c>
      <c r="B92" s="5869" t="s">
        <v>16</v>
      </c>
      <c r="C92" s="5869" t="s">
        <v>2364</v>
      </c>
      <c r="D92" s="5869" t="s">
        <v>2365</v>
      </c>
      <c r="E92" s="5869" t="s">
        <v>2366</v>
      </c>
      <c r="F92" s="5869" t="s">
        <v>2268</v>
      </c>
      <c r="G92" s="5869" t="s">
        <v>2367</v>
      </c>
      <c r="H92" s="5869" t="s">
        <v>28</v>
      </c>
      <c r="I92" s="5869" t="s">
        <v>859</v>
      </c>
    </row>
    <row r="93" ht="11.25" customHeight="1">
      <c r="A93" s="5869" t="s">
        <v>2254</v>
      </c>
      <c r="B93" s="5869" t="s">
        <v>16</v>
      </c>
      <c r="C93" s="5869" t="s">
        <v>2494</v>
      </c>
      <c r="D93" s="5869" t="s">
        <v>2495</v>
      </c>
      <c r="E93" s="5869" t="s">
        <v>2496</v>
      </c>
      <c r="F93" s="5869" t="s">
        <v>2468</v>
      </c>
      <c r="G93" s="5869" t="s">
        <v>2497</v>
      </c>
      <c r="H93" s="5869" t="s">
        <v>28</v>
      </c>
      <c r="I93" s="5869" t="s">
        <v>859</v>
      </c>
    </row>
    <row r="94" ht="11.25" customHeight="1">
      <c r="A94" s="5869" t="s">
        <v>2254</v>
      </c>
      <c r="B94" s="5869" t="s">
        <v>16</v>
      </c>
      <c r="C94" s="5869" t="s">
        <v>2498</v>
      </c>
      <c r="D94" s="5869" t="s">
        <v>2499</v>
      </c>
      <c r="E94" s="5869" t="s">
        <v>2500</v>
      </c>
      <c r="F94" s="5869" t="s">
        <v>2345</v>
      </c>
      <c r="G94" s="5869" t="s">
        <v>2501</v>
      </c>
      <c r="H94" s="5869" t="s">
        <v>2502</v>
      </c>
      <c r="I94" s="5869" t="s">
        <v>859</v>
      </c>
    </row>
    <row r="95" ht="11.25" customHeight="1">
      <c r="A95" s="5869" t="s">
        <v>2254</v>
      </c>
      <c r="B95" s="5869" t="s">
        <v>16</v>
      </c>
      <c r="C95" s="5869" t="s">
        <v>2368</v>
      </c>
      <c r="D95" s="5869" t="s">
        <v>2369</v>
      </c>
      <c r="E95" s="5869" t="s">
        <v>2370</v>
      </c>
      <c r="F95" s="5869" t="s">
        <v>2345</v>
      </c>
      <c r="G95" s="5869" t="s">
        <v>2371</v>
      </c>
      <c r="H95" s="5869" t="s">
        <v>28</v>
      </c>
      <c r="I95" s="5869" t="s">
        <v>859</v>
      </c>
    </row>
    <row r="96" ht="11.25" customHeight="1">
      <c r="A96" s="5869" t="s">
        <v>2254</v>
      </c>
      <c r="B96" s="5869" t="s">
        <v>16</v>
      </c>
      <c r="C96" s="5869" t="s">
        <v>2372</v>
      </c>
      <c r="D96" s="5869" t="s">
        <v>2373</v>
      </c>
      <c r="E96" s="5869" t="s">
        <v>2374</v>
      </c>
      <c r="F96" s="5869" t="s">
        <v>2268</v>
      </c>
      <c r="G96" s="5869" t="s">
        <v>2375</v>
      </c>
      <c r="H96" s="5869" t="s">
        <v>2376</v>
      </c>
      <c r="I96" s="5869" t="s">
        <v>859</v>
      </c>
    </row>
    <row r="97" ht="11.25" customHeight="1">
      <c r="A97" s="5869" t="s">
        <v>2254</v>
      </c>
      <c r="B97" s="5869" t="s">
        <v>16</v>
      </c>
      <c r="C97" s="5869" t="s">
        <v>2377</v>
      </c>
      <c r="D97" s="5869" t="s">
        <v>2378</v>
      </c>
      <c r="E97" s="5869" t="s">
        <v>2379</v>
      </c>
      <c r="F97" s="5869" t="s">
        <v>2268</v>
      </c>
      <c r="G97" s="5869" t="s">
        <v>2380</v>
      </c>
      <c r="H97" s="5869" t="s">
        <v>2381</v>
      </c>
      <c r="I97" s="5869" t="s">
        <v>859</v>
      </c>
    </row>
    <row r="98" ht="11.25" customHeight="1">
      <c r="A98" s="5869" t="s">
        <v>2254</v>
      </c>
      <c r="B98" s="5869" t="s">
        <v>16</v>
      </c>
      <c r="C98" s="5869" t="s">
        <v>2503</v>
      </c>
      <c r="D98" s="5869" t="s">
        <v>2504</v>
      </c>
      <c r="E98" s="5869" t="s">
        <v>2505</v>
      </c>
      <c r="F98" s="5869" t="s">
        <v>2280</v>
      </c>
      <c r="G98" s="5869" t="s">
        <v>28</v>
      </c>
      <c r="H98" s="5869" t="s">
        <v>28</v>
      </c>
      <c r="I98" s="5869" t="s">
        <v>859</v>
      </c>
    </row>
    <row r="99" ht="11.25" customHeight="1">
      <c r="A99" s="5869" t="s">
        <v>2254</v>
      </c>
      <c r="B99" s="5869" t="s">
        <v>16</v>
      </c>
      <c r="C99" s="5869" t="s">
        <v>2382</v>
      </c>
      <c r="D99" s="5869" t="s">
        <v>2383</v>
      </c>
      <c r="E99" s="5869" t="s">
        <v>2384</v>
      </c>
      <c r="F99" s="5869" t="s">
        <v>2273</v>
      </c>
      <c r="G99" s="5869" t="s">
        <v>2385</v>
      </c>
      <c r="H99" s="5869" t="s">
        <v>28</v>
      </c>
      <c r="I99" s="5869" t="s">
        <v>859</v>
      </c>
    </row>
    <row r="100" ht="11.25" customHeight="1">
      <c r="A100" s="5869" t="s">
        <v>2254</v>
      </c>
      <c r="B100" s="5869" t="s">
        <v>16</v>
      </c>
      <c r="C100" s="5869" t="s">
        <v>2389</v>
      </c>
      <c r="D100" s="5869" t="s">
        <v>2390</v>
      </c>
      <c r="E100" s="5869" t="s">
        <v>2391</v>
      </c>
      <c r="F100" s="5869" t="s">
        <v>2392</v>
      </c>
      <c r="G100" s="5869" t="s">
        <v>2393</v>
      </c>
      <c r="H100" s="5869" t="s">
        <v>28</v>
      </c>
      <c r="I100" s="5869" t="s">
        <v>859</v>
      </c>
    </row>
    <row r="101" ht="11.25" customHeight="1">
      <c r="A101" s="5869" t="s">
        <v>2254</v>
      </c>
      <c r="B101" s="5869" t="s">
        <v>16</v>
      </c>
      <c r="C101" s="5869" t="s">
        <v>2394</v>
      </c>
      <c r="D101" s="5869" t="s">
        <v>2395</v>
      </c>
      <c r="E101" s="5869" t="s">
        <v>2396</v>
      </c>
      <c r="F101" s="5869" t="s">
        <v>2273</v>
      </c>
      <c r="G101" s="5869" t="s">
        <v>2397</v>
      </c>
      <c r="H101" s="5869" t="s">
        <v>28</v>
      </c>
      <c r="I101" s="5869" t="s">
        <v>859</v>
      </c>
    </row>
    <row r="102" ht="11.25" customHeight="1">
      <c r="A102" s="5869" t="s">
        <v>2254</v>
      </c>
      <c r="B102" s="5869" t="s">
        <v>16</v>
      </c>
      <c r="C102" s="5869" t="s">
        <v>2409</v>
      </c>
      <c r="D102" s="5869" t="s">
        <v>2410</v>
      </c>
      <c r="E102" s="5869" t="s">
        <v>2411</v>
      </c>
      <c r="F102" s="5869" t="s">
        <v>2268</v>
      </c>
      <c r="G102" s="5869" t="s">
        <v>2412</v>
      </c>
      <c r="H102" s="5869" t="s">
        <v>2413</v>
      </c>
      <c r="I102" s="5869" t="s">
        <v>859</v>
      </c>
    </row>
    <row r="103" ht="11.25" customHeight="1">
      <c r="A103" s="5869" t="s">
        <v>2254</v>
      </c>
      <c r="B103" s="5869" t="s">
        <v>16</v>
      </c>
      <c r="C103" s="5869" t="s">
        <v>2414</v>
      </c>
      <c r="D103" s="5869" t="s">
        <v>2415</v>
      </c>
      <c r="E103" s="5869" t="s">
        <v>2416</v>
      </c>
      <c r="F103" s="5869" t="s">
        <v>2417</v>
      </c>
      <c r="G103" s="5869" t="s">
        <v>28</v>
      </c>
      <c r="H103" s="5869" t="s">
        <v>28</v>
      </c>
      <c r="I103" s="5869" t="s">
        <v>859</v>
      </c>
    </row>
    <row r="104" ht="11.25" customHeight="1">
      <c r="A104" s="5869" t="s">
        <v>2254</v>
      </c>
      <c r="B104" s="5869" t="s">
        <v>16</v>
      </c>
      <c r="C104" s="5869" t="s">
        <v>2418</v>
      </c>
      <c r="D104" s="5869" t="s">
        <v>2419</v>
      </c>
      <c r="E104" s="5869" t="s">
        <v>2420</v>
      </c>
      <c r="F104" s="5869" t="s">
        <v>2421</v>
      </c>
      <c r="G104" s="5869" t="s">
        <v>28</v>
      </c>
      <c r="H104" s="5869" t="s">
        <v>28</v>
      </c>
      <c r="I104" s="5869" t="s">
        <v>859</v>
      </c>
    </row>
    <row r="105" ht="11.25" customHeight="1">
      <c r="A105" s="5869" t="s">
        <v>2254</v>
      </c>
      <c r="B105" s="5869" t="s">
        <v>16</v>
      </c>
      <c r="C105" s="5869" t="s">
        <v>2422</v>
      </c>
      <c r="D105" s="5869" t="s">
        <v>2423</v>
      </c>
      <c r="E105" s="5869" t="s">
        <v>2420</v>
      </c>
      <c r="F105" s="5869" t="s">
        <v>2424</v>
      </c>
      <c r="G105" s="5869" t="s">
        <v>2425</v>
      </c>
      <c r="H105" s="5869" t="s">
        <v>28</v>
      </c>
      <c r="I105" s="5869" t="s">
        <v>859</v>
      </c>
    </row>
    <row r="106" ht="11.25" customHeight="1">
      <c r="A106" s="5869" t="s">
        <v>2254</v>
      </c>
      <c r="B106" s="5869" t="s">
        <v>16</v>
      </c>
      <c r="C106" s="5869" t="s">
        <v>2255</v>
      </c>
      <c r="D106" s="5869" t="s">
        <v>2256</v>
      </c>
      <c r="E106" s="5869" t="s">
        <v>2257</v>
      </c>
      <c r="F106" s="5869" t="s">
        <v>2258</v>
      </c>
      <c r="G106" s="5869" t="s">
        <v>2259</v>
      </c>
      <c r="H106" s="5869" t="s">
        <v>28</v>
      </c>
      <c r="I106" s="5869" t="s">
        <v>912</v>
      </c>
    </row>
    <row r="107" ht="11.25" customHeight="1">
      <c r="A107" s="5869" t="s">
        <v>2254</v>
      </c>
      <c r="B107" s="5869" t="s">
        <v>16</v>
      </c>
      <c r="C107" s="5869" t="s">
        <v>2277</v>
      </c>
      <c r="D107" s="5869" t="s">
        <v>2278</v>
      </c>
      <c r="E107" s="5869" t="s">
        <v>2279</v>
      </c>
      <c r="F107" s="5869" t="s">
        <v>2280</v>
      </c>
      <c r="G107" s="5869" t="s">
        <v>2281</v>
      </c>
      <c r="H107" s="5869" t="s">
        <v>28</v>
      </c>
      <c r="I107" s="5869" t="s">
        <v>912</v>
      </c>
    </row>
    <row r="108" ht="11.25" customHeight="1">
      <c r="A108" s="5869" t="s">
        <v>2254</v>
      </c>
      <c r="B108" s="5869" t="s">
        <v>16</v>
      </c>
      <c r="C108" s="5869" t="s">
        <v>2282</v>
      </c>
      <c r="D108" s="5869" t="s">
        <v>2283</v>
      </c>
      <c r="E108" s="5869" t="s">
        <v>2284</v>
      </c>
      <c r="F108" s="5869" t="s">
        <v>2280</v>
      </c>
      <c r="G108" s="5869" t="s">
        <v>2285</v>
      </c>
      <c r="H108" s="5869" t="s">
        <v>28</v>
      </c>
      <c r="I108" s="5869" t="s">
        <v>912</v>
      </c>
    </row>
    <row r="109" ht="11.25" customHeight="1">
      <c r="A109" s="5869" t="s">
        <v>2254</v>
      </c>
      <c r="B109" s="5869" t="s">
        <v>16</v>
      </c>
      <c r="C109" s="5869" t="s">
        <v>2286</v>
      </c>
      <c r="D109" s="5869" t="s">
        <v>2287</v>
      </c>
      <c r="E109" s="5869" t="s">
        <v>2288</v>
      </c>
      <c r="F109" s="5869" t="s">
        <v>2273</v>
      </c>
      <c r="G109" s="5869" t="s">
        <v>2289</v>
      </c>
      <c r="H109" s="5869" t="s">
        <v>28</v>
      </c>
      <c r="I109" s="5869" t="s">
        <v>912</v>
      </c>
    </row>
    <row r="110" ht="11.25" customHeight="1">
      <c r="A110" s="5869" t="s">
        <v>2254</v>
      </c>
      <c r="B110" s="5869" t="s">
        <v>16</v>
      </c>
      <c r="C110" s="5869" t="s">
        <v>28</v>
      </c>
      <c r="D110" s="5869" t="s">
        <v>2294</v>
      </c>
      <c r="E110" s="5869" t="s">
        <v>2295</v>
      </c>
      <c r="F110" s="5869" t="s">
        <v>2280</v>
      </c>
      <c r="G110" s="5869" t="s">
        <v>28</v>
      </c>
      <c r="H110" s="5869" t="s">
        <v>28</v>
      </c>
      <c r="I110" s="5869" t="s">
        <v>912</v>
      </c>
    </row>
    <row r="111" ht="11.25" customHeight="1">
      <c r="A111" s="5869" t="s">
        <v>2254</v>
      </c>
      <c r="B111" s="5869" t="s">
        <v>16</v>
      </c>
      <c r="C111" s="5869" t="s">
        <v>2449</v>
      </c>
      <c r="D111" s="5869" t="s">
        <v>2450</v>
      </c>
      <c r="E111" s="5869" t="s">
        <v>2451</v>
      </c>
      <c r="F111" s="5869" t="s">
        <v>2268</v>
      </c>
      <c r="G111" s="5869" t="s">
        <v>28</v>
      </c>
      <c r="H111" s="5869" t="s">
        <v>2452</v>
      </c>
      <c r="I111" s="5869" t="s">
        <v>912</v>
      </c>
    </row>
    <row r="112" ht="11.25" customHeight="1">
      <c r="A112" s="5869" t="s">
        <v>2254</v>
      </c>
      <c r="B112" s="5869" t="s">
        <v>16</v>
      </c>
      <c r="C112" s="5869" t="s">
        <v>2453</v>
      </c>
      <c r="D112" s="5869" t="s">
        <v>2454</v>
      </c>
      <c r="E112" s="5869" t="s">
        <v>2455</v>
      </c>
      <c r="F112" s="5869" t="s">
        <v>2280</v>
      </c>
      <c r="G112" s="5869" t="s">
        <v>2456</v>
      </c>
      <c r="H112" s="5869" t="s">
        <v>28</v>
      </c>
      <c r="I112" s="5869" t="s">
        <v>912</v>
      </c>
    </row>
    <row r="113" ht="11.25" customHeight="1">
      <c r="A113" s="5869" t="s">
        <v>2254</v>
      </c>
      <c r="B113" s="5869" t="s">
        <v>16</v>
      </c>
      <c r="C113" s="5869" t="s">
        <v>2457</v>
      </c>
      <c r="D113" s="5869" t="s">
        <v>2458</v>
      </c>
      <c r="E113" s="5869" t="s">
        <v>2459</v>
      </c>
      <c r="F113" s="5869" t="s">
        <v>2268</v>
      </c>
      <c r="G113" s="5869" t="s">
        <v>2460</v>
      </c>
      <c r="H113" s="5869" t="s">
        <v>2461</v>
      </c>
      <c r="I113" s="5869" t="s">
        <v>912</v>
      </c>
    </row>
    <row r="114" ht="11.25" customHeight="1">
      <c r="A114" s="5869" t="s">
        <v>2254</v>
      </c>
      <c r="B114" s="5869" t="s">
        <v>16</v>
      </c>
      <c r="C114" s="5869" t="s">
        <v>2296</v>
      </c>
      <c r="D114" s="5869" t="s">
        <v>2297</v>
      </c>
      <c r="E114" s="5869" t="s">
        <v>2298</v>
      </c>
      <c r="F114" s="5869" t="s">
        <v>2268</v>
      </c>
      <c r="G114" s="5869" t="s">
        <v>2299</v>
      </c>
      <c r="H114" s="5869" t="s">
        <v>28</v>
      </c>
      <c r="I114" s="5869" t="s">
        <v>912</v>
      </c>
    </row>
    <row r="115" ht="11.25" customHeight="1">
      <c r="A115" s="5869" t="s">
        <v>2254</v>
      </c>
      <c r="B115" s="5869" t="s">
        <v>16</v>
      </c>
      <c r="C115" s="5869" t="s">
        <v>2300</v>
      </c>
      <c r="D115" s="5869" t="s">
        <v>2301</v>
      </c>
      <c r="E115" s="5869" t="s">
        <v>2302</v>
      </c>
      <c r="F115" s="5869" t="s">
        <v>2303</v>
      </c>
      <c r="G115" s="5869" t="s">
        <v>2304</v>
      </c>
      <c r="H115" s="5869" t="s">
        <v>28</v>
      </c>
      <c r="I115" s="5869" t="s">
        <v>912</v>
      </c>
    </row>
    <row r="116" ht="11.25" customHeight="1">
      <c r="A116" s="5869" t="s">
        <v>2254</v>
      </c>
      <c r="B116" s="5869" t="s">
        <v>16</v>
      </c>
      <c r="C116" s="5869" t="s">
        <v>2462</v>
      </c>
      <c r="D116" s="5869" t="s">
        <v>2463</v>
      </c>
      <c r="E116" s="5869" t="s">
        <v>2464</v>
      </c>
      <c r="F116" s="5869" t="s">
        <v>2303</v>
      </c>
      <c r="G116" s="5869" t="s">
        <v>28</v>
      </c>
      <c r="H116" s="5869" t="s">
        <v>28</v>
      </c>
      <c r="I116" s="5869" t="s">
        <v>912</v>
      </c>
    </row>
    <row r="117" ht="11.25" customHeight="1">
      <c r="A117" s="5869" t="s">
        <v>2254</v>
      </c>
      <c r="B117" s="5869" t="s">
        <v>16</v>
      </c>
      <c r="C117" s="5869" t="s">
        <v>2309</v>
      </c>
      <c r="D117" s="5869" t="s">
        <v>2310</v>
      </c>
      <c r="E117" s="5869" t="s">
        <v>2311</v>
      </c>
      <c r="F117" s="5869" t="s">
        <v>2268</v>
      </c>
      <c r="G117" s="5869" t="s">
        <v>2312</v>
      </c>
      <c r="H117" s="5869" t="s">
        <v>28</v>
      </c>
      <c r="I117" s="5869" t="s">
        <v>912</v>
      </c>
    </row>
    <row r="118" ht="11.25" customHeight="1">
      <c r="A118" s="5869" t="s">
        <v>2254</v>
      </c>
      <c r="B118" s="5869" t="s">
        <v>16</v>
      </c>
      <c r="C118" s="5869" t="s">
        <v>2313</v>
      </c>
      <c r="D118" s="5869" t="s">
        <v>2314</v>
      </c>
      <c r="E118" s="5869" t="s">
        <v>2315</v>
      </c>
      <c r="F118" s="5869" t="s">
        <v>2273</v>
      </c>
      <c r="G118" s="5869" t="s">
        <v>2316</v>
      </c>
      <c r="H118" s="5869" t="s">
        <v>28</v>
      </c>
      <c r="I118" s="5869" t="s">
        <v>912</v>
      </c>
    </row>
    <row r="119" ht="11.25" customHeight="1">
      <c r="A119" s="5869" t="s">
        <v>2254</v>
      </c>
      <c r="B119" s="5869" t="s">
        <v>16</v>
      </c>
      <c r="C119" s="5869" t="s">
        <v>2317</v>
      </c>
      <c r="D119" s="5869" t="s">
        <v>2318</v>
      </c>
      <c r="E119" s="5869" t="s">
        <v>2319</v>
      </c>
      <c r="F119" s="5869" t="s">
        <v>2320</v>
      </c>
      <c r="G119" s="5869" t="s">
        <v>2321</v>
      </c>
      <c r="H119" s="5869" t="s">
        <v>28</v>
      </c>
      <c r="I119" s="5869" t="s">
        <v>912</v>
      </c>
    </row>
    <row r="120" ht="11.25" customHeight="1">
      <c r="A120" s="5869" t="s">
        <v>2254</v>
      </c>
      <c r="B120" s="5869" t="s">
        <v>16</v>
      </c>
      <c r="C120" s="5869" t="s">
        <v>2330</v>
      </c>
      <c r="D120" s="5869" t="s">
        <v>2331</v>
      </c>
      <c r="E120" s="5869" t="s">
        <v>2332</v>
      </c>
      <c r="F120" s="5869" t="s">
        <v>2273</v>
      </c>
      <c r="G120" s="5869" t="s">
        <v>2333</v>
      </c>
      <c r="H120" s="5869" t="s">
        <v>28</v>
      </c>
      <c r="I120" s="5869" t="s">
        <v>912</v>
      </c>
    </row>
    <row r="121" ht="11.25" customHeight="1">
      <c r="A121" s="5869" t="s">
        <v>2254</v>
      </c>
      <c r="B121" s="5869" t="s">
        <v>16</v>
      </c>
      <c r="C121" s="5869" t="s">
        <v>2465</v>
      </c>
      <c r="D121" s="5869" t="s">
        <v>2466</v>
      </c>
      <c r="E121" s="5869" t="s">
        <v>2467</v>
      </c>
      <c r="F121" s="5869" t="s">
        <v>2468</v>
      </c>
      <c r="G121" s="5869" t="s">
        <v>28</v>
      </c>
      <c r="H121" s="5869" t="s">
        <v>28</v>
      </c>
      <c r="I121" s="5869" t="s">
        <v>912</v>
      </c>
    </row>
    <row r="122" ht="11.25" customHeight="1">
      <c r="A122" s="5869" t="s">
        <v>2254</v>
      </c>
      <c r="B122" s="5869" t="s">
        <v>16</v>
      </c>
      <c r="C122" s="5869" t="s">
        <v>2334</v>
      </c>
      <c r="D122" s="5869" t="s">
        <v>2335</v>
      </c>
      <c r="E122" s="5869" t="s">
        <v>2336</v>
      </c>
      <c r="F122" s="5869" t="s">
        <v>2337</v>
      </c>
      <c r="G122" s="5869" t="s">
        <v>28</v>
      </c>
      <c r="H122" s="5869" t="s">
        <v>2338</v>
      </c>
      <c r="I122" s="5869" t="s">
        <v>912</v>
      </c>
    </row>
    <row r="123" ht="11.25" customHeight="1">
      <c r="A123" s="5869" t="s">
        <v>2254</v>
      </c>
      <c r="B123" s="5869" t="s">
        <v>16</v>
      </c>
      <c r="C123" s="5869" t="s">
        <v>2469</v>
      </c>
      <c r="D123" s="5869" t="s">
        <v>2470</v>
      </c>
      <c r="E123" s="5869" t="s">
        <v>2471</v>
      </c>
      <c r="F123" s="5869" t="s">
        <v>2320</v>
      </c>
      <c r="G123" s="5869" t="s">
        <v>2472</v>
      </c>
      <c r="H123" s="5869" t="s">
        <v>2473</v>
      </c>
      <c r="I123" s="5869" t="s">
        <v>912</v>
      </c>
    </row>
    <row r="124" ht="11.25" customHeight="1">
      <c r="A124" s="5869" t="s">
        <v>2254</v>
      </c>
      <c r="B124" s="5869" t="s">
        <v>16</v>
      </c>
      <c r="C124" s="5869" t="s">
        <v>2348</v>
      </c>
      <c r="D124" s="5869" t="s">
        <v>2349</v>
      </c>
      <c r="E124" s="5869" t="s">
        <v>2350</v>
      </c>
      <c r="F124" s="5869" t="s">
        <v>2337</v>
      </c>
      <c r="G124" s="5869" t="s">
        <v>2351</v>
      </c>
      <c r="H124" s="5869" t="s">
        <v>28</v>
      </c>
      <c r="I124" s="5869" t="s">
        <v>912</v>
      </c>
    </row>
    <row r="125" ht="11.25" customHeight="1">
      <c r="A125" s="5869" t="s">
        <v>2254</v>
      </c>
      <c r="B125" s="5869" t="s">
        <v>16</v>
      </c>
      <c r="C125" s="5869" t="s">
        <v>2478</v>
      </c>
      <c r="D125" s="5869" t="s">
        <v>2479</v>
      </c>
      <c r="E125" s="5869" t="s">
        <v>2480</v>
      </c>
      <c r="F125" s="5869" t="s">
        <v>2481</v>
      </c>
      <c r="G125" s="5869" t="s">
        <v>28</v>
      </c>
      <c r="H125" s="5869" t="s">
        <v>28</v>
      </c>
      <c r="I125" s="5869" t="s">
        <v>912</v>
      </c>
    </row>
    <row r="126" ht="11.25" customHeight="1">
      <c r="A126" s="5869" t="s">
        <v>2254</v>
      </c>
      <c r="B126" s="5869" t="s">
        <v>16</v>
      </c>
      <c r="C126" s="5869" t="s">
        <v>2352</v>
      </c>
      <c r="D126" s="5869" t="s">
        <v>2353</v>
      </c>
      <c r="E126" s="5869" t="s">
        <v>2354</v>
      </c>
      <c r="F126" s="5869" t="s">
        <v>2268</v>
      </c>
      <c r="G126" s="5869" t="s">
        <v>2355</v>
      </c>
      <c r="H126" s="5869" t="s">
        <v>28</v>
      </c>
      <c r="I126" s="5869" t="s">
        <v>912</v>
      </c>
    </row>
    <row r="127" ht="11.25" customHeight="1">
      <c r="A127" s="5869" t="s">
        <v>2254</v>
      </c>
      <c r="B127" s="5869" t="s">
        <v>16</v>
      </c>
      <c r="C127" s="5869" t="s">
        <v>2356</v>
      </c>
      <c r="D127" s="5869" t="s">
        <v>2357</v>
      </c>
      <c r="E127" s="5869" t="s">
        <v>2358</v>
      </c>
      <c r="F127" s="5869" t="s">
        <v>2345</v>
      </c>
      <c r="G127" s="5869" t="s">
        <v>2359</v>
      </c>
      <c r="H127" s="5869" t="s">
        <v>28</v>
      </c>
      <c r="I127" s="5869" t="s">
        <v>912</v>
      </c>
    </row>
    <row r="128" ht="11.25" customHeight="1">
      <c r="A128" s="5869" t="s">
        <v>2254</v>
      </c>
      <c r="B128" s="5869" t="s">
        <v>16</v>
      </c>
      <c r="C128" s="5869" t="s">
        <v>2482</v>
      </c>
      <c r="D128" s="5869" t="s">
        <v>2483</v>
      </c>
      <c r="E128" s="5869" t="s">
        <v>2484</v>
      </c>
      <c r="F128" s="5869" t="s">
        <v>2268</v>
      </c>
      <c r="G128" s="5869" t="s">
        <v>28</v>
      </c>
      <c r="H128" s="5869" t="s">
        <v>2485</v>
      </c>
      <c r="I128" s="5869" t="s">
        <v>912</v>
      </c>
    </row>
    <row r="129" ht="11.25" customHeight="1">
      <c r="A129" s="5869" t="s">
        <v>2254</v>
      </c>
      <c r="B129" s="5869" t="s">
        <v>16</v>
      </c>
      <c r="C129" s="5869" t="s">
        <v>2490</v>
      </c>
      <c r="D129" s="5869" t="s">
        <v>2491</v>
      </c>
      <c r="E129" s="5869" t="s">
        <v>2492</v>
      </c>
      <c r="F129" s="5869" t="s">
        <v>2392</v>
      </c>
      <c r="G129" s="5869" t="s">
        <v>2493</v>
      </c>
      <c r="H129" s="5869" t="s">
        <v>28</v>
      </c>
      <c r="I129" s="5869" t="s">
        <v>912</v>
      </c>
    </row>
    <row r="130" ht="11.25" customHeight="1">
      <c r="A130" s="5869" t="s">
        <v>2254</v>
      </c>
      <c r="B130" s="5869" t="s">
        <v>16</v>
      </c>
      <c r="C130" s="5869" t="s">
        <v>2494</v>
      </c>
      <c r="D130" s="5869" t="s">
        <v>2495</v>
      </c>
      <c r="E130" s="5869" t="s">
        <v>2496</v>
      </c>
      <c r="F130" s="5869" t="s">
        <v>2468</v>
      </c>
      <c r="G130" s="5869" t="s">
        <v>2497</v>
      </c>
      <c r="H130" s="5869" t="s">
        <v>28</v>
      </c>
      <c r="I130" s="5869" t="s">
        <v>912</v>
      </c>
    </row>
    <row r="131" ht="11.25" customHeight="1">
      <c r="A131" s="5869" t="s">
        <v>2254</v>
      </c>
      <c r="B131" s="5869" t="s">
        <v>16</v>
      </c>
      <c r="C131" s="5869" t="s">
        <v>2498</v>
      </c>
      <c r="D131" s="5869" t="s">
        <v>2499</v>
      </c>
      <c r="E131" s="5869" t="s">
        <v>2500</v>
      </c>
      <c r="F131" s="5869" t="s">
        <v>2345</v>
      </c>
      <c r="G131" s="5869" t="s">
        <v>2501</v>
      </c>
      <c r="H131" s="5869" t="s">
        <v>2502</v>
      </c>
      <c r="I131" s="5869" t="s">
        <v>912</v>
      </c>
    </row>
    <row r="132" ht="11.25" customHeight="1">
      <c r="A132" s="5869" t="s">
        <v>2254</v>
      </c>
      <c r="B132" s="5869" t="s">
        <v>16</v>
      </c>
      <c r="C132" s="5869" t="s">
        <v>2368</v>
      </c>
      <c r="D132" s="5869" t="s">
        <v>2369</v>
      </c>
      <c r="E132" s="5869" t="s">
        <v>2370</v>
      </c>
      <c r="F132" s="5869" t="s">
        <v>2345</v>
      </c>
      <c r="G132" s="5869" t="s">
        <v>2371</v>
      </c>
      <c r="H132" s="5869" t="s">
        <v>28</v>
      </c>
      <c r="I132" s="5869" t="s">
        <v>912</v>
      </c>
    </row>
    <row r="133" ht="11.25" customHeight="1">
      <c r="A133" s="5869" t="s">
        <v>2254</v>
      </c>
      <c r="B133" s="5869" t="s">
        <v>16</v>
      </c>
      <c r="C133" s="5869" t="s">
        <v>2372</v>
      </c>
      <c r="D133" s="5869" t="s">
        <v>2373</v>
      </c>
      <c r="E133" s="5869" t="s">
        <v>2374</v>
      </c>
      <c r="F133" s="5869" t="s">
        <v>2268</v>
      </c>
      <c r="G133" s="5869" t="s">
        <v>2375</v>
      </c>
      <c r="H133" s="5869" t="s">
        <v>2376</v>
      </c>
      <c r="I133" s="5869" t="s">
        <v>912</v>
      </c>
    </row>
    <row r="134" ht="11.25" customHeight="1">
      <c r="A134" s="5869" t="s">
        <v>2254</v>
      </c>
      <c r="B134" s="5869" t="s">
        <v>16</v>
      </c>
      <c r="C134" s="5869" t="s">
        <v>2377</v>
      </c>
      <c r="D134" s="5869" t="s">
        <v>2378</v>
      </c>
      <c r="E134" s="5869" t="s">
        <v>2379</v>
      </c>
      <c r="F134" s="5869" t="s">
        <v>2268</v>
      </c>
      <c r="G134" s="5869" t="s">
        <v>2380</v>
      </c>
      <c r="H134" s="5869" t="s">
        <v>2381</v>
      </c>
      <c r="I134" s="5869" t="s">
        <v>912</v>
      </c>
    </row>
    <row r="135" ht="11.25" customHeight="1">
      <c r="A135" s="5869" t="s">
        <v>2254</v>
      </c>
      <c r="B135" s="5869" t="s">
        <v>16</v>
      </c>
      <c r="C135" s="5869" t="s">
        <v>2503</v>
      </c>
      <c r="D135" s="5869" t="s">
        <v>2504</v>
      </c>
      <c r="E135" s="5869" t="s">
        <v>2505</v>
      </c>
      <c r="F135" s="5869" t="s">
        <v>2280</v>
      </c>
      <c r="G135" s="5869" t="s">
        <v>28</v>
      </c>
      <c r="H135" s="5869" t="s">
        <v>28</v>
      </c>
      <c r="I135" s="5869" t="s">
        <v>912</v>
      </c>
    </row>
    <row r="136" ht="11.25" customHeight="1">
      <c r="A136" s="5869" t="s">
        <v>2254</v>
      </c>
      <c r="B136" s="5869" t="s">
        <v>16</v>
      </c>
      <c r="C136" s="5869" t="s">
        <v>2382</v>
      </c>
      <c r="D136" s="5869" t="s">
        <v>2383</v>
      </c>
      <c r="E136" s="5869" t="s">
        <v>2384</v>
      </c>
      <c r="F136" s="5869" t="s">
        <v>2273</v>
      </c>
      <c r="G136" s="5869" t="s">
        <v>2385</v>
      </c>
      <c r="H136" s="5869" t="s">
        <v>28</v>
      </c>
      <c r="I136" s="5869" t="s">
        <v>912</v>
      </c>
    </row>
    <row r="137" ht="11.25" customHeight="1">
      <c r="A137" s="5869" t="s">
        <v>2254</v>
      </c>
      <c r="B137" s="5869" t="s">
        <v>16</v>
      </c>
      <c r="C137" s="5869" t="s">
        <v>2389</v>
      </c>
      <c r="D137" s="5869" t="s">
        <v>2390</v>
      </c>
      <c r="E137" s="5869" t="s">
        <v>2391</v>
      </c>
      <c r="F137" s="5869" t="s">
        <v>2392</v>
      </c>
      <c r="G137" s="5869" t="s">
        <v>2393</v>
      </c>
      <c r="H137" s="5869" t="s">
        <v>28</v>
      </c>
      <c r="I137" s="5869" t="s">
        <v>912</v>
      </c>
    </row>
    <row r="138" ht="11.25" customHeight="1">
      <c r="A138" s="5869" t="s">
        <v>2254</v>
      </c>
      <c r="B138" s="5869" t="s">
        <v>16</v>
      </c>
      <c r="C138" s="5869" t="s">
        <v>2394</v>
      </c>
      <c r="D138" s="5869" t="s">
        <v>2395</v>
      </c>
      <c r="E138" s="5869" t="s">
        <v>2396</v>
      </c>
      <c r="F138" s="5869" t="s">
        <v>2273</v>
      </c>
      <c r="G138" s="5869" t="s">
        <v>2397</v>
      </c>
      <c r="H138" s="5869" t="s">
        <v>28</v>
      </c>
      <c r="I138" s="5869" t="s">
        <v>912</v>
      </c>
    </row>
    <row r="139" ht="11.25" customHeight="1">
      <c r="A139" s="5869" t="s">
        <v>2254</v>
      </c>
      <c r="B139" s="5869" t="s">
        <v>16</v>
      </c>
      <c r="C139" s="5869" t="s">
        <v>2409</v>
      </c>
      <c r="D139" s="5869" t="s">
        <v>2410</v>
      </c>
      <c r="E139" s="5869" t="s">
        <v>2411</v>
      </c>
      <c r="F139" s="5869" t="s">
        <v>2268</v>
      </c>
      <c r="G139" s="5869" t="s">
        <v>2412</v>
      </c>
      <c r="H139" s="5869" t="s">
        <v>2413</v>
      </c>
      <c r="I139" s="5869" t="s">
        <v>912</v>
      </c>
    </row>
    <row r="140" ht="11.25" customHeight="1">
      <c r="A140" s="5869" t="s">
        <v>2254</v>
      </c>
      <c r="B140" s="5869" t="s">
        <v>16</v>
      </c>
      <c r="C140" s="5869" t="s">
        <v>2414</v>
      </c>
      <c r="D140" s="5869" t="s">
        <v>2415</v>
      </c>
      <c r="E140" s="5869" t="s">
        <v>2416</v>
      </c>
      <c r="F140" s="5869" t="s">
        <v>2417</v>
      </c>
      <c r="G140" s="5869" t="s">
        <v>28</v>
      </c>
      <c r="H140" s="5869" t="s">
        <v>28</v>
      </c>
      <c r="I140" s="5869" t="s">
        <v>912</v>
      </c>
    </row>
    <row r="141" ht="11.25" customHeight="1">
      <c r="A141" s="5869" t="s">
        <v>2254</v>
      </c>
      <c r="B141" s="5869" t="s">
        <v>16</v>
      </c>
      <c r="C141" s="5869" t="s">
        <v>2418</v>
      </c>
      <c r="D141" s="5869" t="s">
        <v>2419</v>
      </c>
      <c r="E141" s="5869" t="s">
        <v>2420</v>
      </c>
      <c r="F141" s="5869" t="s">
        <v>2421</v>
      </c>
      <c r="G141" s="5869" t="s">
        <v>28</v>
      </c>
      <c r="H141" s="5869" t="s">
        <v>28</v>
      </c>
      <c r="I141" s="5869" t="s">
        <v>912</v>
      </c>
    </row>
    <row r="142" ht="11.25" customHeight="1">
      <c r="A142" s="5869" t="s">
        <v>2254</v>
      </c>
      <c r="B142" s="5869" t="s">
        <v>16</v>
      </c>
      <c r="C142" s="5869" t="s">
        <v>2422</v>
      </c>
      <c r="D142" s="5869" t="s">
        <v>2423</v>
      </c>
      <c r="E142" s="5869" t="s">
        <v>2420</v>
      </c>
      <c r="F142" s="5869" t="s">
        <v>2424</v>
      </c>
      <c r="G142" s="5869" t="s">
        <v>2425</v>
      </c>
      <c r="H142" s="5869" t="s">
        <v>28</v>
      </c>
      <c r="I142" s="5869" t="s">
        <v>912</v>
      </c>
    </row>
    <row r="143" ht="11.25" customHeight="1">
      <c r="A143" s="5869" t="s">
        <v>2254</v>
      </c>
      <c r="B143" s="5869" t="s">
        <v>16</v>
      </c>
      <c r="C143" s="5869" t="s">
        <v>2506</v>
      </c>
      <c r="D143" s="5869" t="s">
        <v>2507</v>
      </c>
      <c r="E143" s="5869" t="s">
        <v>2508</v>
      </c>
      <c r="F143" s="5869" t="s">
        <v>2268</v>
      </c>
      <c r="G143" s="5869" t="s">
        <v>2509</v>
      </c>
      <c r="H143" s="5869" t="s">
        <v>28</v>
      </c>
      <c r="I143" s="5869" t="s">
        <v>912</v>
      </c>
    </row>
    <row r="144" ht="11.25" customHeight="1">
      <c r="A144" s="5869" t="s">
        <v>2254</v>
      </c>
      <c r="B144" s="5869" t="s">
        <v>16</v>
      </c>
      <c r="C144" s="5869" t="s">
        <v>2510</v>
      </c>
      <c r="D144" s="5869" t="s">
        <v>2511</v>
      </c>
      <c r="E144" s="5869" t="s">
        <v>2512</v>
      </c>
      <c r="F144" s="5869" t="s">
        <v>2273</v>
      </c>
      <c r="G144" s="5869" t="s">
        <v>28</v>
      </c>
      <c r="H144" s="5869" t="s">
        <v>28</v>
      </c>
      <c r="I144" s="5869" t="s">
        <v>1625</v>
      </c>
    </row>
    <row r="145" ht="11.25" customHeight="1">
      <c r="A145" s="5869" t="s">
        <v>2254</v>
      </c>
      <c r="B145" s="5869" t="s">
        <v>16</v>
      </c>
      <c r="C145" s="5869" t="s">
        <v>28</v>
      </c>
      <c r="D145" s="5869" t="s">
        <v>2294</v>
      </c>
      <c r="E145" s="5869" t="s">
        <v>2295</v>
      </c>
      <c r="F145" s="5869" t="s">
        <v>2280</v>
      </c>
      <c r="G145" s="5869" t="s">
        <v>28</v>
      </c>
      <c r="H145" s="5869" t="s">
        <v>28</v>
      </c>
      <c r="I145" s="5869" t="s">
        <v>1625</v>
      </c>
    </row>
    <row r="146" ht="11.25" customHeight="1">
      <c r="A146" s="5869" t="s">
        <v>2254</v>
      </c>
      <c r="B146" s="5869" t="s">
        <v>16</v>
      </c>
      <c r="C146" s="5869" t="s">
        <v>2513</v>
      </c>
      <c r="D146" s="5869" t="s">
        <v>2514</v>
      </c>
      <c r="E146" s="5869" t="s">
        <v>2515</v>
      </c>
      <c r="F146" s="5869" t="s">
        <v>2280</v>
      </c>
      <c r="G146" s="5869" t="s">
        <v>28</v>
      </c>
      <c r="H146" s="5869" t="s">
        <v>28</v>
      </c>
      <c r="I146" s="5869" t="s">
        <v>1625</v>
      </c>
    </row>
    <row r="147" ht="11.25" customHeight="1">
      <c r="A147" s="5869" t="s">
        <v>2254</v>
      </c>
      <c r="B147" s="5869" t="s">
        <v>16</v>
      </c>
      <c r="C147" s="5869" t="s">
        <v>2516</v>
      </c>
      <c r="D147" s="5869" t="s">
        <v>2517</v>
      </c>
      <c r="E147" s="5869" t="s">
        <v>2518</v>
      </c>
      <c r="F147" s="5869" t="s">
        <v>2468</v>
      </c>
      <c r="G147" s="5869" t="s">
        <v>2519</v>
      </c>
      <c r="H147" s="5869" t="s">
        <v>28</v>
      </c>
      <c r="I147" s="5869" t="s">
        <v>1625</v>
      </c>
    </row>
    <row r="148" ht="11.25" customHeight="1">
      <c r="A148" s="5869" t="s">
        <v>2254</v>
      </c>
      <c r="B148" s="5869" t="s">
        <v>16</v>
      </c>
      <c r="C148" s="5869" t="s">
        <v>2520</v>
      </c>
      <c r="D148" s="5869" t="s">
        <v>2517</v>
      </c>
      <c r="E148" s="5869" t="s">
        <v>2521</v>
      </c>
      <c r="F148" s="5869" t="s">
        <v>2280</v>
      </c>
      <c r="G148" s="5869" t="s">
        <v>28</v>
      </c>
      <c r="H148" s="5869" t="s">
        <v>28</v>
      </c>
      <c r="I148" s="5869" t="s">
        <v>1625</v>
      </c>
    </row>
    <row r="149" ht="11.25" customHeight="1">
      <c r="A149" s="5869" t="s">
        <v>2254</v>
      </c>
      <c r="B149" s="5869" t="s">
        <v>16</v>
      </c>
      <c r="C149" s="5869" t="s">
        <v>2522</v>
      </c>
      <c r="D149" s="5869" t="s">
        <v>2517</v>
      </c>
      <c r="E149" s="5869" t="s">
        <v>2521</v>
      </c>
      <c r="F149" s="5869" t="s">
        <v>2337</v>
      </c>
      <c r="G149" s="5869" t="s">
        <v>28</v>
      </c>
      <c r="H149" s="5869" t="s">
        <v>28</v>
      </c>
      <c r="I149" s="5869" t="s">
        <v>1625</v>
      </c>
    </row>
    <row r="150" ht="11.25" customHeight="1">
      <c r="A150" s="5869" t="s">
        <v>2254</v>
      </c>
      <c r="B150" s="5869" t="s">
        <v>16</v>
      </c>
      <c r="C150" s="5869" t="s">
        <v>2398</v>
      </c>
      <c r="D150" s="5869" t="s">
        <v>2399</v>
      </c>
      <c r="E150" s="5869" t="s">
        <v>2400</v>
      </c>
      <c r="F150" s="5869" t="s">
        <v>2345</v>
      </c>
      <c r="G150" s="5869" t="s">
        <v>2401</v>
      </c>
      <c r="H150" s="5869" t="s">
        <v>28</v>
      </c>
      <c r="I150" s="5869" t="s">
        <v>1625</v>
      </c>
    </row>
  </sheetData>
  <sheetProtection autoFilter="0" deleteColumns="1" deleteRows="1" formatColumns="0" formatRows="0" insertColumns="1" insertRows="1" sheet="1" sort="1"/>
  <pageMargins left="0.75" right="0.75" top="1" bottom="1" header="0.5" footer="0.5"/>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cols>
    <col min="1" max="1" style="9278" width="9.140625"/>
  </cols>
  <sheetData>
    <row r="1" ht="11.25" customHeight="1">
      <c r="A1" s="543" t="s">
        <v>2523</v>
      </c>
      <c r="B1" s="232" t="s">
        <v>2524</v>
      </c>
      <c r="C1" s="232" t="s">
        <v>2525</v>
      </c>
      <c r="D1" s="232" t="s">
        <v>2526</v>
      </c>
      <c r="E1" s="119" t="s">
        <v>2527</v>
      </c>
      <c r="F1" s="119" t="s">
        <v>2528</v>
      </c>
      <c r="G1" s="119" t="s">
        <v>2529</v>
      </c>
    </row>
    <row r="2" ht="11.25" customHeight="1">
      <c r="A2" s="543" t="s">
        <v>16</v>
      </c>
      <c r="B2" t="s">
        <v>2530</v>
      </c>
      <c r="C2" t="s">
        <v>2531</v>
      </c>
      <c r="D2" t="s">
        <v>2530</v>
      </c>
      <c r="E2" t="s">
        <v>2531</v>
      </c>
      <c r="F2" t="s">
        <v>2532</v>
      </c>
      <c r="G2" t="s">
        <v>110</v>
      </c>
    </row>
    <row r="3" ht="11.25" customHeight="1">
      <c r="A3" s="543" t="s">
        <v>16</v>
      </c>
      <c r="B3" t="s">
        <v>2530</v>
      </c>
      <c r="C3" t="s">
        <v>2531</v>
      </c>
      <c r="D3" t="s">
        <v>2533</v>
      </c>
      <c r="E3" t="s">
        <v>2534</v>
      </c>
      <c r="F3" t="s">
        <v>2535</v>
      </c>
      <c r="G3" t="s">
        <v>111</v>
      </c>
    </row>
    <row r="4" ht="11.25" customHeight="1">
      <c r="A4" s="543" t="s">
        <v>16</v>
      </c>
      <c r="B4" t="s">
        <v>2530</v>
      </c>
      <c r="C4" t="s">
        <v>2531</v>
      </c>
      <c r="D4" t="s">
        <v>2536</v>
      </c>
      <c r="E4" t="s">
        <v>2537</v>
      </c>
      <c r="F4" t="s">
        <v>2535</v>
      </c>
      <c r="G4" t="s">
        <v>91</v>
      </c>
    </row>
    <row r="5" ht="11.25" customHeight="1">
      <c r="A5" s="543" t="s">
        <v>16</v>
      </c>
      <c r="B5" t="s">
        <v>2530</v>
      </c>
      <c r="C5" t="s">
        <v>2531</v>
      </c>
      <c r="D5" t="s">
        <v>2538</v>
      </c>
      <c r="E5" t="s">
        <v>2539</v>
      </c>
      <c r="F5" t="s">
        <v>2535</v>
      </c>
      <c r="G5" t="s">
        <v>92</v>
      </c>
    </row>
    <row r="6" ht="11.25" customHeight="1">
      <c r="A6" s="543" t="s">
        <v>16</v>
      </c>
      <c r="B6" t="s">
        <v>2530</v>
      </c>
      <c r="C6" t="s">
        <v>2531</v>
      </c>
      <c r="D6" t="s">
        <v>2540</v>
      </c>
      <c r="E6" t="s">
        <v>2541</v>
      </c>
      <c r="F6" t="s">
        <v>2535</v>
      </c>
      <c r="G6" t="s">
        <v>112</v>
      </c>
    </row>
    <row r="7" ht="11.25" customHeight="1">
      <c r="A7" s="543" t="s">
        <v>16</v>
      </c>
      <c r="B7" t="s">
        <v>2530</v>
      </c>
      <c r="C7" t="s">
        <v>2531</v>
      </c>
      <c r="D7" t="s">
        <v>2542</v>
      </c>
      <c r="E7" t="s">
        <v>2543</v>
      </c>
      <c r="F7" t="s">
        <v>2535</v>
      </c>
      <c r="G7" t="s">
        <v>93</v>
      </c>
    </row>
    <row r="8" ht="11.25" customHeight="1">
      <c r="A8" s="543" t="s">
        <v>16</v>
      </c>
      <c r="B8" t="s">
        <v>2530</v>
      </c>
      <c r="C8" t="s">
        <v>2531</v>
      </c>
      <c r="D8" t="s">
        <v>2544</v>
      </c>
      <c r="E8" t="s">
        <v>2545</v>
      </c>
      <c r="F8" t="s">
        <v>2535</v>
      </c>
      <c r="G8" t="s">
        <v>94</v>
      </c>
    </row>
    <row r="9" ht="11.25" customHeight="1">
      <c r="A9" s="543" t="s">
        <v>16</v>
      </c>
      <c r="B9" t="s">
        <v>101</v>
      </c>
      <c r="C9" t="s">
        <v>102</v>
      </c>
      <c r="D9" t="s">
        <v>101</v>
      </c>
      <c r="E9" t="s">
        <v>102</v>
      </c>
      <c r="F9" t="s">
        <v>2546</v>
      </c>
      <c r="G9" t="s">
        <v>100</v>
      </c>
    </row>
    <row r="10" ht="11.25" customHeight="1">
      <c r="A10" s="543" t="s">
        <v>16</v>
      </c>
      <c r="B10" t="s">
        <v>2547</v>
      </c>
      <c r="C10" t="s">
        <v>2548</v>
      </c>
      <c r="D10" t="s">
        <v>2549</v>
      </c>
      <c r="E10" t="s">
        <v>2550</v>
      </c>
      <c r="F10" t="s">
        <v>2535</v>
      </c>
      <c r="G10" t="s">
        <v>148</v>
      </c>
    </row>
    <row r="11" ht="11.25" customHeight="1">
      <c r="A11" s="543" t="s">
        <v>16</v>
      </c>
      <c r="B11" t="s">
        <v>2547</v>
      </c>
      <c r="C11" t="s">
        <v>2548</v>
      </c>
      <c r="D11" t="s">
        <v>2551</v>
      </c>
      <c r="E11" t="s">
        <v>2552</v>
      </c>
      <c r="F11" t="s">
        <v>2535</v>
      </c>
      <c r="G11" t="s">
        <v>149</v>
      </c>
    </row>
    <row r="12" ht="11.25" customHeight="1">
      <c r="A12" s="543" t="s">
        <v>16</v>
      </c>
      <c r="B12" t="s">
        <v>2547</v>
      </c>
      <c r="C12" t="s">
        <v>2548</v>
      </c>
      <c r="D12" t="s">
        <v>2553</v>
      </c>
      <c r="E12" t="s">
        <v>2554</v>
      </c>
      <c r="F12" t="s">
        <v>2535</v>
      </c>
      <c r="G12" t="s">
        <v>150</v>
      </c>
    </row>
    <row r="13" ht="11.25" customHeight="1">
      <c r="A13" s="543" t="s">
        <v>16</v>
      </c>
      <c r="B13" t="s">
        <v>2547</v>
      </c>
      <c r="C13" t="s">
        <v>2548</v>
      </c>
      <c r="D13" t="s">
        <v>2555</v>
      </c>
      <c r="E13" t="s">
        <v>2556</v>
      </c>
      <c r="F13" t="s">
        <v>2535</v>
      </c>
      <c r="G13" t="s">
        <v>151</v>
      </c>
    </row>
    <row r="14" ht="11.25" customHeight="1">
      <c r="A14" s="543" t="s">
        <v>16</v>
      </c>
      <c r="B14" t="s">
        <v>2547</v>
      </c>
      <c r="C14" t="s">
        <v>2548</v>
      </c>
      <c r="D14" t="s">
        <v>2547</v>
      </c>
      <c r="E14" t="s">
        <v>2548</v>
      </c>
      <c r="F14" t="s">
        <v>2532</v>
      </c>
      <c r="G14" t="s">
        <v>152</v>
      </c>
    </row>
    <row r="15" ht="11.25" customHeight="1">
      <c r="A15" s="543" t="s">
        <v>16</v>
      </c>
      <c r="B15" t="s">
        <v>2547</v>
      </c>
      <c r="C15" t="s">
        <v>2548</v>
      </c>
      <c r="D15" t="s">
        <v>2557</v>
      </c>
      <c r="E15" t="s">
        <v>2558</v>
      </c>
      <c r="F15" t="s">
        <v>2535</v>
      </c>
      <c r="G15" t="s">
        <v>153</v>
      </c>
    </row>
    <row r="16" ht="11.25" customHeight="1">
      <c r="A16" s="543" t="s">
        <v>16</v>
      </c>
      <c r="B16" t="s">
        <v>2559</v>
      </c>
      <c r="C16" t="s">
        <v>2560</v>
      </c>
      <c r="D16" t="s">
        <v>2561</v>
      </c>
      <c r="E16" t="s">
        <v>2562</v>
      </c>
      <c r="F16" t="s">
        <v>2563</v>
      </c>
      <c r="G16" t="s">
        <v>1469</v>
      </c>
    </row>
    <row r="17" ht="11.25" customHeight="1">
      <c r="A17" s="543" t="s">
        <v>16</v>
      </c>
      <c r="B17" t="s">
        <v>2559</v>
      </c>
      <c r="C17" t="s">
        <v>2560</v>
      </c>
      <c r="D17" t="s">
        <v>2564</v>
      </c>
      <c r="E17" t="s">
        <v>2565</v>
      </c>
      <c r="F17" t="s">
        <v>2563</v>
      </c>
      <c r="G17" t="s">
        <v>1474</v>
      </c>
    </row>
    <row r="18" ht="11.25" customHeight="1">
      <c r="A18" s="543" t="s">
        <v>16</v>
      </c>
      <c r="B18" t="s">
        <v>2559</v>
      </c>
      <c r="C18" t="s">
        <v>2560</v>
      </c>
      <c r="D18" t="s">
        <v>2566</v>
      </c>
      <c r="E18" t="s">
        <v>2567</v>
      </c>
      <c r="F18" t="s">
        <v>2563</v>
      </c>
      <c r="G18" t="s">
        <v>1486</v>
      </c>
    </row>
    <row r="19" ht="11.25" customHeight="1">
      <c r="A19" s="543" t="s">
        <v>16</v>
      </c>
      <c r="B19" t="s">
        <v>2559</v>
      </c>
      <c r="C19" t="s">
        <v>2560</v>
      </c>
      <c r="D19" t="s">
        <v>2568</v>
      </c>
      <c r="E19" t="s">
        <v>2569</v>
      </c>
      <c r="F19" t="s">
        <v>2563</v>
      </c>
      <c r="G19" t="s">
        <v>1500</v>
      </c>
    </row>
    <row r="20" ht="11.25" customHeight="1">
      <c r="A20" s="543" t="s">
        <v>16</v>
      </c>
      <c r="B20" t="s">
        <v>2559</v>
      </c>
      <c r="C20" t="s">
        <v>2560</v>
      </c>
      <c r="D20" t="s">
        <v>2559</v>
      </c>
      <c r="E20" t="s">
        <v>2560</v>
      </c>
      <c r="F20" t="s">
        <v>2532</v>
      </c>
      <c r="G20" t="s">
        <v>1512</v>
      </c>
    </row>
    <row r="21" ht="11.25" customHeight="1">
      <c r="A21" s="543" t="s">
        <v>16</v>
      </c>
      <c r="B21" t="s">
        <v>2559</v>
      </c>
      <c r="C21" t="s">
        <v>2560</v>
      </c>
      <c r="D21" t="s">
        <v>2570</v>
      </c>
      <c r="E21" t="s">
        <v>2571</v>
      </c>
      <c r="F21" t="s">
        <v>2572</v>
      </c>
      <c r="G21" t="s">
        <v>1521</v>
      </c>
    </row>
    <row r="22" ht="11.25" customHeight="1">
      <c r="A22" s="543" t="s">
        <v>16</v>
      </c>
      <c r="B22" t="s">
        <v>2559</v>
      </c>
      <c r="C22" t="s">
        <v>2560</v>
      </c>
      <c r="D22" t="s">
        <v>2573</v>
      </c>
      <c r="E22" t="s">
        <v>2574</v>
      </c>
      <c r="F22" t="s">
        <v>2535</v>
      </c>
      <c r="G22" t="s">
        <v>1537</v>
      </c>
    </row>
    <row r="23" ht="11.25" customHeight="1">
      <c r="A23" s="543" t="s">
        <v>16</v>
      </c>
      <c r="B23" t="s">
        <v>2559</v>
      </c>
      <c r="C23" t="s">
        <v>2560</v>
      </c>
      <c r="D23" t="s">
        <v>2575</v>
      </c>
      <c r="E23" t="s">
        <v>2576</v>
      </c>
      <c r="F23" t="s">
        <v>2563</v>
      </c>
      <c r="G23" t="s">
        <v>1544</v>
      </c>
    </row>
    <row r="24" ht="11.25" customHeight="1">
      <c r="A24" s="543" t="s">
        <v>16</v>
      </c>
      <c r="B24" t="s">
        <v>2577</v>
      </c>
      <c r="C24" t="s">
        <v>2578</v>
      </c>
      <c r="D24" t="s">
        <v>2579</v>
      </c>
      <c r="E24" t="s">
        <v>2580</v>
      </c>
      <c r="F24" t="s">
        <v>2535</v>
      </c>
      <c r="G24" t="s">
        <v>1552</v>
      </c>
    </row>
    <row r="25" ht="11.25" customHeight="1">
      <c r="A25" s="543" t="s">
        <v>16</v>
      </c>
      <c r="B25" t="s">
        <v>2577</v>
      </c>
      <c r="C25" t="s">
        <v>2578</v>
      </c>
      <c r="D25" t="s">
        <v>2581</v>
      </c>
      <c r="E25" t="s">
        <v>2582</v>
      </c>
      <c r="F25" t="s">
        <v>2535</v>
      </c>
      <c r="G25" t="s">
        <v>1559</v>
      </c>
    </row>
    <row r="26" ht="11.25" customHeight="1">
      <c r="A26" s="543" t="s">
        <v>16</v>
      </c>
      <c r="B26" t="s">
        <v>2577</v>
      </c>
      <c r="C26" t="s">
        <v>2578</v>
      </c>
      <c r="D26" t="s">
        <v>2577</v>
      </c>
      <c r="E26" t="s">
        <v>2578</v>
      </c>
      <c r="F26" t="s">
        <v>2532</v>
      </c>
      <c r="G26" t="s">
        <v>1563</v>
      </c>
    </row>
    <row r="27" ht="11.25" customHeight="1">
      <c r="A27" s="543" t="s">
        <v>16</v>
      </c>
      <c r="B27" t="s">
        <v>2577</v>
      </c>
      <c r="C27" t="s">
        <v>2578</v>
      </c>
      <c r="D27" t="s">
        <v>2583</v>
      </c>
      <c r="E27" t="s">
        <v>2584</v>
      </c>
      <c r="F27" t="s">
        <v>2535</v>
      </c>
      <c r="G27" t="s">
        <v>1568</v>
      </c>
    </row>
    <row r="28" ht="11.25" customHeight="1">
      <c r="A28" s="543" t="s">
        <v>16</v>
      </c>
      <c r="B28" t="s">
        <v>2585</v>
      </c>
      <c r="C28" t="s">
        <v>2586</v>
      </c>
      <c r="D28" t="s">
        <v>2587</v>
      </c>
      <c r="E28" t="s">
        <v>2588</v>
      </c>
      <c r="F28" t="s">
        <v>2563</v>
      </c>
      <c r="G28" t="s">
        <v>1576</v>
      </c>
    </row>
    <row r="29" ht="11.25" customHeight="1">
      <c r="A29" s="543" t="s">
        <v>16</v>
      </c>
      <c r="B29" t="s">
        <v>2585</v>
      </c>
      <c r="C29" t="s">
        <v>2586</v>
      </c>
      <c r="D29" t="s">
        <v>2589</v>
      </c>
      <c r="E29" t="s">
        <v>2590</v>
      </c>
      <c r="F29" t="s">
        <v>2535</v>
      </c>
      <c r="G29" t="s">
        <v>1578</v>
      </c>
    </row>
    <row r="30" ht="11.25" customHeight="1">
      <c r="A30" s="543" t="s">
        <v>16</v>
      </c>
      <c r="B30" t="s">
        <v>2585</v>
      </c>
      <c r="C30" t="s">
        <v>2586</v>
      </c>
      <c r="D30" t="s">
        <v>2591</v>
      </c>
      <c r="E30" t="s">
        <v>2592</v>
      </c>
      <c r="F30" t="s">
        <v>2535</v>
      </c>
      <c r="G30" t="s">
        <v>1581</v>
      </c>
    </row>
    <row r="31" ht="11.25" customHeight="1">
      <c r="A31" s="543" t="s">
        <v>16</v>
      </c>
      <c r="B31" t="s">
        <v>2585</v>
      </c>
      <c r="C31" t="s">
        <v>2586</v>
      </c>
      <c r="D31" t="s">
        <v>2593</v>
      </c>
      <c r="E31" t="s">
        <v>2594</v>
      </c>
      <c r="F31" t="s">
        <v>2563</v>
      </c>
      <c r="G31" t="s">
        <v>1587</v>
      </c>
    </row>
    <row r="32" ht="11.25" customHeight="1">
      <c r="A32" s="543" t="s">
        <v>16</v>
      </c>
      <c r="B32" t="s">
        <v>2585</v>
      </c>
      <c r="C32" t="s">
        <v>2586</v>
      </c>
      <c r="D32" t="s">
        <v>2595</v>
      </c>
      <c r="E32" t="s">
        <v>2596</v>
      </c>
      <c r="F32" t="s">
        <v>2563</v>
      </c>
      <c r="G32" t="s">
        <v>1589</v>
      </c>
    </row>
    <row r="33" ht="11.25" customHeight="1">
      <c r="A33" s="543" t="s">
        <v>16</v>
      </c>
      <c r="B33" t="s">
        <v>2585</v>
      </c>
      <c r="C33" t="s">
        <v>2586</v>
      </c>
      <c r="D33" t="s">
        <v>2585</v>
      </c>
      <c r="E33" t="s">
        <v>2586</v>
      </c>
      <c r="F33" t="s">
        <v>2532</v>
      </c>
      <c r="G33" t="s">
        <v>1591</v>
      </c>
    </row>
    <row r="34" ht="11.25" customHeight="1">
      <c r="A34" s="543" t="s">
        <v>16</v>
      </c>
      <c r="B34" t="s">
        <v>2585</v>
      </c>
      <c r="C34" t="s">
        <v>2586</v>
      </c>
      <c r="D34" t="s">
        <v>2597</v>
      </c>
      <c r="E34" t="s">
        <v>2598</v>
      </c>
      <c r="F34" t="s">
        <v>2563</v>
      </c>
      <c r="G34" t="s">
        <v>1593</v>
      </c>
    </row>
  </sheetData>
  <sheetProtection autoFilter="0" deleteColumns="1" deleteRows="1" insertColumns="1" insertRows="1" sheet="1" sort="1"/>
  <pageMargins left="0.69999999999999996" right="0.69999999999999996" top="0.75" bottom="0.75" header="0.29999999999999999" footer="0.29999999999999999"/>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12192" width="13.8515625"/>
    <col customWidth="1" min="2" max="2" style="12192" width="10.421875"/>
    <col customWidth="1" min="3" max="3" style="12192" width="7.57421875"/>
    <col customWidth="1" min="4" max="4" style="12192" width="13.8515625"/>
    <col customWidth="1" min="5" max="5" style="12192" width="11.57421875"/>
    <col customWidth="1" min="6" max="6" style="12192" width="16.28125"/>
    <col customWidth="1" min="7" max="7" style="12192" width="16.00390625"/>
    <col customWidth="1" min="8" max="9" style="12192" width="16.140625"/>
  </cols>
  <sheetData>
    <row r="1" ht="11.25" customHeight="1">
      <c r="A1" s="1005" t="s">
        <v>2599</v>
      </c>
      <c r="B1" s="1005" t="s">
        <v>2600</v>
      </c>
      <c r="C1" s="1329" t="s">
        <v>2601</v>
      </c>
      <c r="D1" s="1005" t="s">
        <v>2602</v>
      </c>
      <c r="E1" s="1005" t="s">
        <v>2603</v>
      </c>
      <c r="F1" s="1329" t="s">
        <v>2604</v>
      </c>
      <c r="G1" s="1329" t="s">
        <v>2605</v>
      </c>
      <c r="H1" s="1329" t="s">
        <v>2606</v>
      </c>
      <c r="I1" s="1329" t="s">
        <v>2607</v>
      </c>
    </row>
    <row r="2" ht="11.25" customHeight="1">
      <c r="A2" s="5871" t="s">
        <v>110</v>
      </c>
      <c r="B2" s="5871" t="s">
        <v>2608</v>
      </c>
      <c r="C2" s="5871" t="s">
        <v>28</v>
      </c>
      <c r="D2" s="5871" t="s">
        <v>2609</v>
      </c>
      <c r="E2" s="5871" t="s">
        <v>2610</v>
      </c>
      <c r="F2" s="5871" t="s">
        <v>28</v>
      </c>
      <c r="G2" s="5871" t="s">
        <v>28</v>
      </c>
      <c r="H2" s="5871" t="s">
        <v>28</v>
      </c>
      <c r="I2" s="5871" t="s">
        <v>28</v>
      </c>
    </row>
    <row r="3" ht="11.25" customHeight="1">
      <c r="A3" s="5871" t="s">
        <v>111</v>
      </c>
      <c r="B3" s="5871" t="s">
        <v>2611</v>
      </c>
      <c r="C3" s="5871" t="s">
        <v>28</v>
      </c>
      <c r="D3" s="5871" t="s">
        <v>2609</v>
      </c>
      <c r="E3" s="5871" t="s">
        <v>2612</v>
      </c>
      <c r="F3" s="5871" t="s">
        <v>28</v>
      </c>
      <c r="G3" s="5871" t="s">
        <v>28</v>
      </c>
      <c r="H3" s="5871" t="s">
        <v>28</v>
      </c>
      <c r="I3" s="5871" t="s">
        <v>28</v>
      </c>
    </row>
    <row r="4" ht="11.25" customHeight="1">
      <c r="A4" s="5871" t="s">
        <v>91</v>
      </c>
      <c r="B4" s="5871" t="s">
        <v>2613</v>
      </c>
      <c r="C4" s="5871" t="s">
        <v>28</v>
      </c>
      <c r="D4" s="5871" t="s">
        <v>2609</v>
      </c>
      <c r="E4" s="5871" t="s">
        <v>2614</v>
      </c>
      <c r="F4" s="5871" t="s">
        <v>28</v>
      </c>
      <c r="G4" s="5871" t="s">
        <v>28</v>
      </c>
      <c r="H4" s="5871" t="s">
        <v>28</v>
      </c>
      <c r="I4" s="5871" t="s">
        <v>28</v>
      </c>
    </row>
    <row r="5" ht="11.25" customHeight="1">
      <c r="A5" s="5871" t="s">
        <v>92</v>
      </c>
      <c r="B5" s="5871" t="s">
        <v>2615</v>
      </c>
      <c r="C5" s="5871" t="s">
        <v>28</v>
      </c>
      <c r="D5" s="5871" t="s">
        <v>2616</v>
      </c>
      <c r="E5" s="5871" t="s">
        <v>2617</v>
      </c>
      <c r="F5" s="5871" t="s">
        <v>28</v>
      </c>
      <c r="G5" s="5871" t="s">
        <v>28</v>
      </c>
      <c r="H5" s="5871" t="s">
        <v>28</v>
      </c>
      <c r="I5" s="5871" t="s">
        <v>28</v>
      </c>
    </row>
    <row r="6" ht="11.25" customHeight="1">
      <c r="A6" s="5871" t="s">
        <v>112</v>
      </c>
      <c r="B6" s="5871" t="s">
        <v>2618</v>
      </c>
      <c r="C6" s="5871" t="s">
        <v>28</v>
      </c>
      <c r="D6" s="5871" t="s">
        <v>2616</v>
      </c>
      <c r="E6" s="5871" t="s">
        <v>2617</v>
      </c>
      <c r="F6" s="5871" t="s">
        <v>28</v>
      </c>
      <c r="G6" s="5871" t="s">
        <v>28</v>
      </c>
      <c r="H6" s="5871" t="s">
        <v>28</v>
      </c>
      <c r="I6" s="5871" t="s">
        <v>28</v>
      </c>
    </row>
    <row r="7" ht="11.25" customHeight="1">
      <c r="A7" s="5871" t="s">
        <v>93</v>
      </c>
      <c r="B7" s="5871" t="s">
        <v>2619</v>
      </c>
      <c r="C7" s="5871" t="s">
        <v>28</v>
      </c>
      <c r="D7" s="5871" t="s">
        <v>2616</v>
      </c>
      <c r="E7" s="5871" t="s">
        <v>2617</v>
      </c>
      <c r="F7" s="5871" t="s">
        <v>28</v>
      </c>
      <c r="G7" s="5871" t="s">
        <v>28</v>
      </c>
      <c r="H7" s="5871" t="s">
        <v>28</v>
      </c>
      <c r="I7" s="5871" t="s">
        <v>28</v>
      </c>
    </row>
    <row r="8" ht="11.25" customHeight="1">
      <c r="A8" s="5871" t="s">
        <v>94</v>
      </c>
      <c r="B8" s="5871" t="s">
        <v>2620</v>
      </c>
      <c r="C8" s="5871" t="s">
        <v>28</v>
      </c>
      <c r="D8" s="5871" t="s">
        <v>2616</v>
      </c>
      <c r="E8" s="5871" t="s">
        <v>2617</v>
      </c>
      <c r="F8" s="5871" t="s">
        <v>28</v>
      </c>
      <c r="G8" s="5871" t="s">
        <v>28</v>
      </c>
      <c r="H8" s="5871" t="s">
        <v>28</v>
      </c>
      <c r="I8" s="5871" t="s">
        <v>28</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topLeftCell="A1" workbookViewId="0">
      <selection activeCell="A1" sqref="A1"/>
    </sheetView>
  </sheetViews>
  <sheetFormatPr defaultRowHeight="11.25" customHeight="1"/>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2" style="12195" width="9.140625"/>
  </cols>
  <sheetData>
    <row r="1" ht="11.25" customHeight="1">
      <c r="A1" s="353" t="s">
        <v>130</v>
      </c>
      <c r="B1" s="353" t="s">
        <v>2621</v>
      </c>
    </row>
    <row r="2" ht="11.25" customHeight="1">
      <c r="A2" s="5873" t="s">
        <v>99</v>
      </c>
      <c r="B2" s="5873" t="s">
        <v>2622</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12192" width="9.140625"/>
    <col customWidth="1" min="2" max="2" style="12192" width="65.28125"/>
  </cols>
  <sheetData>
    <row r="1" ht="11.25" customHeight="1">
      <c r="A1" s="1005" t="s">
        <v>2623</v>
      </c>
      <c r="B1" s="1005" t="s">
        <v>2624</v>
      </c>
    </row>
    <row r="2" ht="11.25" customHeight="1">
      <c r="A2" s="1005">
        <v>4213775</v>
      </c>
      <c r="B2" s="1005" t="s">
        <v>1228</v>
      </c>
    </row>
    <row r="3" ht="11.25" customHeight="1">
      <c r="A3" s="1005">
        <v>4213784</v>
      </c>
      <c r="B3" s="1005" t="s">
        <v>1260</v>
      </c>
    </row>
    <row r="4" ht="11.25" customHeight="1">
      <c r="A4" s="1005">
        <v>4213781</v>
      </c>
      <c r="B4" s="1005" t="s">
        <v>1253</v>
      </c>
    </row>
    <row r="5" ht="11.25" customHeight="1">
      <c r="A5" s="1005">
        <v>4213776</v>
      </c>
      <c r="B5" s="1005" t="s">
        <v>175</v>
      </c>
    </row>
    <row r="6" ht="11.25" customHeight="1">
      <c r="A6" s="1005">
        <v>4213777</v>
      </c>
      <c r="B6" s="1005" t="s">
        <v>181</v>
      </c>
    </row>
    <row r="7" ht="11.25" customHeight="1">
      <c r="A7" s="1005">
        <v>4213778</v>
      </c>
      <c r="B7" s="1005" t="s">
        <v>187</v>
      </c>
    </row>
    <row r="8" ht="11.25" customHeight="1">
      <c r="A8" s="1005">
        <v>4213780</v>
      </c>
      <c r="B8" s="1005" t="s">
        <v>193</v>
      </c>
    </row>
    <row r="9" ht="11.25" customHeight="1">
      <c r="A9" s="1005">
        <v>4213779</v>
      </c>
      <c r="B9" s="1005" t="s">
        <v>1394</v>
      </c>
    </row>
    <row r="10" ht="11.25" customHeight="1">
      <c r="A10" s="1005">
        <v>4213783</v>
      </c>
      <c r="B10" s="1005" t="s">
        <v>1409</v>
      </c>
    </row>
    <row r="11" ht="11.25" customHeight="1">
      <c r="A11" s="1005">
        <v>4213782</v>
      </c>
      <c r="B11" s="1005" t="s">
        <v>199</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12192" width="9.140625"/>
    <col customWidth="1" min="2" max="2" style="12192" width="65.28125"/>
  </cols>
  <sheetData>
    <row r="1" ht="11.25" customHeight="1">
      <c r="A1" s="1005" t="s">
        <v>2623</v>
      </c>
      <c r="B1" s="1005" t="s">
        <v>2625</v>
      </c>
    </row>
    <row r="2" ht="11.25" customHeight="1">
      <c r="A2" s="1005" t="s">
        <v>2626</v>
      </c>
      <c r="B2" s="1005" t="s">
        <v>1506</v>
      </c>
    </row>
    <row r="3" ht="11.25" customHeight="1">
      <c r="A3" s="1005" t="s">
        <v>2627</v>
      </c>
      <c r="B3" s="1005" t="s">
        <v>1516</v>
      </c>
    </row>
    <row r="4" ht="11.25" customHeight="1">
      <c r="A4" s="1005" t="s">
        <v>2628</v>
      </c>
      <c r="B4" s="1005" t="s">
        <v>1525</v>
      </c>
    </row>
    <row r="5" ht="11.25" customHeight="1">
      <c r="A5" s="1005" t="s">
        <v>2629</v>
      </c>
      <c r="B5" s="1005" t="s">
        <v>1534</v>
      </c>
    </row>
    <row r="6" ht="11.25" customHeight="1">
      <c r="A6" s="1005" t="s">
        <v>2630</v>
      </c>
      <c r="B6" s="1005" t="s">
        <v>1540</v>
      </c>
    </row>
    <row r="7" ht="11.25" customHeight="1">
      <c r="A7" s="1005" t="s">
        <v>2631</v>
      </c>
      <c r="B7" s="1005" t="s">
        <v>1548</v>
      </c>
    </row>
    <row r="8" ht="11.25" customHeight="1">
      <c r="A8" s="1005" t="s">
        <v>2632</v>
      </c>
      <c r="B8" s="1005" t="s">
        <v>1555</v>
      </c>
    </row>
    <row r="9" ht="11.25" customHeight="1">
      <c r="A9" s="1005" t="s">
        <v>2633</v>
      </c>
      <c r="B9" s="1005" t="s">
        <v>1561</v>
      </c>
    </row>
    <row r="10" ht="11.25" customHeight="1">
      <c r="A10" s="1005" t="s">
        <v>2634</v>
      </c>
      <c r="B10" s="1005" t="s">
        <v>1565</v>
      </c>
    </row>
    <row r="11" ht="11.25" customHeight="1">
      <c r="A11" s="1005" t="s">
        <v>2635</v>
      </c>
      <c r="B11" s="1005" t="s">
        <v>1572</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RowHeight="11.25" customHeight="1"/>
  <sheetData>
    <row r="1" ht="11.25" customHeight="1">
      <c r="A1" s="543" t="s">
        <v>2523</v>
      </c>
      <c r="B1" s="543" t="s">
        <v>2524</v>
      </c>
      <c r="C1" s="543" t="s">
        <v>2525</v>
      </c>
      <c r="D1" s="543" t="s">
        <v>2526</v>
      </c>
      <c r="E1" t="s">
        <v>2527</v>
      </c>
      <c r="F1" t="s">
        <v>2528</v>
      </c>
      <c r="G1" t="s">
        <v>2529</v>
      </c>
    </row>
    <row r="2" ht="11.25" customHeight="1">
      <c r="A2" t="s">
        <v>16</v>
      </c>
      <c r="B2" t="s">
        <v>2530</v>
      </c>
      <c r="C2" t="s">
        <v>2531</v>
      </c>
      <c r="D2" t="s">
        <v>2530</v>
      </c>
      <c r="E2" t="s">
        <v>2531</v>
      </c>
      <c r="F2" t="s">
        <v>2532</v>
      </c>
      <c r="G2" t="s">
        <v>110</v>
      </c>
    </row>
    <row r="3" ht="11.25" customHeight="1">
      <c r="A3" t="s">
        <v>16</v>
      </c>
      <c r="B3" t="s">
        <v>2530</v>
      </c>
      <c r="C3" t="s">
        <v>2531</v>
      </c>
      <c r="D3" t="s">
        <v>2533</v>
      </c>
      <c r="E3" t="s">
        <v>2534</v>
      </c>
      <c r="F3" t="s">
        <v>2535</v>
      </c>
      <c r="G3" t="s">
        <v>111</v>
      </c>
    </row>
    <row r="4" ht="11.25" customHeight="1">
      <c r="A4" t="s">
        <v>16</v>
      </c>
      <c r="B4" t="s">
        <v>2530</v>
      </c>
      <c r="C4" t="s">
        <v>2531</v>
      </c>
      <c r="D4" t="s">
        <v>2536</v>
      </c>
      <c r="E4" t="s">
        <v>2537</v>
      </c>
      <c r="F4" t="s">
        <v>2535</v>
      </c>
      <c r="G4" t="s">
        <v>91</v>
      </c>
    </row>
    <row r="5" ht="11.25" customHeight="1">
      <c r="A5" t="s">
        <v>16</v>
      </c>
      <c r="B5" t="s">
        <v>2530</v>
      </c>
      <c r="C5" t="s">
        <v>2531</v>
      </c>
      <c r="D5" t="s">
        <v>2538</v>
      </c>
      <c r="E5" t="s">
        <v>2539</v>
      </c>
      <c r="F5" t="s">
        <v>2535</v>
      </c>
      <c r="G5" t="s">
        <v>92</v>
      </c>
    </row>
    <row r="6" ht="11.25" customHeight="1">
      <c r="A6" t="s">
        <v>16</v>
      </c>
      <c r="B6" t="s">
        <v>2530</v>
      </c>
      <c r="C6" t="s">
        <v>2531</v>
      </c>
      <c r="D6" t="s">
        <v>2540</v>
      </c>
      <c r="E6" t="s">
        <v>2541</v>
      </c>
      <c r="F6" t="s">
        <v>2535</v>
      </c>
      <c r="G6" t="s">
        <v>112</v>
      </c>
    </row>
    <row r="7" ht="11.25" customHeight="1">
      <c r="A7" t="s">
        <v>16</v>
      </c>
      <c r="B7" t="s">
        <v>2530</v>
      </c>
      <c r="C7" t="s">
        <v>2531</v>
      </c>
      <c r="D7" t="s">
        <v>2542</v>
      </c>
      <c r="E7" t="s">
        <v>2543</v>
      </c>
      <c r="F7" t="s">
        <v>2535</v>
      </c>
      <c r="G7" t="s">
        <v>93</v>
      </c>
    </row>
    <row r="8" ht="11.25" customHeight="1">
      <c r="A8" t="s">
        <v>16</v>
      </c>
      <c r="B8" t="s">
        <v>2530</v>
      </c>
      <c r="C8" t="s">
        <v>2531</v>
      </c>
      <c r="D8" t="s">
        <v>2544</v>
      </c>
      <c r="E8" t="s">
        <v>2545</v>
      </c>
      <c r="F8" t="s">
        <v>2535</v>
      </c>
      <c r="G8" t="s">
        <v>94</v>
      </c>
    </row>
    <row r="9" ht="11.25" customHeight="1">
      <c r="A9" t="s">
        <v>16</v>
      </c>
      <c r="B9" t="s">
        <v>101</v>
      </c>
      <c r="C9" t="s">
        <v>102</v>
      </c>
      <c r="D9" t="s">
        <v>101</v>
      </c>
      <c r="E9" t="s">
        <v>102</v>
      </c>
      <c r="F9" t="s">
        <v>2546</v>
      </c>
      <c r="G9" t="s">
        <v>100</v>
      </c>
    </row>
    <row r="10" ht="11.25" customHeight="1">
      <c r="A10" t="s">
        <v>16</v>
      </c>
      <c r="B10" t="s">
        <v>2547</v>
      </c>
      <c r="C10" t="s">
        <v>2548</v>
      </c>
      <c r="D10" t="s">
        <v>2549</v>
      </c>
      <c r="E10" t="s">
        <v>2550</v>
      </c>
      <c r="F10" t="s">
        <v>2535</v>
      </c>
      <c r="G10" t="s">
        <v>148</v>
      </c>
    </row>
    <row r="11" ht="11.25" customHeight="1">
      <c r="A11" t="s">
        <v>16</v>
      </c>
      <c r="B11" t="s">
        <v>2547</v>
      </c>
      <c r="C11" t="s">
        <v>2548</v>
      </c>
      <c r="D11" t="s">
        <v>2551</v>
      </c>
      <c r="E11" t="s">
        <v>2552</v>
      </c>
      <c r="F11" t="s">
        <v>2535</v>
      </c>
      <c r="G11" t="s">
        <v>149</v>
      </c>
    </row>
    <row r="12" ht="11.25" customHeight="1">
      <c r="A12" t="s">
        <v>16</v>
      </c>
      <c r="B12" t="s">
        <v>2547</v>
      </c>
      <c r="C12" t="s">
        <v>2548</v>
      </c>
      <c r="D12" t="s">
        <v>2553</v>
      </c>
      <c r="E12" t="s">
        <v>2554</v>
      </c>
      <c r="F12" t="s">
        <v>2535</v>
      </c>
      <c r="G12" t="s">
        <v>150</v>
      </c>
    </row>
    <row r="13" ht="11.25" customHeight="1">
      <c r="A13" t="s">
        <v>16</v>
      </c>
      <c r="B13" t="s">
        <v>2547</v>
      </c>
      <c r="C13" t="s">
        <v>2548</v>
      </c>
      <c r="D13" t="s">
        <v>2555</v>
      </c>
      <c r="E13" t="s">
        <v>2556</v>
      </c>
      <c r="F13" t="s">
        <v>2535</v>
      </c>
      <c r="G13" t="s">
        <v>151</v>
      </c>
    </row>
    <row r="14" ht="11.25" customHeight="1">
      <c r="A14" t="s">
        <v>16</v>
      </c>
      <c r="B14" t="s">
        <v>2547</v>
      </c>
      <c r="C14" t="s">
        <v>2548</v>
      </c>
      <c r="D14" t="s">
        <v>2547</v>
      </c>
      <c r="E14" t="s">
        <v>2548</v>
      </c>
      <c r="F14" t="s">
        <v>2532</v>
      </c>
      <c r="G14" t="s">
        <v>152</v>
      </c>
    </row>
    <row r="15" ht="11.25" customHeight="1">
      <c r="A15" t="s">
        <v>16</v>
      </c>
      <c r="B15" t="s">
        <v>2547</v>
      </c>
      <c r="C15" t="s">
        <v>2548</v>
      </c>
      <c r="D15" t="s">
        <v>2557</v>
      </c>
      <c r="E15" t="s">
        <v>2558</v>
      </c>
      <c r="F15" t="s">
        <v>2535</v>
      </c>
      <c r="G15" t="s">
        <v>153</v>
      </c>
    </row>
    <row r="16" ht="11.25" customHeight="1">
      <c r="A16" t="s">
        <v>16</v>
      </c>
      <c r="B16" t="s">
        <v>2559</v>
      </c>
      <c r="C16" t="s">
        <v>2560</v>
      </c>
      <c r="D16" t="s">
        <v>2561</v>
      </c>
      <c r="E16" t="s">
        <v>2562</v>
      </c>
      <c r="F16" t="s">
        <v>2563</v>
      </c>
      <c r="G16" t="s">
        <v>1469</v>
      </c>
    </row>
    <row r="17" ht="11.25" customHeight="1">
      <c r="A17" t="s">
        <v>16</v>
      </c>
      <c r="B17" t="s">
        <v>2559</v>
      </c>
      <c r="C17" t="s">
        <v>2560</v>
      </c>
      <c r="D17" t="s">
        <v>2564</v>
      </c>
      <c r="E17" t="s">
        <v>2565</v>
      </c>
      <c r="F17" t="s">
        <v>2563</v>
      </c>
      <c r="G17" t="s">
        <v>1474</v>
      </c>
    </row>
    <row r="18" ht="11.25" customHeight="1">
      <c r="A18" t="s">
        <v>16</v>
      </c>
      <c r="B18" t="s">
        <v>2559</v>
      </c>
      <c r="C18" t="s">
        <v>2560</v>
      </c>
      <c r="D18" t="s">
        <v>2566</v>
      </c>
      <c r="E18" t="s">
        <v>2567</v>
      </c>
      <c r="F18" t="s">
        <v>2563</v>
      </c>
      <c r="G18" t="s">
        <v>1486</v>
      </c>
    </row>
    <row r="19" ht="11.25" customHeight="1">
      <c r="A19" t="s">
        <v>16</v>
      </c>
      <c r="B19" t="s">
        <v>2559</v>
      </c>
      <c r="C19" t="s">
        <v>2560</v>
      </c>
      <c r="D19" t="s">
        <v>2568</v>
      </c>
      <c r="E19" t="s">
        <v>2569</v>
      </c>
      <c r="F19" t="s">
        <v>2563</v>
      </c>
      <c r="G19" t="s">
        <v>1500</v>
      </c>
    </row>
    <row r="20" ht="11.25" customHeight="1">
      <c r="A20" t="s">
        <v>16</v>
      </c>
      <c r="B20" t="s">
        <v>2559</v>
      </c>
      <c r="C20" t="s">
        <v>2560</v>
      </c>
      <c r="D20" t="s">
        <v>2559</v>
      </c>
      <c r="E20" t="s">
        <v>2560</v>
      </c>
      <c r="F20" t="s">
        <v>2532</v>
      </c>
      <c r="G20" t="s">
        <v>1512</v>
      </c>
    </row>
    <row r="21" ht="11.25" customHeight="1">
      <c r="A21" t="s">
        <v>16</v>
      </c>
      <c r="B21" t="s">
        <v>2559</v>
      </c>
      <c r="C21" t="s">
        <v>2560</v>
      </c>
      <c r="D21" t="s">
        <v>2570</v>
      </c>
      <c r="E21" t="s">
        <v>2571</v>
      </c>
      <c r="F21" t="s">
        <v>2572</v>
      </c>
      <c r="G21" t="s">
        <v>1521</v>
      </c>
    </row>
    <row r="22" ht="11.25" customHeight="1">
      <c r="A22" t="s">
        <v>16</v>
      </c>
      <c r="B22" t="s">
        <v>2559</v>
      </c>
      <c r="C22" t="s">
        <v>2560</v>
      </c>
      <c r="D22" t="s">
        <v>2573</v>
      </c>
      <c r="E22" t="s">
        <v>2574</v>
      </c>
      <c r="F22" t="s">
        <v>2535</v>
      </c>
      <c r="G22" t="s">
        <v>1537</v>
      </c>
    </row>
    <row r="23" ht="11.25" customHeight="1">
      <c r="A23" t="s">
        <v>16</v>
      </c>
      <c r="B23" t="s">
        <v>2559</v>
      </c>
      <c r="C23" t="s">
        <v>2560</v>
      </c>
      <c r="D23" t="s">
        <v>2575</v>
      </c>
      <c r="E23" t="s">
        <v>2576</v>
      </c>
      <c r="F23" t="s">
        <v>2563</v>
      </c>
      <c r="G23" t="s">
        <v>1544</v>
      </c>
    </row>
    <row r="24" ht="11.25" customHeight="1">
      <c r="A24" t="s">
        <v>16</v>
      </c>
      <c r="B24" t="s">
        <v>2577</v>
      </c>
      <c r="C24" t="s">
        <v>2578</v>
      </c>
      <c r="D24" t="s">
        <v>2579</v>
      </c>
      <c r="E24" t="s">
        <v>2580</v>
      </c>
      <c r="F24" t="s">
        <v>2535</v>
      </c>
      <c r="G24" t="s">
        <v>1552</v>
      </c>
    </row>
    <row r="25" ht="11.25" customHeight="1">
      <c r="A25" t="s">
        <v>16</v>
      </c>
      <c r="B25" t="s">
        <v>2577</v>
      </c>
      <c r="C25" t="s">
        <v>2578</v>
      </c>
      <c r="D25" t="s">
        <v>2581</v>
      </c>
      <c r="E25" t="s">
        <v>2582</v>
      </c>
      <c r="F25" t="s">
        <v>2535</v>
      </c>
      <c r="G25" t="s">
        <v>1559</v>
      </c>
    </row>
    <row r="26" ht="11.25" customHeight="1">
      <c r="A26" t="s">
        <v>16</v>
      </c>
      <c r="B26" t="s">
        <v>2577</v>
      </c>
      <c r="C26" t="s">
        <v>2578</v>
      </c>
      <c r="D26" t="s">
        <v>2577</v>
      </c>
      <c r="E26" t="s">
        <v>2578</v>
      </c>
      <c r="F26" t="s">
        <v>2532</v>
      </c>
      <c r="G26" t="s">
        <v>1563</v>
      </c>
    </row>
    <row r="27" ht="11.25" customHeight="1">
      <c r="A27" t="s">
        <v>16</v>
      </c>
      <c r="B27" t="s">
        <v>2577</v>
      </c>
      <c r="C27" t="s">
        <v>2578</v>
      </c>
      <c r="D27" t="s">
        <v>2583</v>
      </c>
      <c r="E27" t="s">
        <v>2584</v>
      </c>
      <c r="F27" t="s">
        <v>2535</v>
      </c>
      <c r="G27" t="s">
        <v>1568</v>
      </c>
    </row>
    <row r="28" ht="11.25" customHeight="1">
      <c r="A28" t="s">
        <v>16</v>
      </c>
      <c r="B28" t="s">
        <v>2585</v>
      </c>
      <c r="C28" t="s">
        <v>2586</v>
      </c>
      <c r="D28" t="s">
        <v>2587</v>
      </c>
      <c r="E28" t="s">
        <v>2588</v>
      </c>
      <c r="F28" t="s">
        <v>2563</v>
      </c>
      <c r="G28" t="s">
        <v>1576</v>
      </c>
    </row>
    <row r="29" ht="11.25" customHeight="1">
      <c r="A29" t="s">
        <v>16</v>
      </c>
      <c r="B29" t="s">
        <v>2585</v>
      </c>
      <c r="C29" t="s">
        <v>2586</v>
      </c>
      <c r="D29" t="s">
        <v>2589</v>
      </c>
      <c r="E29" t="s">
        <v>2590</v>
      </c>
      <c r="F29" t="s">
        <v>2535</v>
      </c>
      <c r="G29" t="s">
        <v>1578</v>
      </c>
    </row>
    <row r="30" ht="11.25" customHeight="1">
      <c r="A30" t="s">
        <v>16</v>
      </c>
      <c r="B30" t="s">
        <v>2585</v>
      </c>
      <c r="C30" t="s">
        <v>2586</v>
      </c>
      <c r="D30" t="s">
        <v>2591</v>
      </c>
      <c r="E30" t="s">
        <v>2592</v>
      </c>
      <c r="F30" t="s">
        <v>2535</v>
      </c>
      <c r="G30" t="s">
        <v>1581</v>
      </c>
    </row>
    <row r="31" ht="11.25" customHeight="1">
      <c r="A31" t="s">
        <v>16</v>
      </c>
      <c r="B31" t="s">
        <v>2585</v>
      </c>
      <c r="C31" t="s">
        <v>2586</v>
      </c>
      <c r="D31" t="s">
        <v>2593</v>
      </c>
      <c r="E31" t="s">
        <v>2594</v>
      </c>
      <c r="F31" t="s">
        <v>2563</v>
      </c>
      <c r="G31" t="s">
        <v>1587</v>
      </c>
    </row>
    <row r="32" ht="11.25" customHeight="1">
      <c r="A32" t="s">
        <v>16</v>
      </c>
      <c r="B32" t="s">
        <v>2585</v>
      </c>
      <c r="C32" t="s">
        <v>2586</v>
      </c>
      <c r="D32" t="s">
        <v>2595</v>
      </c>
      <c r="E32" t="s">
        <v>2596</v>
      </c>
      <c r="F32" t="s">
        <v>2563</v>
      </c>
      <c r="G32" t="s">
        <v>1589</v>
      </c>
    </row>
    <row r="33" ht="11.25" customHeight="1">
      <c r="A33" t="s">
        <v>16</v>
      </c>
      <c r="B33" t="s">
        <v>2585</v>
      </c>
      <c r="C33" t="s">
        <v>2586</v>
      </c>
      <c r="D33" t="s">
        <v>2585</v>
      </c>
      <c r="E33" t="s">
        <v>2586</v>
      </c>
      <c r="F33" t="s">
        <v>2532</v>
      </c>
      <c r="G33" t="s">
        <v>1591</v>
      </c>
    </row>
    <row r="34" ht="11.25" customHeight="1">
      <c r="A34" t="s">
        <v>16</v>
      </c>
      <c r="B34" t="s">
        <v>2585</v>
      </c>
      <c r="C34" t="s">
        <v>2586</v>
      </c>
      <c r="D34" t="s">
        <v>2597</v>
      </c>
      <c r="E34" t="s">
        <v>2598</v>
      </c>
      <c r="F34" t="s">
        <v>2563</v>
      </c>
      <c r="G34" t="s">
        <v>1593</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min="1" max="1" style="12192" width="9.140625"/>
    <col customWidth="1" min="2" max="2" style="12192" width="84.28125"/>
    <col min="3" max="3" style="12192" width="9.140625"/>
  </cols>
  <sheetData>
    <row r="1" ht="11.25" customHeight="1">
      <c r="A1" s="1005" t="s">
        <v>2636</v>
      </c>
      <c r="B1" s="1005" t="s">
        <v>2637</v>
      </c>
      <c r="C1" s="1005" t="s">
        <v>1174</v>
      </c>
    </row>
    <row r="2" ht="11.25" customHeight="1">
      <c r="A2" s="1005">
        <v>4189678</v>
      </c>
      <c r="B2" s="1005" t="s">
        <v>2638</v>
      </c>
      <c r="C2" s="1005" t="s">
        <v>2639</v>
      </c>
    </row>
    <row r="3" ht="11.25" customHeight="1">
      <c r="A3" s="1005">
        <v>4190415</v>
      </c>
      <c r="B3" s="1005" t="s">
        <v>2640</v>
      </c>
      <c r="C3" s="1005" t="s">
        <v>2639</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5" customHeight="1"/>
  <cols>
    <col customWidth="1" min="1" max="1" style="12197" width="38.421875"/>
    <col min="2" max="5" style="12197" width="9.140625"/>
  </cols>
  <sheetData>
    <row r="1" ht="15" customHeight="1">
      <c r="A1" s="333" t="s">
        <v>2641</v>
      </c>
      <c r="B1" s="333" t="s">
        <v>2642</v>
      </c>
      <c r="C1" s="333"/>
      <c r="D1" s="333"/>
      <c r="E1" s="333"/>
    </row>
    <row r="2" ht="15" customHeight="1">
      <c r="A2" s="333"/>
      <c r="B2" s="333"/>
      <c r="C2" s="333"/>
      <c r="D2" s="333"/>
      <c r="E2" s="333"/>
    </row>
    <row r="3" ht="15" customHeight="1">
      <c r="A3" s="333"/>
      <c r="B3" s="333"/>
      <c r="C3" s="333"/>
      <c r="D3" s="333"/>
      <c r="E3" s="333"/>
    </row>
    <row r="4" ht="15" customHeight="1">
      <c r="A4" s="333"/>
      <c r="B4" s="333"/>
      <c r="C4" s="333"/>
      <c r="D4" s="333"/>
      <c r="E4" s="333"/>
    </row>
    <row r="5" ht="15" customHeight="1">
      <c r="A5" s="333"/>
      <c r="B5" s="333"/>
      <c r="C5" s="333"/>
      <c r="D5" s="333"/>
      <c r="E5" s="333"/>
    </row>
    <row r="6" ht="15" customHeight="1">
      <c r="A6" s="333"/>
      <c r="B6" s="333"/>
      <c r="C6" s="333"/>
      <c r="D6" s="333"/>
      <c r="E6" s="333"/>
    </row>
    <row r="7" ht="15" customHeight="1">
      <c r="A7" s="333"/>
      <c r="B7" s="333"/>
      <c r="C7" s="333"/>
      <c r="D7" s="333"/>
      <c r="E7" s="333"/>
    </row>
    <row r="8" ht="15" customHeight="1">
      <c r="A8" s="333"/>
      <c r="B8" s="333"/>
      <c r="C8" s="333"/>
      <c r="D8" s="333"/>
      <c r="E8" s="333"/>
    </row>
  </sheetData>
  <sheetProtection autoFilter="0" deleteColumns="1" deleteRows="1" formatColumns="0" formatRows="0"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topLeftCell="A1" workbookViewId="0">
      <selection activeCell="A1" sqref="A1"/>
    </sheetView>
  </sheetViews>
  <sheetFormatPr defaultRowHeight="11.25" customHeight="1"/>
  <sheetData>
    <row r="1" ht="11.25" customHeight="1">
      <c r="A1" t="s">
        <v>2643</v>
      </c>
      <c r="B1" t="b">
        <v>1</v>
      </c>
    </row>
    <row r="2" ht="11.25" customHeight="1">
      <c r="A2" t="s">
        <v>2644</v>
      </c>
      <c r="B2" t="b">
        <v>0</v>
      </c>
    </row>
    <row r="3" ht="11.25" customHeight="1">
      <c r="A3" t="s">
        <v>2645</v>
      </c>
      <c r="B3" t="b">
        <v>1</v>
      </c>
    </row>
    <row r="4" ht="11.25" customHeight="1">
      <c r="A4" t="s">
        <v>2646</v>
      </c>
      <c r="B4" t="b">
        <v>0</v>
      </c>
    </row>
    <row r="5" ht="11.25" customHeight="1">
      <c r="A5" t="s">
        <v>2647</v>
      </c>
      <c r="B5" t="b">
        <v>0</v>
      </c>
    </row>
    <row r="6" ht="11.25" customHeight="1">
      <c r="A6" t="s">
        <v>2648</v>
      </c>
      <c r="B6" t="b">
        <v>0</v>
      </c>
    </row>
    <row r="7" ht="11.25" customHeight="1">
      <c r="A7" t="s">
        <v>2649</v>
      </c>
      <c r="B7" t="b">
        <v>0</v>
      </c>
    </row>
    <row r="8" ht="11.25" customHeight="1">
      <c r="A8" t="s">
        <v>2650</v>
      </c>
      <c r="B8" t="b">
        <v>0</v>
      </c>
    </row>
    <row r="9" ht="11.25" customHeight="1">
      <c r="A9" t="s">
        <v>2651</v>
      </c>
      <c r="B9" t="b">
        <v>0</v>
      </c>
    </row>
    <row r="10" ht="11.25" customHeight="1">
      <c r="A10" t="s">
        <v>2652</v>
      </c>
      <c r="B10" t="b">
        <v>0</v>
      </c>
    </row>
    <row r="11" ht="11.25" customHeight="1">
      <c r="A11" t="s">
        <v>2653</v>
      </c>
      <c r="B11" t="b">
        <v>0</v>
      </c>
    </row>
    <row r="12" ht="11.25" customHeight="1">
      <c r="A12" t="s">
        <v>2654</v>
      </c>
      <c r="B12" t="b">
        <v>0</v>
      </c>
    </row>
    <row r="13" ht="11.25" customHeight="1">
      <c r="A13" t="s">
        <v>2655</v>
      </c>
      <c r="B13" t="b">
        <v>0</v>
      </c>
    </row>
    <row r="14" ht="11.25" customHeight="1">
      <c r="A14" t="s">
        <v>2656</v>
      </c>
      <c r="B14" t="b">
        <v>1</v>
      </c>
    </row>
    <row r="15" ht="11.25" customHeight="1">
      <c r="A15" t="s">
        <v>2657</v>
      </c>
      <c r="B15" t="b">
        <v>1</v>
      </c>
    </row>
  </sheetData>
  <sheetProtection autoFilter="0" deleteColumns="1" deleteRows="1" insertColumns="1" insertRows="1" sheet="1" sort="1"/>
  <pageMargins left="0.69999999999999996" right="0.69999999999999996" top="0.75" bottom="0.75" header="0.29999999999999999" footer="0.29999999999999999"/>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2.75" customHeight="1"/>
  <cols>
    <col min="1" max="1" style="9094" width="9.140625"/>
  </cols>
  <sheetData>
    <row r="1" ht="12.75" customHeight="1">
      <c r="A1" s="233"/>
    </row>
  </sheetData>
  <sheetProtection autoFilter="0" deleteColumns="1" deleteRows="1" insertColumns="1" insertRows="1" sheet="1" sort="1"/>
  <pageMargins left="0.75" right="0.75" top="1" bottom="1" header="0.5" footer="0.5"/>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9278" width="36.28125"/>
    <col customWidth="1" min="2" max="2" style="9278" width="21.140625"/>
  </cols>
  <sheetData>
    <row r="1" ht="11.25" customHeight="1">
      <c r="A1" s="237" t="s">
        <v>2658</v>
      </c>
      <c r="B1" s="237" t="s">
        <v>2659</v>
      </c>
    </row>
    <row r="2" ht="11.25" customHeight="1">
      <c r="A2" s="232" t="s">
        <v>2660</v>
      </c>
      <c r="B2" s="232" t="s">
        <v>2661</v>
      </c>
    </row>
    <row r="3" ht="11.25" customHeight="1">
      <c r="A3" s="232" t="s">
        <v>2662</v>
      </c>
      <c r="B3" s="232" t="s">
        <v>2663</v>
      </c>
    </row>
    <row r="4" ht="11.25" customHeight="1">
      <c r="A4" s="232" t="s">
        <v>2664</v>
      </c>
      <c r="B4" s="232" t="s">
        <v>2665</v>
      </c>
    </row>
    <row r="5" ht="11.25" customHeight="1">
      <c r="A5" s="232" t="s">
        <v>2666</v>
      </c>
      <c r="B5" s="232" t="s">
        <v>2667</v>
      </c>
    </row>
    <row r="6" ht="11.25" customHeight="1">
      <c r="A6" s="232" t="s">
        <v>2668</v>
      </c>
      <c r="B6" s="232" t="s">
        <v>2669</v>
      </c>
    </row>
    <row r="7" ht="11.25" customHeight="1">
      <c r="A7" s="232" t="s">
        <v>2670</v>
      </c>
      <c r="B7" s="232" t="s">
        <v>2671</v>
      </c>
    </row>
    <row r="8" ht="11.25" customHeight="1">
      <c r="A8" s="232" t="s">
        <v>2672</v>
      </c>
      <c r="B8" s="232" t="s">
        <v>2673</v>
      </c>
    </row>
    <row r="9" ht="11.25" customHeight="1">
      <c r="A9" s="232" t="s">
        <v>2674</v>
      </c>
      <c r="B9" s="232" t="s">
        <v>2675</v>
      </c>
    </row>
    <row r="10" ht="11.25" customHeight="1">
      <c r="A10" s="232" t="s">
        <v>2676</v>
      </c>
      <c r="B10" s="232" t="s">
        <v>2677</v>
      </c>
    </row>
    <row r="11" ht="11.25" customHeight="1">
      <c r="A11" s="232" t="s">
        <v>2678</v>
      </c>
      <c r="B11" s="232" t="s">
        <v>2679</v>
      </c>
    </row>
    <row r="12" ht="11.25" customHeight="1">
      <c r="A12" s="232" t="s">
        <v>2680</v>
      </c>
      <c r="B12" s="232" t="s">
        <v>2681</v>
      </c>
    </row>
    <row r="13" ht="11.25" customHeight="1">
      <c r="A13" s="232" t="s">
        <v>2682</v>
      </c>
      <c r="B13" s="232" t="s">
        <v>2683</v>
      </c>
    </row>
    <row r="14" ht="11.25" customHeight="1">
      <c r="A14" s="232" t="s">
        <v>2684</v>
      </c>
      <c r="B14" s="232" t="s">
        <v>2685</v>
      </c>
    </row>
    <row r="15" ht="11.25" customHeight="1">
      <c r="A15" s="232" t="s">
        <v>2686</v>
      </c>
      <c r="B15" s="232" t="s">
        <v>2687</v>
      </c>
    </row>
    <row r="16" ht="11.25" customHeight="1">
      <c r="A16" s="232" t="s">
        <v>2688</v>
      </c>
      <c r="B16" s="232" t="s">
        <v>2689</v>
      </c>
    </row>
    <row r="17" ht="11.25" customHeight="1">
      <c r="A17" s="232" t="s">
        <v>2690</v>
      </c>
      <c r="B17" s="232" t="s">
        <v>2691</v>
      </c>
    </row>
    <row r="18" ht="11.25" customHeight="1">
      <c r="A18" s="232" t="s">
        <v>2692</v>
      </c>
      <c r="B18" s="232" t="s">
        <v>2693</v>
      </c>
    </row>
    <row r="19" ht="11.25" customHeight="1">
      <c r="A19" s="232" t="s">
        <v>2694</v>
      </c>
      <c r="B19" s="232" t="s">
        <v>2695</v>
      </c>
    </row>
    <row r="20" ht="11.25" customHeight="1">
      <c r="A20" s="232" t="s">
        <v>2696</v>
      </c>
      <c r="B20" s="232" t="s">
        <v>2697</v>
      </c>
    </row>
    <row r="21" ht="11.25" customHeight="1">
      <c r="A21" s="232" t="s">
        <v>2698</v>
      </c>
      <c r="B21" s="232" t="s">
        <v>2699</v>
      </c>
    </row>
    <row r="22" ht="11.25" customHeight="1">
      <c r="A22" s="232" t="s">
        <v>2700</v>
      </c>
      <c r="B22" s="232" t="s">
        <v>2701</v>
      </c>
    </row>
    <row r="23" ht="11.25" customHeight="1">
      <c r="A23" s="232" t="s">
        <v>2702</v>
      </c>
      <c r="B23" s="232" t="s">
        <v>2703</v>
      </c>
    </row>
    <row r="24" ht="11.25" customHeight="1">
      <c r="A24" s="232" t="s">
        <v>2704</v>
      </c>
      <c r="B24" s="232" t="s">
        <v>2705</v>
      </c>
    </row>
    <row r="25" ht="11.25" customHeight="1">
      <c r="A25" s="232" t="s">
        <v>2706</v>
      </c>
      <c r="B25" s="232" t="s">
        <v>2707</v>
      </c>
    </row>
    <row r="26" ht="11.25" customHeight="1">
      <c r="A26" s="232" t="s">
        <v>2708</v>
      </c>
      <c r="B26" s="232" t="s">
        <v>2709</v>
      </c>
    </row>
    <row r="27" ht="11.25" customHeight="1">
      <c r="A27" s="232" t="s">
        <v>2710</v>
      </c>
      <c r="B27" s="232" t="s">
        <v>2711</v>
      </c>
    </row>
    <row r="28" ht="11.25" customHeight="1">
      <c r="A28" s="232" t="s">
        <v>2712</v>
      </c>
      <c r="B28" s="232" t="s">
        <v>2713</v>
      </c>
    </row>
    <row r="29" ht="11.25" customHeight="1">
      <c r="A29" s="232" t="s">
        <v>2714</v>
      </c>
      <c r="B29" s="232" t="s">
        <v>2715</v>
      </c>
    </row>
    <row r="30" ht="11.25" customHeight="1">
      <c r="A30" s="232" t="s">
        <v>2716</v>
      </c>
      <c r="B30" s="232" t="s">
        <v>2717</v>
      </c>
    </row>
    <row r="31" ht="11.25" customHeight="1">
      <c r="A31" s="232" t="s">
        <v>2718</v>
      </c>
      <c r="B31" s="232" t="s">
        <v>2719</v>
      </c>
    </row>
    <row r="32" ht="11.25" customHeight="1">
      <c r="A32" s="232" t="s">
        <v>2720</v>
      </c>
      <c r="B32" s="232" t="s">
        <v>2721</v>
      </c>
    </row>
    <row r="33" ht="11.25" customHeight="1">
      <c r="A33" s="232" t="s">
        <v>2722</v>
      </c>
      <c r="B33" s="232" t="s">
        <v>2723</v>
      </c>
    </row>
    <row r="34" ht="11.25" customHeight="1">
      <c r="A34" s="232" t="s">
        <v>2724</v>
      </c>
      <c r="B34" s="232" t="s">
        <v>2725</v>
      </c>
    </row>
    <row r="35" ht="11.25" customHeight="1">
      <c r="A35" s="232" t="s">
        <v>2726</v>
      </c>
      <c r="B35" s="232" t="s">
        <v>2727</v>
      </c>
    </row>
    <row r="36" ht="11.25" customHeight="1">
      <c r="A36" s="232" t="s">
        <v>2728</v>
      </c>
      <c r="B36" s="232" t="s">
        <v>2729</v>
      </c>
    </row>
    <row r="37" ht="11.25" customHeight="1">
      <c r="A37" s="232" t="s">
        <v>2730</v>
      </c>
      <c r="B37" s="232" t="s">
        <v>2731</v>
      </c>
    </row>
    <row r="38" ht="11.25" customHeight="1">
      <c r="A38" s="232" t="s">
        <v>2732</v>
      </c>
      <c r="B38" s="232" t="s">
        <v>2733</v>
      </c>
    </row>
    <row r="39" ht="11.25" customHeight="1">
      <c r="A39" s="232" t="s">
        <v>2734</v>
      </c>
      <c r="B39" s="232" t="s">
        <v>2735</v>
      </c>
    </row>
    <row r="40" ht="11.25" customHeight="1">
      <c r="A40" s="232" t="s">
        <v>2736</v>
      </c>
      <c r="B40" s="232" t="s">
        <v>2737</v>
      </c>
    </row>
    <row r="41" ht="11.25" customHeight="1">
      <c r="A41" s="232" t="s">
        <v>2738</v>
      </c>
      <c r="B41" s="232" t="s">
        <v>2739</v>
      </c>
    </row>
    <row r="42" ht="11.25" customHeight="1">
      <c r="A42" s="232" t="s">
        <v>2740</v>
      </c>
      <c r="B42" s="232" t="s">
        <v>2741</v>
      </c>
    </row>
    <row r="43" ht="11.25" customHeight="1">
      <c r="A43" s="232" t="s">
        <v>2742</v>
      </c>
      <c r="B43" s="232" t="s">
        <v>2743</v>
      </c>
    </row>
    <row r="44" ht="11.25" customHeight="1">
      <c r="A44" s="232" t="s">
        <v>2744</v>
      </c>
      <c r="B44" s="232" t="s">
        <v>2745</v>
      </c>
    </row>
    <row r="45" ht="11.25" customHeight="1">
      <c r="A45" s="232" t="s">
        <v>2746</v>
      </c>
      <c r="B45" s="232" t="s">
        <v>2747</v>
      </c>
    </row>
    <row r="46" ht="11.25" customHeight="1">
      <c r="A46" s="232" t="s">
        <v>2748</v>
      </c>
      <c r="B46" s="232" t="s">
        <v>2749</v>
      </c>
    </row>
    <row r="47" ht="11.25" customHeight="1">
      <c r="A47" s="232" t="s">
        <v>2750</v>
      </c>
      <c r="B47" s="232" t="s">
        <v>2751</v>
      </c>
    </row>
    <row r="48" ht="11.25" customHeight="1">
      <c r="A48" s="232" t="s">
        <v>2752</v>
      </c>
      <c r="B48" s="232" t="s">
        <v>2753</v>
      </c>
    </row>
    <row r="49" ht="11.25" customHeight="1">
      <c r="A49" s="232" t="s">
        <v>2754</v>
      </c>
      <c r="B49" s="232" t="s">
        <v>2755</v>
      </c>
    </row>
    <row r="50" ht="11.25" customHeight="1">
      <c r="A50" s="232" t="s">
        <v>2756</v>
      </c>
      <c r="B50" s="232" t="s">
        <v>2757</v>
      </c>
    </row>
    <row r="51" ht="11.25" customHeight="1">
      <c r="A51" s="232" t="s">
        <v>2758</v>
      </c>
      <c r="B51" s="232" t="s">
        <v>2759</v>
      </c>
    </row>
    <row r="52" ht="11.25" customHeight="1">
      <c r="A52" s="232" t="s">
        <v>2760</v>
      </c>
      <c r="B52" s="232" t="s">
        <v>2761</v>
      </c>
    </row>
    <row r="53" ht="11.25" customHeight="1">
      <c r="A53" s="232" t="s">
        <v>2762</v>
      </c>
      <c r="B53" s="232" t="s">
        <v>2763</v>
      </c>
    </row>
    <row r="54" ht="11.25" customHeight="1">
      <c r="A54" s="232" t="s">
        <v>2764</v>
      </c>
      <c r="B54" s="232" t="s">
        <v>2765</v>
      </c>
    </row>
    <row r="55" ht="11.25" customHeight="1">
      <c r="A55" s="232" t="s">
        <v>2766</v>
      </c>
      <c r="B55" s="232" t="s">
        <v>2767</v>
      </c>
    </row>
    <row r="56" ht="11.25" customHeight="1">
      <c r="A56" s="232" t="s">
        <v>2768</v>
      </c>
      <c r="B56" s="232" t="s">
        <v>2769</v>
      </c>
    </row>
    <row r="57" ht="11.25" customHeight="1">
      <c r="A57" s="232" t="s">
        <v>2770</v>
      </c>
      <c r="B57" s="232" t="s">
        <v>2771</v>
      </c>
    </row>
    <row r="58" ht="11.25" customHeight="1">
      <c r="A58" s="232" t="s">
        <v>2772</v>
      </c>
      <c r="B58" s="232" t="s">
        <v>2773</v>
      </c>
    </row>
    <row r="59" ht="11.25" customHeight="1">
      <c r="A59" s="232" t="s">
        <v>2774</v>
      </c>
      <c r="B59" s="232" t="s">
        <v>2775</v>
      </c>
    </row>
    <row r="60" ht="11.25" customHeight="1">
      <c r="A60" s="232" t="s">
        <v>2776</v>
      </c>
      <c r="B60" s="232" t="s">
        <v>2777</v>
      </c>
    </row>
    <row r="61" ht="11.25" customHeight="1">
      <c r="A61" s="232"/>
      <c r="B61" s="232" t="s">
        <v>2778</v>
      </c>
    </row>
    <row r="62" ht="11.25" customHeight="1">
      <c r="A62" s="232"/>
      <c r="B62" s="232" t="s">
        <v>2779</v>
      </c>
    </row>
    <row r="63" ht="11.25" customHeight="1">
      <c r="A63" s="232"/>
      <c r="B63" s="232" t="s">
        <v>2780</v>
      </c>
    </row>
    <row r="64" ht="11.25" customHeight="1">
      <c r="A64" s="232"/>
      <c r="B64" s="232" t="s">
        <v>2781</v>
      </c>
    </row>
    <row r="65" ht="11.25" customHeight="1">
      <c r="A65" s="232"/>
      <c r="B65" s="232" t="s">
        <v>2782</v>
      </c>
    </row>
    <row r="66" ht="11.25" customHeight="1">
      <c r="A66" s="232"/>
      <c r="B66" s="232" t="s">
        <v>2783</v>
      </c>
    </row>
    <row r="67" ht="11.25" customHeight="1">
      <c r="A67" s="232"/>
      <c r="B67" s="232" t="s">
        <v>2784</v>
      </c>
    </row>
    <row r="68" ht="11.25" customHeight="1">
      <c r="A68" s="232"/>
      <c r="B68" s="232" t="s">
        <v>2785</v>
      </c>
    </row>
    <row r="69" ht="11.25" customHeight="1">
      <c r="A69" s="232"/>
      <c r="B69" s="232" t="s">
        <v>2786</v>
      </c>
    </row>
    <row r="70" ht="11.25" customHeight="1">
      <c r="A70" s="232"/>
      <c r="B70" s="232" t="s">
        <v>2787</v>
      </c>
    </row>
    <row r="71" ht="11.25" customHeight="1">
      <c r="A71" s="232"/>
      <c r="B71" s="232"/>
    </row>
    <row r="72" ht="11.25" customHeight="1">
      <c r="A72" s="232"/>
      <c r="B72" s="232"/>
    </row>
    <row r="73" ht="11.25" customHeight="1">
      <c r="A73" s="232"/>
      <c r="B73" s="232"/>
    </row>
    <row r="74" ht="11.25" customHeight="1">
      <c r="A74" s="232"/>
      <c r="B74" s="232"/>
    </row>
    <row r="75" ht="11.25" customHeight="1">
      <c r="A75" s="232"/>
      <c r="B75" s="232"/>
    </row>
    <row r="76" ht="11.25" customHeight="1">
      <c r="A76" s="232"/>
      <c r="B76" s="232"/>
    </row>
    <row r="77" ht="11.25" customHeight="1">
      <c r="A77" s="232"/>
      <c r="B77" s="232"/>
    </row>
    <row r="78" ht="11.25" customHeight="1">
      <c r="A78" s="232"/>
      <c r="B78" s="232"/>
    </row>
    <row r="79" ht="11.25" customHeight="1">
      <c r="A79" s="232"/>
      <c r="B79" s="232"/>
    </row>
    <row r="80" ht="11.25" customHeight="1">
      <c r="A80" s="232"/>
      <c r="B80" s="232"/>
    </row>
    <row r="81" ht="11.25" customHeight="1">
      <c r="A81" s="232"/>
      <c r="B81" s="232"/>
    </row>
    <row r="82" ht="11.25" customHeight="1">
      <c r="A82" s="232"/>
      <c r="B82" s="232"/>
    </row>
    <row r="83" ht="11.25" customHeight="1">
      <c r="A83" s="232"/>
      <c r="B83" s="232"/>
    </row>
    <row r="84" ht="11.25" customHeight="1">
      <c r="A84" s="232"/>
      <c r="B84" s="232"/>
    </row>
    <row r="85" ht="11.25" customHeight="1">
      <c r="A85" s="232"/>
      <c r="B85" s="232"/>
    </row>
    <row r="86" ht="11.25" customHeight="1">
      <c r="A86" s="232"/>
      <c r="B86" s="232"/>
    </row>
    <row r="87" ht="11.25" customHeight="1">
      <c r="A87" s="232"/>
      <c r="B87" s="232"/>
    </row>
    <row r="88" ht="11.25" customHeight="1">
      <c r="A88" s="232"/>
      <c r="B88" s="232"/>
    </row>
    <row r="89" ht="11.25" customHeight="1">
      <c r="A89" s="232"/>
      <c r="B89" s="232"/>
    </row>
    <row r="90" ht="11.25" customHeight="1">
      <c r="A90" s="232"/>
      <c r="B90" s="232"/>
    </row>
    <row r="91" ht="11.25" customHeight="1">
      <c r="A91" s="232"/>
      <c r="B91" s="232"/>
    </row>
    <row r="92" ht="11.25" customHeight="1">
      <c r="A92" s="232"/>
      <c r="B92" s="232"/>
    </row>
    <row r="93" ht="11.25" customHeight="1">
      <c r="A93" s="232"/>
      <c r="B93" s="232"/>
    </row>
    <row r="94" ht="11.25" customHeight="1">
      <c r="A94" s="232"/>
      <c r="B94" s="232"/>
    </row>
    <row r="95" ht="11.25" customHeight="1">
      <c r="A95" s="232"/>
      <c r="B95" s="232"/>
    </row>
    <row r="96" ht="11.25" customHeight="1">
      <c r="A96" s="232"/>
      <c r="B96" s="232"/>
    </row>
    <row r="97" ht="11.25" customHeight="1">
      <c r="A97" s="232"/>
      <c r="B97" s="232"/>
    </row>
    <row r="98" ht="11.25" customHeight="1">
      <c r="A98" s="232"/>
      <c r="B98" s="232"/>
    </row>
    <row r="99" ht="11.25" customHeight="1">
      <c r="A99" s="232"/>
      <c r="B99" s="232"/>
    </row>
    <row r="100" ht="11.25" customHeight="1">
      <c r="A100" s="232"/>
      <c r="B100" s="232"/>
    </row>
    <row r="101" ht="11.25" customHeight="1">
      <c r="A101" s="232"/>
      <c r="B101" s="232"/>
    </row>
    <row r="102" ht="11.25" customHeight="1">
      <c r="A102" s="232"/>
      <c r="B102" s="232"/>
    </row>
    <row r="103" ht="11.25" customHeight="1">
      <c r="A103" s="232"/>
      <c r="B103" s="232"/>
    </row>
    <row r="104" ht="11.25" customHeight="1">
      <c r="A104" s="232"/>
      <c r="B104" s="232"/>
    </row>
    <row r="105" ht="11.25" customHeight="1">
      <c r="A105" s="232"/>
      <c r="B105" s="232"/>
    </row>
    <row r="106" ht="11.25" customHeight="1">
      <c r="A106" s="232"/>
      <c r="B106" s="232"/>
    </row>
    <row r="107" ht="11.25" customHeight="1">
      <c r="A107" s="232"/>
      <c r="B107" s="232"/>
    </row>
    <row r="108" ht="11.25" customHeight="1">
      <c r="A108" s="232"/>
      <c r="B108" s="232"/>
    </row>
    <row r="109" ht="11.25" customHeight="1">
      <c r="A109" s="232"/>
      <c r="B109" s="232"/>
    </row>
    <row r="110" ht="11.25" customHeight="1">
      <c r="A110" s="232"/>
      <c r="B110" s="232"/>
    </row>
    <row r="111" ht="11.25" customHeight="1">
      <c r="A111" s="232"/>
      <c r="B111" s="232"/>
    </row>
    <row r="112" ht="11.25" customHeight="1">
      <c r="A112" s="232"/>
      <c r="B112" s="232"/>
    </row>
    <row r="113" ht="11.25" customHeight="1">
      <c r="A113" s="232"/>
      <c r="B113" s="232"/>
    </row>
    <row r="114" ht="11.25" customHeight="1">
      <c r="A114" s="232"/>
      <c r="B114" s="232"/>
    </row>
    <row r="115" ht="11.25" customHeight="1">
      <c r="A115" s="232"/>
      <c r="B115" s="232"/>
    </row>
    <row r="116" ht="11.25" customHeight="1">
      <c r="A116" s="232"/>
      <c r="B116" s="232"/>
    </row>
    <row r="117" ht="11.25" customHeight="1">
      <c r="A117" s="232"/>
      <c r="B117" s="232"/>
    </row>
    <row r="118" ht="11.25" customHeight="1">
      <c r="A118" s="232"/>
      <c r="B118" s="232"/>
    </row>
    <row r="119" ht="11.25" customHeight="1">
      <c r="A119" s="232"/>
      <c r="B119" s="232"/>
    </row>
    <row r="120" ht="11.25" customHeight="1">
      <c r="A120" s="232"/>
      <c r="B120" s="232"/>
    </row>
    <row r="121" ht="11.25" customHeight="1">
      <c r="A121" s="232"/>
      <c r="B121" s="232"/>
    </row>
    <row r="122" ht="11.25" customHeight="1">
      <c r="A122" s="232"/>
      <c r="B122" s="232"/>
    </row>
    <row r="123" ht="11.25" customHeight="1">
      <c r="A123" s="232"/>
      <c r="B123" s="232"/>
    </row>
    <row r="124" ht="11.25" customHeight="1">
      <c r="A124" s="232"/>
      <c r="B124" s="232"/>
    </row>
    <row r="125" ht="11.25" customHeight="1">
      <c r="A125" s="232"/>
      <c r="B125" s="232"/>
    </row>
    <row r="126" ht="11.25" customHeight="1">
      <c r="A126" s="232"/>
      <c r="B126" s="232"/>
    </row>
    <row r="127" ht="11.25" customHeight="1">
      <c r="A127" s="232"/>
      <c r="B127" s="232"/>
    </row>
    <row r="128" ht="11.25" customHeight="1">
      <c r="A128" s="232"/>
      <c r="B128" s="232"/>
    </row>
    <row r="129" ht="11.25" customHeight="1">
      <c r="A129" s="232"/>
      <c r="B129" s="232"/>
    </row>
    <row r="130" ht="11.25" customHeight="1">
      <c r="A130" s="232"/>
      <c r="B130" s="232"/>
    </row>
    <row r="131" ht="11.25" customHeight="1">
      <c r="A131" s="232"/>
      <c r="B131" s="232"/>
    </row>
    <row r="132" ht="11.25" customHeight="1">
      <c r="A132" s="232"/>
      <c r="B132" s="232"/>
    </row>
    <row r="133" ht="11.25" customHeight="1">
      <c r="A133" s="232"/>
      <c r="B133" s="232"/>
    </row>
    <row r="134" ht="11.25" customHeight="1">
      <c r="A134" s="232"/>
      <c r="B134" s="232"/>
    </row>
    <row r="135" ht="11.25" customHeight="1">
      <c r="A135" s="232"/>
      <c r="B135" s="232"/>
    </row>
    <row r="136" ht="11.25" customHeight="1">
      <c r="A136" s="232"/>
      <c r="B136" s="232"/>
    </row>
    <row r="137" ht="11.25" customHeight="1">
      <c r="A137" s="232"/>
      <c r="B137" s="232"/>
    </row>
    <row r="138" ht="11.25" customHeight="1">
      <c r="A138" s="232"/>
      <c r="B138" s="232"/>
    </row>
    <row r="139" ht="11.25" customHeight="1">
      <c r="A139" s="232"/>
      <c r="B139" s="232"/>
    </row>
    <row r="140" ht="11.25" customHeight="1">
      <c r="A140" s="232"/>
      <c r="B140" s="232"/>
    </row>
    <row r="141" ht="11.25" customHeight="1">
      <c r="A141" s="232"/>
      <c r="B141" s="232"/>
    </row>
    <row r="142" ht="11.25" customHeight="1">
      <c r="A142" s="232"/>
      <c r="B142" s="232"/>
    </row>
    <row r="143" ht="11.25" customHeight="1">
      <c r="A143" s="232"/>
      <c r="B143" s="232"/>
    </row>
    <row r="144" ht="11.25" customHeight="1">
      <c r="A144" s="232"/>
      <c r="B144" s="232"/>
    </row>
    <row r="145" ht="11.25" customHeight="1">
      <c r="A145" s="232"/>
      <c r="B145" s="232"/>
    </row>
    <row r="146" ht="11.25" customHeight="1">
      <c r="A146" s="232"/>
      <c r="B146" s="232"/>
    </row>
    <row r="147" ht="11.25" customHeight="1">
      <c r="A147" s="232"/>
      <c r="B147" s="232"/>
    </row>
    <row r="148" ht="11.25" customHeight="1">
      <c r="A148" s="232"/>
      <c r="B148" s="232"/>
    </row>
    <row r="149" ht="11.25" customHeight="1">
      <c r="A149" s="232"/>
      <c r="B149" s="232"/>
    </row>
    <row r="150" ht="11.25" customHeight="1">
      <c r="A150" s="232"/>
      <c r="B150" s="232"/>
    </row>
    <row r="151" ht="11.25" customHeight="1">
      <c r="A151" s="232"/>
      <c r="B151" s="232"/>
    </row>
    <row r="152" ht="11.25" customHeight="1">
      <c r="A152" s="232"/>
      <c r="B152" s="232"/>
    </row>
    <row r="153" ht="11.25" customHeight="1">
      <c r="A153" s="232"/>
      <c r="B153" s="232"/>
    </row>
    <row r="154" ht="11.25" customHeight="1">
      <c r="A154" s="232"/>
      <c r="B154" s="232"/>
    </row>
    <row r="155" ht="11.25" customHeight="1">
      <c r="A155" s="232"/>
      <c r="B155" s="232"/>
    </row>
    <row r="156" ht="11.25" customHeight="1">
      <c r="A156" s="232"/>
      <c r="B156" s="232"/>
    </row>
    <row r="157" ht="11.25" customHeight="1">
      <c r="A157" s="232"/>
      <c r="B157" s="232"/>
    </row>
    <row r="158" ht="11.25" customHeight="1">
      <c r="A158" s="232"/>
      <c r="B158" s="232"/>
    </row>
    <row r="159" ht="11.25" customHeight="1">
      <c r="A159" s="232"/>
      <c r="B159" s="232"/>
    </row>
    <row r="160" ht="11.25" customHeight="1">
      <c r="A160" s="232"/>
      <c r="B160" s="232"/>
    </row>
    <row r="161" ht="11.25" customHeight="1">
      <c r="A161" s="232"/>
      <c r="B161" s="232"/>
    </row>
    <row r="162" ht="11.25" customHeight="1">
      <c r="A162" s="232"/>
      <c r="B162" s="232"/>
    </row>
    <row r="163" ht="11.25" customHeight="1">
      <c r="A163" s="232"/>
      <c r="B163" s="232"/>
    </row>
    <row r="164" ht="11.25" customHeight="1">
      <c r="A164" s="232"/>
      <c r="B164" s="232"/>
    </row>
    <row r="165" ht="11.25" customHeight="1">
      <c r="A165" s="232"/>
      <c r="B165" s="232"/>
    </row>
    <row r="166" ht="11.25" customHeight="1">
      <c r="A166" s="232"/>
      <c r="B166" s="232"/>
    </row>
    <row r="167" ht="11.25" customHeight="1">
      <c r="A167" s="232"/>
      <c r="B167" s="232"/>
    </row>
    <row r="168" ht="11.25" customHeight="1">
      <c r="A168" s="232"/>
      <c r="B168" s="232"/>
    </row>
    <row r="169" ht="11.25" customHeight="1">
      <c r="A169" s="232"/>
      <c r="B169" s="232"/>
    </row>
    <row r="170" ht="11.25" customHeight="1">
      <c r="A170" s="232"/>
      <c r="B170" s="232"/>
    </row>
    <row r="171" ht="11.25" customHeight="1">
      <c r="A171" s="232"/>
      <c r="B171" s="232"/>
    </row>
    <row r="172" ht="11.25" customHeight="1">
      <c r="A172" s="232"/>
      <c r="B172" s="232"/>
    </row>
    <row r="173" ht="11.25" customHeight="1">
      <c r="A173" s="232"/>
      <c r="B173" s="232"/>
    </row>
    <row r="174" ht="11.25" customHeight="1">
      <c r="A174" s="232"/>
      <c r="B174" s="232"/>
    </row>
    <row r="175" ht="11.25" customHeight="1">
      <c r="A175" s="232"/>
      <c r="B175" s="232"/>
    </row>
    <row r="176" ht="11.25" customHeight="1">
      <c r="A176" s="232"/>
      <c r="B176" s="232"/>
    </row>
    <row r="177" ht="11.25" customHeight="1">
      <c r="A177" s="232"/>
      <c r="B177" s="232"/>
    </row>
    <row r="178" ht="11.25" customHeight="1">
      <c r="A178" s="232"/>
      <c r="B178" s="232"/>
    </row>
    <row r="179" ht="11.25" customHeight="1">
      <c r="A179" s="232"/>
      <c r="B179" s="232"/>
    </row>
    <row r="180" ht="11.25" customHeight="1">
      <c r="A180" s="232"/>
      <c r="B180" s="232"/>
    </row>
    <row r="181" ht="11.25" customHeight="1">
      <c r="A181" s="232"/>
      <c r="B181" s="232"/>
    </row>
    <row r="182" ht="11.25" customHeight="1">
      <c r="A182" s="232"/>
      <c r="B182" s="232"/>
    </row>
    <row r="183" ht="11.25" customHeight="1">
      <c r="A183" s="232"/>
      <c r="B183" s="232"/>
    </row>
    <row r="184" ht="11.25" customHeight="1">
      <c r="A184" s="232"/>
      <c r="B184" s="232"/>
    </row>
    <row r="185" ht="11.25" customHeight="1">
      <c r="A185" s="232"/>
      <c r="B185" s="232"/>
    </row>
    <row r="186" ht="11.25" customHeight="1">
      <c r="A186" s="232"/>
      <c r="B186" s="232"/>
    </row>
    <row r="187" ht="11.25" customHeight="1">
      <c r="A187" s="232"/>
      <c r="B187" s="232"/>
    </row>
    <row r="188" ht="11.25" customHeight="1">
      <c r="A188" s="232"/>
      <c r="B188" s="232"/>
    </row>
    <row r="189" ht="11.25" customHeight="1">
      <c r="A189" s="232"/>
      <c r="B189" s="232"/>
    </row>
    <row r="190" ht="11.25" customHeight="1">
      <c r="A190" s="232"/>
      <c r="B190" s="232"/>
    </row>
    <row r="191" ht="11.25" customHeight="1">
      <c r="A191" s="232"/>
      <c r="B191" s="232"/>
    </row>
    <row r="192" ht="11.25" customHeight="1">
      <c r="A192" s="232"/>
      <c r="B192" s="232"/>
    </row>
    <row r="193" ht="11.25" customHeight="1">
      <c r="A193" s="232"/>
      <c r="B193" s="232"/>
    </row>
    <row r="194" ht="11.25" customHeight="1">
      <c r="A194" s="232"/>
      <c r="B194" s="232"/>
    </row>
    <row r="195" ht="11.25" customHeight="1">
      <c r="A195" s="232"/>
      <c r="B195" s="232"/>
    </row>
    <row r="196" ht="11.25" customHeight="1">
      <c r="A196" s="232"/>
      <c r="B196" s="232"/>
    </row>
    <row r="197" ht="11.25" customHeight="1">
      <c r="A197" s="232"/>
      <c r="B197" s="232"/>
    </row>
    <row r="198" ht="11.25" customHeight="1">
      <c r="A198" s="232"/>
      <c r="B198" s="232"/>
    </row>
    <row r="199" ht="11.25" customHeight="1">
      <c r="A199" s="232"/>
      <c r="B199" s="232"/>
    </row>
    <row r="200" ht="11.25" customHeight="1">
      <c r="A200" s="232"/>
      <c r="B200" s="232"/>
    </row>
    <row r="201" ht="11.25" customHeight="1">
      <c r="A201" s="232"/>
      <c r="B201" s="232"/>
    </row>
    <row r="202" ht="11.25" customHeight="1">
      <c r="A202" s="232"/>
      <c r="B202" s="232"/>
    </row>
    <row r="203" ht="11.25" customHeight="1">
      <c r="A203" s="232"/>
      <c r="B203" s="232"/>
    </row>
    <row r="204" ht="11.25" customHeight="1">
      <c r="A204" s="232"/>
      <c r="B204" s="232"/>
    </row>
    <row r="205" ht="11.25" customHeight="1">
      <c r="A205" s="232"/>
      <c r="B205" s="232"/>
    </row>
    <row r="206" ht="11.25" customHeight="1">
      <c r="A206" s="232"/>
      <c r="B206" s="232"/>
    </row>
    <row r="207" ht="11.25" customHeight="1">
      <c r="A207" s="232"/>
      <c r="B207" s="232"/>
    </row>
    <row r="208" ht="11.25" customHeight="1">
      <c r="A208" s="232"/>
      <c r="B208" s="232"/>
    </row>
    <row r="209" ht="11.25" customHeight="1">
      <c r="A209" s="232"/>
      <c r="B209" s="232"/>
    </row>
    <row r="210" ht="11.25" customHeight="1">
      <c r="A210" s="232"/>
      <c r="B210" s="232"/>
    </row>
    <row r="211" ht="11.25" customHeight="1">
      <c r="A211" s="232"/>
      <c r="B211" s="232"/>
    </row>
    <row r="212" ht="11.25" customHeight="1">
      <c r="A212" s="232"/>
      <c r="B212" s="232"/>
    </row>
    <row r="213" ht="11.25" customHeight="1">
      <c r="A213" s="232"/>
      <c r="B213" s="232"/>
    </row>
    <row r="214" ht="11.25" customHeight="1">
      <c r="A214" s="232"/>
      <c r="B214" s="232"/>
    </row>
    <row r="215" ht="11.25" customHeight="1">
      <c r="A215" s="232"/>
      <c r="B215" s="232"/>
    </row>
    <row r="216" ht="11.25" customHeight="1">
      <c r="A216" s="232"/>
      <c r="B216" s="232"/>
    </row>
    <row r="217" ht="11.25" customHeight="1">
      <c r="A217" s="232"/>
      <c r="B217" s="232"/>
    </row>
    <row r="218" ht="11.25" customHeight="1">
      <c r="A218" s="232"/>
      <c r="B218" s="232"/>
    </row>
    <row r="219" ht="11.25" customHeight="1">
      <c r="A219" s="232"/>
      <c r="B219" s="232"/>
    </row>
    <row r="220" ht="11.25" customHeight="1">
      <c r="A220" s="232"/>
      <c r="B220" s="232"/>
    </row>
    <row r="221" ht="11.25" customHeight="1">
      <c r="A221" s="232"/>
      <c r="B221" s="232"/>
    </row>
    <row r="222" ht="11.25" customHeight="1">
      <c r="A222" s="232"/>
      <c r="B222" s="232"/>
    </row>
    <row r="223" ht="11.25" customHeight="1">
      <c r="A223" s="232"/>
      <c r="B223" s="232"/>
    </row>
    <row r="224" ht="11.25" customHeight="1">
      <c r="A224" s="232"/>
      <c r="B224" s="232"/>
    </row>
    <row r="225" ht="11.25" customHeight="1">
      <c r="A225" s="232"/>
      <c r="B225" s="232"/>
    </row>
    <row r="226" ht="11.25" customHeight="1">
      <c r="A226" s="232"/>
      <c r="B226" s="232"/>
    </row>
    <row r="227" ht="11.25" customHeight="1">
      <c r="A227" s="232"/>
      <c r="B227" s="232"/>
    </row>
    <row r="228" ht="11.25" customHeight="1">
      <c r="A228" s="232"/>
      <c r="B228" s="232"/>
    </row>
    <row r="229" ht="11.25" customHeight="1">
      <c r="A229" s="232"/>
      <c r="B229" s="232"/>
    </row>
    <row r="230" ht="11.25" customHeight="1">
      <c r="A230" s="232"/>
      <c r="B230" s="232"/>
    </row>
    <row r="231" ht="11.25" customHeight="1">
      <c r="A231" s="232"/>
      <c r="B231" s="232"/>
    </row>
    <row r="232" ht="11.25" customHeight="1">
      <c r="A232" s="232"/>
      <c r="B232" s="232"/>
    </row>
    <row r="233" ht="11.25" customHeight="1">
      <c r="A233" s="232"/>
      <c r="B233" s="232"/>
    </row>
    <row r="234" ht="11.25" customHeight="1">
      <c r="A234" s="232"/>
      <c r="B234" s="232"/>
    </row>
    <row r="235" ht="11.25" customHeight="1">
      <c r="A235" s="232"/>
      <c r="B235" s="232"/>
    </row>
    <row r="236" ht="11.25" customHeight="1">
      <c r="A236" s="232"/>
      <c r="B236" s="232"/>
    </row>
    <row r="237" ht="11.25" customHeight="1">
      <c r="A237" s="232"/>
      <c r="B237" s="232"/>
    </row>
    <row r="238" ht="11.25" customHeight="1">
      <c r="A238" s="232"/>
      <c r="B238" s="232"/>
    </row>
    <row r="239" ht="11.25" customHeight="1">
      <c r="A239" s="232"/>
      <c r="B239" s="232"/>
    </row>
    <row r="240" ht="11.25" customHeight="1">
      <c r="A240" s="232"/>
      <c r="B240" s="232"/>
    </row>
    <row r="241" ht="11.25" customHeight="1">
      <c r="A241" s="232"/>
      <c r="B241" s="232"/>
    </row>
    <row r="242" ht="11.25" customHeight="1">
      <c r="A242" s="232"/>
      <c r="B242" s="232"/>
    </row>
    <row r="243" ht="11.25" customHeight="1">
      <c r="A243" s="232"/>
      <c r="B243" s="232"/>
    </row>
    <row r="244" ht="11.25" customHeight="1">
      <c r="A244" s="232"/>
      <c r="B244" s="232"/>
    </row>
    <row r="245" ht="11.25" customHeight="1">
      <c r="A245" s="232"/>
      <c r="B245" s="232"/>
    </row>
    <row r="246" ht="11.25" customHeight="1">
      <c r="A246" s="232"/>
      <c r="B246" s="232"/>
    </row>
    <row r="247" ht="11.25" customHeight="1">
      <c r="A247" s="232"/>
      <c r="B247" s="232"/>
    </row>
    <row r="248" ht="11.25" customHeight="1">
      <c r="A248" s="232"/>
      <c r="B248" s="232"/>
    </row>
    <row r="249" ht="11.25" customHeight="1">
      <c r="A249" s="232"/>
      <c r="B249" s="232"/>
    </row>
    <row r="250" ht="11.25" customHeight="1">
      <c r="A250" s="232"/>
      <c r="B250" s="232"/>
    </row>
    <row r="251" ht="11.25" customHeight="1">
      <c r="A251" s="232"/>
      <c r="B251" s="232"/>
    </row>
    <row r="252" ht="11.25" customHeight="1">
      <c r="A252" s="232"/>
      <c r="B252" s="232"/>
    </row>
    <row r="253" ht="11.25" customHeight="1">
      <c r="A253" s="232"/>
      <c r="B253" s="232"/>
    </row>
  </sheetData>
  <sheetProtection autoFilter="0" deleteColumns="1" deleteRows="1" formatColumns="0" formatRows="0"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indexed="47"/>
  </sheetPr>
  <sheetViews>
    <sheetView showGridLines="0" topLeftCell="A1" workbookViewId="0">
      <selection activeCell="A1" sqref="A1"/>
    </sheetView>
  </sheetViews>
  <sheetFormatPr defaultColWidth="9.140625" defaultRowHeight="11.25" customHeight="1"/>
  <cols>
    <col customWidth="1" min="1" max="1" style="9278" width="3.7109375"/>
    <col customWidth="1" min="2" max="2" style="9278" width="90.7109375"/>
    <col min="3" max="4" style="9278" width="9.140625"/>
  </cols>
  <sheetData>
    <row r="1" ht="11.25" customHeight="1">
      <c r="B1" s="263" t="s">
        <v>2788</v>
      </c>
    </row>
    <row r="2" ht="90" customHeight="1">
      <c r="B2" s="264" t="s">
        <v>2789</v>
      </c>
    </row>
    <row r="3" ht="67.5" customHeight="1">
      <c r="B3" s="264" t="s">
        <v>2790</v>
      </c>
    </row>
    <row r="4" ht="33.75" customHeight="1">
      <c r="B4" s="264" t="s">
        <v>2791</v>
      </c>
    </row>
    <row r="5" ht="11.25" customHeight="1">
      <c r="B5" s="264" t="s">
        <v>2792</v>
      </c>
    </row>
    <row r="6" ht="22.5" customHeight="1">
      <c r="B6" s="264" t="s">
        <v>2793</v>
      </c>
    </row>
    <row r="7" ht="22.5" customHeight="1">
      <c r="B7" s="264" t="s">
        <v>2794</v>
      </c>
    </row>
    <row r="8" ht="22.5" customHeight="1">
      <c r="B8" s="264" t="s">
        <v>2795</v>
      </c>
    </row>
    <row r="9" ht="22.5" customHeight="1">
      <c r="B9" s="264" t="s">
        <v>2796</v>
      </c>
    </row>
    <row r="10" ht="56.25" customHeight="1">
      <c r="B10" s="264" t="s">
        <v>2797</v>
      </c>
    </row>
    <row r="11" ht="12.75" customHeight="1">
      <c r="B11" s="329" t="s">
        <v>2798</v>
      </c>
    </row>
    <row r="12" ht="11.25" customHeight="1">
      <c r="B12" s="263" t="s">
        <v>2799</v>
      </c>
    </row>
    <row r="13" ht="22.5" customHeight="1">
      <c r="B13" s="264" t="s">
        <v>2800</v>
      </c>
    </row>
    <row r="14" ht="67.5" customHeight="1">
      <c r="B14" s="264" t="s">
        <v>2801</v>
      </c>
    </row>
    <row r="15" ht="22.5" customHeight="1">
      <c r="B15" s="264" t="s">
        <v>2802</v>
      </c>
    </row>
    <row r="16" ht="11.25" customHeight="1">
      <c r="B16" s="263" t="s">
        <v>2803</v>
      </c>
      <c r="D16" s="270"/>
    </row>
    <row r="17" ht="33.75" customHeight="1">
      <c r="B17" s="264" t="s">
        <v>2804</v>
      </c>
    </row>
    <row r="18" ht="33.75" customHeight="1">
      <c r="B18" s="264" t="s">
        <v>2805</v>
      </c>
    </row>
    <row r="19" ht="11.25" customHeight="1">
      <c r="B19" s="264" t="s">
        <v>2806</v>
      </c>
    </row>
    <row r="20" ht="33.75" customHeight="1">
      <c r="B20" s="264" t="s">
        <v>2807</v>
      </c>
    </row>
    <row r="21" ht="11.25" customHeight="1">
      <c r="B21" s="263" t="s">
        <v>2808</v>
      </c>
    </row>
    <row r="22" ht="11.25" customHeight="1">
      <c r="B22" s="264" t="s">
        <v>2809</v>
      </c>
    </row>
    <row r="24" ht="22.5" customHeight="1">
      <c r="B24" s="331" t="s">
        <v>2810</v>
      </c>
    </row>
    <row r="26" ht="11.25" customHeight="1">
      <c r="B26" s="263" t="s">
        <v>2811</v>
      </c>
    </row>
    <row r="27" ht="22.5" customHeight="1">
      <c r="B27" s="330" t="s">
        <v>403</v>
      </c>
    </row>
    <row r="28" ht="56.25" customHeight="1">
      <c r="B28" s="330" t="s">
        <v>2812</v>
      </c>
    </row>
    <row r="29" ht="11.25" customHeight="1">
      <c r="B29" s="380" t="s">
        <v>2813</v>
      </c>
    </row>
    <row r="30" ht="22.5" customHeight="1">
      <c r="B30" s="330" t="s">
        <v>2814</v>
      </c>
    </row>
    <row r="32" ht="11.25" customHeight="1">
      <c r="A32" s="358"/>
      <c r="B32" s="359" t="s">
        <v>2815</v>
      </c>
    </row>
    <row r="33" ht="14.25" customHeight="1">
      <c r="A33" s="360">
        <v>1</v>
      </c>
      <c r="B33" s="361" t="s">
        <v>2816</v>
      </c>
    </row>
    <row r="34" ht="14.25" customHeight="1">
      <c r="A34" s="360">
        <v>2</v>
      </c>
      <c r="B34" s="361" t="s">
        <v>2817</v>
      </c>
    </row>
    <row r="35" ht="11.25" customHeight="1">
      <c r="B35" s="359" t="s">
        <v>2818</v>
      </c>
    </row>
    <row r="36" ht="11.25" customHeight="1">
      <c r="B36" s="361" t="s">
        <v>2819</v>
      </c>
    </row>
  </sheetData>
  <sheetProtection autoFilter="0" deleteColumns="1" deleteRows="1" insertColumns="1" insertRows="1" sheet="1" sort="1"/>
  <pageMargins left="0.75" right="0.75" top="1" bottom="1" header="0.5" footer="0.5"/>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Р7-Офис/2024.4.1.630</Application>
  <Company>ФАС России</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starovetckaya_av</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